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quintanilla\Documents\OAP_2019\PUBLICACION PLANEACION 2019\DOCUMENTOS PARA PUBLICAR OCTUBRE 2019\"/>
    </mc:Choice>
  </mc:AlternateContent>
  <bookViews>
    <workbookView xWindow="0" yWindow="0" windowWidth="19470" windowHeight="8040"/>
  </bookViews>
  <sheets>
    <sheet name="1024" sheetId="1" r:id="rId1"/>
    <sheet name="1107" sheetId="17" r:id="rId2"/>
    <sheet name="1110" sheetId="19" r:id="rId3"/>
    <sheet name="1112" sheetId="22" r:id="rId4"/>
    <sheet name="1114" sheetId="18" r:id="rId5"/>
    <sheet name="TABLERO" sheetId="2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'1024'!$A$16:$AL$48</definedName>
    <definedName name="_xlnm._FilterDatabase" localSheetId="1" hidden="1">'1107'!$A$16:$AM$262</definedName>
    <definedName name="_xlnm._FilterDatabase" localSheetId="2" hidden="1">'1110'!$A$16:$AL$187</definedName>
    <definedName name="_xlnm._FilterDatabase" localSheetId="3" hidden="1">'1112'!$A$16:$AL$123</definedName>
    <definedName name="_xlnm._FilterDatabase" localSheetId="4" hidden="1">'1114'!$A$16:$AL$335</definedName>
    <definedName name="_xlnm.Print_Area" localSheetId="0">'1024'!$A$1:$AD$57</definedName>
    <definedName name="_xlnm.Print_Area" localSheetId="1">'1107'!$A$1:$AD$274</definedName>
    <definedName name="_xlnm.Print_Area" localSheetId="2">'1110'!$A$1:$AD$197</definedName>
    <definedName name="_xlnm.Print_Area" localSheetId="3">'1112'!$A$1:$AD$135</definedName>
    <definedName name="_xlnm.Print_Area" localSheetId="4">'1114'!$A$1:$AD$346</definedName>
    <definedName name="fuentes">[1]Listas!$I$85:$I$91</definedName>
    <definedName name="modalidad_desc">[1]Listas!$A$60:$A$73</definedName>
    <definedName name="proyecto_inv">[1]Listas!$A$108:$A$114</definedName>
    <definedName name="Responsable">[1]Listas!$A$77:$A$80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6" i="17" l="1"/>
  <c r="C293" i="17"/>
  <c r="O125" i="22" l="1"/>
  <c r="B190" i="17" l="1"/>
  <c r="B17" i="17"/>
  <c r="Y32" i="18" l="1"/>
  <c r="AM111" i="17" l="1"/>
  <c r="AM112" i="17"/>
  <c r="AM113" i="17"/>
  <c r="O106" i="17"/>
  <c r="M28" i="22" l="1"/>
  <c r="M46" i="17"/>
  <c r="M47" i="1"/>
  <c r="AJ257" i="17" l="1"/>
  <c r="AJ114" i="17"/>
  <c r="AK196" i="17"/>
  <c r="AC196" i="17"/>
  <c r="AD196" i="17" s="1"/>
  <c r="AI196" i="17"/>
  <c r="B238" i="17"/>
  <c r="B239" i="17"/>
  <c r="AK238" i="17"/>
  <c r="AI238" i="17"/>
  <c r="AC238" i="17"/>
  <c r="AD238" i="17" s="1"/>
  <c r="B256" i="17"/>
  <c r="AK256" i="17"/>
  <c r="AI256" i="17"/>
  <c r="AC256" i="17"/>
  <c r="AD256" i="17" s="1"/>
  <c r="AJ74" i="17"/>
  <c r="M110" i="17"/>
  <c r="AJ110" i="17"/>
  <c r="M97" i="17"/>
  <c r="AJ97" i="17"/>
  <c r="M254" i="17"/>
  <c r="AJ254" i="17"/>
  <c r="M102" i="17"/>
  <c r="AJ102" i="17"/>
  <c r="M98" i="17"/>
  <c r="AJ98" i="17"/>
  <c r="M108" i="17"/>
  <c r="AJ108" i="17"/>
  <c r="M29" i="19" l="1"/>
  <c r="M106" i="17" l="1"/>
  <c r="O67" i="18" l="1"/>
  <c r="O84" i="18"/>
  <c r="O94" i="18"/>
  <c r="O102" i="18"/>
  <c r="O107" i="18"/>
  <c r="O114" i="18"/>
  <c r="O199" i="18"/>
  <c r="O251" i="18"/>
  <c r="O257" i="18"/>
  <c r="O326" i="18"/>
  <c r="Y31" i="17" l="1"/>
  <c r="AM87" i="22" l="1"/>
  <c r="AM86" i="22"/>
  <c r="AM85" i="22"/>
  <c r="AM84" i="22"/>
  <c r="AM83" i="22"/>
  <c r="Y232" i="17" l="1"/>
  <c r="K192" i="18" l="1"/>
  <c r="K189" i="18"/>
  <c r="AJ325" i="18" l="1"/>
  <c r="O27" i="19" l="1"/>
  <c r="O33" i="19"/>
  <c r="O38" i="19"/>
  <c r="O43" i="19"/>
  <c r="O73" i="19"/>
  <c r="O82" i="19"/>
  <c r="M221" i="18" l="1"/>
  <c r="M127" i="18"/>
  <c r="M301" i="18"/>
  <c r="M35" i="18"/>
  <c r="M147" i="18"/>
  <c r="M136" i="18"/>
  <c r="M148" i="18"/>
  <c r="B42" i="23" l="1"/>
  <c r="K188" i="18"/>
  <c r="M27" i="17" l="1"/>
  <c r="K245" i="17"/>
  <c r="M245" i="17"/>
  <c r="Y26" i="17" l="1"/>
  <c r="M163" i="19" l="1"/>
  <c r="B18" i="19"/>
  <c r="B74" i="19"/>
  <c r="AM246" i="17" l="1"/>
  <c r="AM28" i="17" l="1"/>
  <c r="AM20" i="19" l="1"/>
  <c r="M177" i="18"/>
  <c r="M172" i="18"/>
  <c r="M171" i="18"/>
  <c r="M67" i="22" l="1"/>
  <c r="M65" i="22"/>
  <c r="M63" i="22"/>
  <c r="M52" i="22"/>
  <c r="M23" i="22"/>
  <c r="M38" i="22"/>
  <c r="K79" i="22"/>
  <c r="M79" i="22"/>
  <c r="K78" i="22"/>
  <c r="M78" i="22"/>
  <c r="B154" i="18" l="1"/>
  <c r="B252" i="18"/>
  <c r="B262" i="18"/>
  <c r="AJ80" i="22"/>
  <c r="AJ38" i="22"/>
  <c r="AJ52" i="22"/>
  <c r="AJ63" i="22"/>
  <c r="AJ23" i="22"/>
  <c r="AJ79" i="22"/>
  <c r="AJ78" i="22"/>
  <c r="AJ65" i="22"/>
  <c r="AJ67" i="22"/>
  <c r="B191" i="17" l="1"/>
  <c r="B18" i="17"/>
  <c r="B130" i="17"/>
  <c r="AJ26" i="19" l="1"/>
  <c r="AJ64" i="19"/>
  <c r="AJ63" i="19"/>
  <c r="AJ80" i="19"/>
  <c r="O330" i="18" l="1"/>
  <c r="O332" i="18" s="1"/>
  <c r="O228" i="18"/>
  <c r="O245" i="18" s="1"/>
  <c r="O176" i="18"/>
  <c r="O194" i="18" s="1"/>
  <c r="O96" i="18"/>
  <c r="O97" i="18" s="1"/>
  <c r="O38" i="22"/>
  <c r="O63" i="22"/>
  <c r="O52" i="22"/>
  <c r="O23" i="22"/>
  <c r="O65" i="22"/>
  <c r="O67" i="22"/>
  <c r="O247" i="17"/>
  <c r="O20" i="1"/>
  <c r="M20" i="1"/>
  <c r="O32" i="18" l="1"/>
  <c r="O37" i="18" s="1"/>
  <c r="Y152" i="18" l="1"/>
  <c r="Y98" i="22"/>
  <c r="Y119" i="17" l="1"/>
  <c r="Y167" i="19" l="1"/>
  <c r="Y120" i="19"/>
  <c r="Y65" i="19"/>
  <c r="Q123" i="22" l="1"/>
  <c r="AC87" i="22"/>
  <c r="AD87" i="22" s="1"/>
  <c r="AC86" i="22"/>
  <c r="AD86" i="22" s="1"/>
  <c r="AC85" i="22"/>
  <c r="AD85" i="22" s="1"/>
  <c r="AC84" i="22"/>
  <c r="AD84" i="22" s="1"/>
  <c r="AC83" i="22"/>
  <c r="AD83" i="22" s="1"/>
  <c r="AI84" i="22"/>
  <c r="AI85" i="22"/>
  <c r="AI86" i="22"/>
  <c r="AI87" i="22"/>
  <c r="AI83" i="22"/>
  <c r="AJ88" i="22"/>
  <c r="AK87" i="22"/>
  <c r="AK86" i="22"/>
  <c r="AK85" i="22"/>
  <c r="AK84" i="22"/>
  <c r="AK83" i="22"/>
  <c r="R88" i="22"/>
  <c r="S88" i="22"/>
  <c r="T88" i="22"/>
  <c r="U88" i="22"/>
  <c r="V88" i="22"/>
  <c r="W88" i="22"/>
  <c r="X88" i="22"/>
  <c r="Y88" i="22"/>
  <c r="Z88" i="22"/>
  <c r="AA88" i="22"/>
  <c r="AB88" i="22"/>
  <c r="Q88" i="22"/>
  <c r="O88" i="22"/>
  <c r="D42" i="23" s="1"/>
  <c r="K88" i="22"/>
  <c r="M88" i="22"/>
  <c r="C42" i="23" s="1"/>
  <c r="B14" i="22"/>
  <c r="B15" i="22" s="1"/>
  <c r="H42" i="23" l="1"/>
  <c r="G42" i="23"/>
  <c r="F42" i="23"/>
  <c r="AK88" i="22"/>
  <c r="I42" i="23"/>
  <c r="K42" i="23"/>
  <c r="J42" i="23"/>
  <c r="AC88" i="22"/>
  <c r="E42" i="23" s="1"/>
  <c r="AD88" i="22"/>
  <c r="B84" i="22"/>
  <c r="B85" i="22"/>
  <c r="B86" i="22"/>
  <c r="B87" i="22"/>
  <c r="B83" i="22"/>
  <c r="M42" i="23" l="1"/>
  <c r="L42" i="23"/>
  <c r="N42" i="23"/>
  <c r="B88" i="22"/>
  <c r="O85" i="17"/>
  <c r="M85" i="17"/>
  <c r="M148" i="17"/>
  <c r="B133" i="17"/>
  <c r="AJ75" i="19"/>
  <c r="AJ86" i="18" l="1"/>
  <c r="AJ256" i="18"/>
  <c r="AJ126" i="17" l="1"/>
  <c r="AM133" i="17" l="1"/>
  <c r="AK133" i="17"/>
  <c r="AI133" i="17"/>
  <c r="AC133" i="17"/>
  <c r="AD133" i="17" s="1"/>
  <c r="AJ245" i="17"/>
  <c r="AM165" i="19" l="1"/>
  <c r="M330" i="18" l="1"/>
  <c r="B330" i="18" s="1"/>
  <c r="M228" i="18"/>
  <c r="B228" i="18" s="1"/>
  <c r="M176" i="18"/>
  <c r="B176" i="18" s="1"/>
  <c r="M96" i="18"/>
  <c r="B96" i="18" s="1"/>
  <c r="K96" i="18"/>
  <c r="K330" i="18"/>
  <c r="K228" i="18"/>
  <c r="K176" i="18"/>
  <c r="AJ174" i="19" l="1"/>
  <c r="AK156" i="19"/>
  <c r="AJ154" i="19"/>
  <c r="AJ162" i="19"/>
  <c r="AJ111" i="19"/>
  <c r="AJ167" i="19"/>
  <c r="AM163" i="19"/>
  <c r="AM164" i="19"/>
  <c r="AM172" i="19"/>
  <c r="AM173" i="19"/>
  <c r="B172" i="19"/>
  <c r="B173" i="19"/>
  <c r="B174" i="19"/>
  <c r="AI172" i="19"/>
  <c r="AI173" i="19"/>
  <c r="AI174" i="19"/>
  <c r="AK172" i="19"/>
  <c r="AK173" i="19"/>
  <c r="AK174" i="19"/>
  <c r="AC172" i="19"/>
  <c r="AD172" i="19" s="1"/>
  <c r="AC173" i="19"/>
  <c r="AD173" i="19"/>
  <c r="AC174" i="19"/>
  <c r="AD174" i="19" s="1"/>
  <c r="AI20" i="19"/>
  <c r="AK20" i="19"/>
  <c r="AC20" i="19"/>
  <c r="AD20" i="19" s="1"/>
  <c r="AC21" i="19"/>
  <c r="AD21" i="19" s="1"/>
  <c r="B20" i="19"/>
  <c r="AK30" i="19"/>
  <c r="AK22" i="19"/>
  <c r="AJ19" i="19"/>
  <c r="AM58" i="19"/>
  <c r="AM59" i="19"/>
  <c r="AM60" i="19"/>
  <c r="AM61" i="19"/>
  <c r="AM62" i="19"/>
  <c r="AM63" i="19"/>
  <c r="AJ53" i="19"/>
  <c r="AM24" i="19"/>
  <c r="AM25" i="19"/>
  <c r="AM27" i="19"/>
  <c r="AM28" i="19"/>
  <c r="AM30" i="19"/>
  <c r="AM31" i="19"/>
  <c r="AK24" i="19"/>
  <c r="B24" i="19"/>
  <c r="AC24" i="19"/>
  <c r="AD24" i="19" s="1"/>
  <c r="AI24" i="19"/>
  <c r="AI30" i="19"/>
  <c r="B30" i="19"/>
  <c r="B31" i="19"/>
  <c r="AC30" i="19"/>
  <c r="AD30" i="19" s="1"/>
  <c r="AJ29" i="19"/>
  <c r="AM29" i="19" s="1"/>
  <c r="AJ193" i="18" l="1"/>
  <c r="B268" i="18"/>
  <c r="B273" i="18"/>
  <c r="B275" i="18"/>
  <c r="B279" i="18"/>
  <c r="B281" i="18"/>
  <c r="B283" i="18"/>
  <c r="B285" i="18"/>
  <c r="B290" i="18"/>
  <c r="B294" i="18"/>
  <c r="B296" i="18"/>
  <c r="B298" i="18"/>
  <c r="B303" i="18"/>
  <c r="B305" i="18"/>
  <c r="B314" i="18"/>
  <c r="B316" i="18"/>
  <c r="B324" i="18"/>
  <c r="AM322" i="18"/>
  <c r="AM323" i="18"/>
  <c r="AM268" i="18"/>
  <c r="AM273" i="18"/>
  <c r="AM275" i="18"/>
  <c r="AM279" i="18"/>
  <c r="AM281" i="18"/>
  <c r="AM283" i="18"/>
  <c r="AM285" i="18"/>
  <c r="AM290" i="18"/>
  <c r="AM294" i="18"/>
  <c r="AM296" i="18"/>
  <c r="AM298" i="18"/>
  <c r="AM303" i="18"/>
  <c r="AM305" i="18"/>
  <c r="AM314" i="18"/>
  <c r="AM316" i="18"/>
  <c r="AM324" i="18"/>
  <c r="AK268" i="18"/>
  <c r="AK273" i="18"/>
  <c r="AK275" i="18"/>
  <c r="AK279" i="18"/>
  <c r="AK281" i="18"/>
  <c r="AK283" i="18"/>
  <c r="AK285" i="18"/>
  <c r="AK290" i="18"/>
  <c r="AK294" i="18"/>
  <c r="AK296" i="18"/>
  <c r="AK298" i="18"/>
  <c r="AK303" i="18"/>
  <c r="AK305" i="18"/>
  <c r="AK314" i="18"/>
  <c r="AK316" i="18"/>
  <c r="AK324" i="18"/>
  <c r="AI268" i="18"/>
  <c r="AI273" i="18"/>
  <c r="AI275" i="18"/>
  <c r="AI279" i="18"/>
  <c r="AI281" i="18"/>
  <c r="AI283" i="18"/>
  <c r="AI285" i="18"/>
  <c r="AI290" i="18"/>
  <c r="AI294" i="18"/>
  <c r="AI296" i="18"/>
  <c r="AI298" i="18"/>
  <c r="AI303" i="18"/>
  <c r="AI305" i="18"/>
  <c r="AI314" i="18"/>
  <c r="AI316" i="18"/>
  <c r="AI324" i="18"/>
  <c r="AC268" i="18"/>
  <c r="AD268" i="18" s="1"/>
  <c r="AC273" i="18"/>
  <c r="AD273" i="18" s="1"/>
  <c r="AC275" i="18"/>
  <c r="AD275" i="18" s="1"/>
  <c r="AC279" i="18"/>
  <c r="AD279" i="18" s="1"/>
  <c r="AC281" i="18"/>
  <c r="AD281" i="18" s="1"/>
  <c r="AC283" i="18"/>
  <c r="AD283" i="18" s="1"/>
  <c r="AC285" i="18"/>
  <c r="AD285" i="18" s="1"/>
  <c r="AC290" i="18"/>
  <c r="AD290" i="18" s="1"/>
  <c r="AC294" i="18"/>
  <c r="AD294" i="18" s="1"/>
  <c r="AC296" i="18"/>
  <c r="AD296" i="18" s="1"/>
  <c r="AC298" i="18"/>
  <c r="AD298" i="18" s="1"/>
  <c r="AC303" i="18"/>
  <c r="AD303" i="18" s="1"/>
  <c r="AC305" i="18"/>
  <c r="AD305" i="18" s="1"/>
  <c r="AC314" i="18"/>
  <c r="AD314" i="18" s="1"/>
  <c r="AC316" i="18"/>
  <c r="AD316" i="18" s="1"/>
  <c r="AC324" i="18"/>
  <c r="AD324" i="18" s="1"/>
  <c r="AC325" i="18"/>
  <c r="AD325" i="18" s="1"/>
  <c r="AM189" i="18"/>
  <c r="AM190" i="18"/>
  <c r="AM191" i="18"/>
  <c r="AM192" i="18"/>
  <c r="B85" i="18" l="1"/>
  <c r="B68" i="18"/>
  <c r="B70" i="18"/>
  <c r="AM321" i="18"/>
  <c r="AJ132" i="17"/>
  <c r="AJ27" i="17"/>
  <c r="B113" i="17"/>
  <c r="B114" i="17"/>
  <c r="AK113" i="17"/>
  <c r="AI113" i="17"/>
  <c r="AC113" i="17"/>
  <c r="AD113" i="17" s="1"/>
  <c r="AJ100" i="17"/>
  <c r="AJ99" i="17" l="1"/>
  <c r="B111" i="17"/>
  <c r="B112" i="17"/>
  <c r="AC111" i="17"/>
  <c r="AD111" i="17" s="1"/>
  <c r="AC112" i="17"/>
  <c r="AD112" i="17" s="1"/>
  <c r="AK111" i="17"/>
  <c r="AK112" i="17"/>
  <c r="AK114" i="17"/>
  <c r="AI111" i="17"/>
  <c r="AI112" i="17"/>
  <c r="AI114" i="17"/>
  <c r="AJ148" i="17"/>
  <c r="AM148" i="17" s="1"/>
  <c r="AJ85" i="17"/>
  <c r="AJ104" i="17" l="1"/>
  <c r="AJ101" i="17"/>
  <c r="AJ136" i="17"/>
  <c r="AJ180" i="17" l="1"/>
  <c r="AC28" i="17"/>
  <c r="AD28" i="17" s="1"/>
  <c r="AC246" i="17"/>
  <c r="AD246" i="17" s="1"/>
  <c r="AK246" i="17"/>
  <c r="AI246" i="17"/>
  <c r="B246" i="17"/>
  <c r="B28" i="17"/>
  <c r="B29" i="17"/>
  <c r="AK28" i="17"/>
  <c r="AI28" i="17"/>
  <c r="AI70" i="18" l="1"/>
  <c r="AK70" i="18"/>
  <c r="AC70" i="18"/>
  <c r="AD70" i="18" s="1"/>
  <c r="AC71" i="18"/>
  <c r="AJ69" i="18"/>
  <c r="AJ21" i="18" l="1"/>
  <c r="AJ20" i="18"/>
  <c r="B163" i="19" l="1"/>
  <c r="AK163" i="19"/>
  <c r="AI163" i="19"/>
  <c r="AC163" i="19"/>
  <c r="AD163" i="19" s="1"/>
  <c r="AJ122" i="19"/>
  <c r="B165" i="19"/>
  <c r="AK165" i="19"/>
  <c r="AC165" i="19"/>
  <c r="AD165" i="19" s="1"/>
  <c r="AC166" i="19"/>
  <c r="AD166" i="19" s="1"/>
  <c r="AC168" i="19"/>
  <c r="AD168" i="19" s="1"/>
  <c r="AC169" i="19"/>
  <c r="AD169" i="19" s="1"/>
  <c r="AC170" i="19"/>
  <c r="AD170" i="19" s="1"/>
  <c r="AC171" i="19"/>
  <c r="AD171" i="19" s="1"/>
  <c r="AI165" i="19"/>
  <c r="M230" i="17" l="1"/>
  <c r="M32" i="18" l="1"/>
  <c r="K32" i="18"/>
  <c r="M247" i="17" l="1"/>
  <c r="K20" i="1" l="1"/>
  <c r="K247" i="17"/>
  <c r="B46" i="1" l="1"/>
  <c r="B47" i="1"/>
  <c r="B45" i="1"/>
  <c r="B40" i="1"/>
  <c r="B41" i="1"/>
  <c r="B42" i="1"/>
  <c r="B39" i="1"/>
  <c r="M37" i="1"/>
  <c r="B19" i="1"/>
  <c r="B20" i="1"/>
  <c r="B37" i="1" s="1"/>
  <c r="B21" i="1"/>
  <c r="B22" i="1"/>
  <c r="B23" i="1"/>
  <c r="B24" i="1"/>
  <c r="B25" i="1"/>
  <c r="B26" i="1"/>
  <c r="B27" i="1"/>
  <c r="B28" i="1"/>
  <c r="B29" i="1"/>
  <c r="B30" i="1"/>
  <c r="B31" i="1"/>
  <c r="B32" i="1"/>
  <c r="B33" i="1"/>
  <c r="B34" i="1"/>
  <c r="B35" i="1"/>
  <c r="B36" i="1"/>
  <c r="B18" i="1"/>
  <c r="M88" i="19" l="1"/>
  <c r="AI189" i="18" l="1"/>
  <c r="AI190" i="18"/>
  <c r="AI191" i="18"/>
  <c r="AI192" i="18"/>
  <c r="AK189" i="18"/>
  <c r="AK190" i="18"/>
  <c r="AK191" i="18"/>
  <c r="AK192" i="18"/>
  <c r="B189" i="18"/>
  <c r="B190" i="18"/>
  <c r="B191" i="18"/>
  <c r="B192" i="18"/>
  <c r="AC189" i="18"/>
  <c r="AD189" i="18" s="1"/>
  <c r="AC190" i="18"/>
  <c r="AD190" i="18" s="1"/>
  <c r="AC191" i="18"/>
  <c r="AD191" i="18" s="1"/>
  <c r="AC192" i="18"/>
  <c r="AD192" i="18" s="1"/>
  <c r="AK321" i="18"/>
  <c r="AK322" i="18"/>
  <c r="AK323" i="18"/>
  <c r="AI321" i="18"/>
  <c r="AI322" i="18"/>
  <c r="AI323" i="18"/>
  <c r="B321" i="18"/>
  <c r="B322" i="18"/>
  <c r="B323" i="18"/>
  <c r="B325" i="18"/>
  <c r="AC321" i="18"/>
  <c r="AD321" i="18" s="1"/>
  <c r="AC322" i="18"/>
  <c r="AD322" i="18" s="1"/>
  <c r="AC323" i="18"/>
  <c r="AD323" i="18" s="1"/>
  <c r="O254" i="17" l="1"/>
  <c r="O74" i="17" l="1"/>
  <c r="M74" i="17"/>
  <c r="X167" i="19" l="1"/>
  <c r="AC167" i="19" s="1"/>
  <c r="AD167" i="19" s="1"/>
  <c r="K81" i="22" l="1"/>
  <c r="AC78" i="18" l="1"/>
  <c r="AD78" i="18" s="1"/>
  <c r="AC80" i="18"/>
  <c r="AD80" i="18" s="1"/>
  <c r="AC81" i="18"/>
  <c r="AD81" i="18" s="1"/>
  <c r="AC82" i="18"/>
  <c r="AD82" i="18" s="1"/>
  <c r="AC83" i="18"/>
  <c r="AD83" i="18" s="1"/>
  <c r="AC34" i="18"/>
  <c r="AD34" i="18" s="1"/>
  <c r="AC35" i="18"/>
  <c r="AD35" i="18" s="1"/>
  <c r="AC36" i="18"/>
  <c r="AD36" i="18" s="1"/>
  <c r="AC31" i="18"/>
  <c r="AD31" i="18" s="1"/>
  <c r="X27" i="19"/>
  <c r="AI58" i="19" l="1"/>
  <c r="AI59" i="19"/>
  <c r="AI60" i="19"/>
  <c r="AI61" i="19"/>
  <c r="AI62" i="19"/>
  <c r="AK58" i="19"/>
  <c r="AK59" i="19"/>
  <c r="AK60" i="19"/>
  <c r="AK61" i="19"/>
  <c r="AK62" i="19"/>
  <c r="AK63" i="19"/>
  <c r="AC58" i="19"/>
  <c r="AD58" i="19" s="1"/>
  <c r="AC59" i="19"/>
  <c r="AD59" i="19" s="1"/>
  <c r="AC60" i="19"/>
  <c r="AD60" i="19" s="1"/>
  <c r="AC61" i="19"/>
  <c r="AD61" i="19" s="1"/>
  <c r="AC62" i="19"/>
  <c r="AD62" i="19" s="1"/>
  <c r="AC63" i="19"/>
  <c r="AD63" i="19" s="1"/>
  <c r="B58" i="19"/>
  <c r="B59" i="19"/>
  <c r="B60" i="19"/>
  <c r="B61" i="19"/>
  <c r="B62" i="19"/>
  <c r="B63" i="19"/>
  <c r="AJ50" i="19"/>
  <c r="M39" i="22" l="1"/>
  <c r="O39" i="22"/>
  <c r="AM121" i="22"/>
  <c r="AM120" i="22"/>
  <c r="AM118" i="22"/>
  <c r="AM117" i="22"/>
  <c r="AM113" i="22"/>
  <c r="AM112" i="22"/>
  <c r="AM104" i="22"/>
  <c r="AM103" i="22"/>
  <c r="AM102" i="22"/>
  <c r="AM100" i="22"/>
  <c r="AM99" i="22"/>
  <c r="AM97" i="22"/>
  <c r="AM96" i="22"/>
  <c r="AM19" i="22"/>
  <c r="AM21" i="22"/>
  <c r="AM22" i="22"/>
  <c r="AM23" i="22"/>
  <c r="AM27" i="22"/>
  <c r="AM28" i="22"/>
  <c r="AM29" i="22"/>
  <c r="AM30" i="22"/>
  <c r="AM31" i="22"/>
  <c r="AM32" i="22"/>
  <c r="AM33" i="22"/>
  <c r="AM36" i="22"/>
  <c r="AM37" i="22"/>
  <c r="AM38" i="22"/>
  <c r="AM40" i="22"/>
  <c r="AM41" i="22"/>
  <c r="AM46" i="22"/>
  <c r="AM49" i="22"/>
  <c r="AM50" i="22"/>
  <c r="AM51" i="22"/>
  <c r="AM52" i="22"/>
  <c r="AM53" i="22"/>
  <c r="AM54" i="22"/>
  <c r="AM55" i="22"/>
  <c r="AM56" i="22"/>
  <c r="AM58" i="22"/>
  <c r="AM59" i="22"/>
  <c r="AM60" i="22"/>
  <c r="AM61" i="22"/>
  <c r="AM62" i="22"/>
  <c r="AM63" i="22"/>
  <c r="AM64" i="22"/>
  <c r="AM65" i="22"/>
  <c r="AM70" i="22"/>
  <c r="AM71" i="22"/>
  <c r="AM74" i="22"/>
  <c r="AM75" i="22"/>
  <c r="AM76" i="22"/>
  <c r="AM78" i="22"/>
  <c r="AM79" i="22"/>
  <c r="AM186" i="19"/>
  <c r="AM185" i="19"/>
  <c r="AM184" i="19"/>
  <c r="AM183" i="19"/>
  <c r="AM182" i="19"/>
  <c r="AM180" i="19"/>
  <c r="AM171" i="19"/>
  <c r="AM170" i="19"/>
  <c r="AM168" i="19"/>
  <c r="AM167" i="19"/>
  <c r="AM166" i="19"/>
  <c r="AM162" i="19"/>
  <c r="AM161" i="19"/>
  <c r="AM160" i="19"/>
  <c r="AM159" i="19"/>
  <c r="AM158" i="19"/>
  <c r="AM157" i="19"/>
  <c r="AM156" i="19"/>
  <c r="AM155" i="19"/>
  <c r="AM154" i="19"/>
  <c r="AM153" i="19"/>
  <c r="AM152" i="19"/>
  <c r="AM149" i="19"/>
  <c r="AM148" i="19"/>
  <c r="AM147" i="19"/>
  <c r="AM146" i="19"/>
  <c r="AM145" i="19"/>
  <c r="AM144" i="19"/>
  <c r="AM143" i="19"/>
  <c r="AM142" i="19"/>
  <c r="AM139" i="19"/>
  <c r="AM138" i="19"/>
  <c r="AM136" i="19"/>
  <c r="AM134" i="19"/>
  <c r="AM133" i="19"/>
  <c r="AM132" i="19"/>
  <c r="AM131" i="19"/>
  <c r="AM129" i="19"/>
  <c r="AM128" i="19"/>
  <c r="AM125" i="19"/>
  <c r="AM124" i="19"/>
  <c r="AM123" i="19"/>
  <c r="AM121" i="19"/>
  <c r="AM120" i="19"/>
  <c r="AM117" i="19"/>
  <c r="AM116" i="19"/>
  <c r="AM115" i="19"/>
  <c r="AM114" i="19"/>
  <c r="AM112" i="19"/>
  <c r="AM107" i="19"/>
  <c r="AM103" i="19"/>
  <c r="AM102" i="19"/>
  <c r="AM101" i="19"/>
  <c r="AM100" i="19"/>
  <c r="AM99" i="19"/>
  <c r="AM98" i="19"/>
  <c r="AM97" i="19"/>
  <c r="AM96" i="19"/>
  <c r="AM95" i="19"/>
  <c r="AM94" i="19"/>
  <c r="AM93" i="19"/>
  <c r="AM92" i="19"/>
  <c r="AM91" i="19"/>
  <c r="AM90" i="19"/>
  <c r="AM87" i="19"/>
  <c r="AM86" i="19"/>
  <c r="AM85" i="19"/>
  <c r="AM84" i="19"/>
  <c r="AM80" i="19"/>
  <c r="AM79" i="19"/>
  <c r="AM78" i="19"/>
  <c r="AM77" i="19"/>
  <c r="AM76" i="19"/>
  <c r="AM72" i="19"/>
  <c r="AM71" i="19"/>
  <c r="AM70" i="19"/>
  <c r="AM69" i="19"/>
  <c r="AM67" i="19"/>
  <c r="AM64" i="19"/>
  <c r="AM57" i="19"/>
  <c r="AM55" i="19"/>
  <c r="AM52" i="19"/>
  <c r="AM50" i="19"/>
  <c r="AM48" i="19"/>
  <c r="AM47" i="19"/>
  <c r="AM46" i="19"/>
  <c r="AM42" i="19"/>
  <c r="AM41" i="19"/>
  <c r="AM37" i="19"/>
  <c r="AM36" i="19"/>
  <c r="AM22" i="19"/>
  <c r="AM32" i="19"/>
  <c r="AM47" i="1"/>
  <c r="AM46" i="1"/>
  <c r="AM45" i="1"/>
  <c r="AM41" i="1"/>
  <c r="AM40" i="1"/>
  <c r="AM39" i="1"/>
  <c r="AM19" i="1"/>
  <c r="AM20" i="1"/>
  <c r="AM21" i="1"/>
  <c r="AM22" i="1"/>
  <c r="AM23" i="1"/>
  <c r="AM24" i="1"/>
  <c r="AM25" i="1"/>
  <c r="AM26" i="1"/>
  <c r="AM27" i="1"/>
  <c r="AM28" i="1"/>
  <c r="AM29" i="1"/>
  <c r="AM30" i="1"/>
  <c r="AM31" i="1"/>
  <c r="AM32" i="1"/>
  <c r="AM33" i="1"/>
  <c r="AM34" i="1"/>
  <c r="AM35" i="1"/>
  <c r="AM36" i="1"/>
  <c r="AM18" i="1"/>
  <c r="AM255" i="17"/>
  <c r="AM254" i="17"/>
  <c r="AM253" i="17"/>
  <c r="AM252" i="17"/>
  <c r="AM251" i="17"/>
  <c r="AM250" i="17"/>
  <c r="AM249" i="17"/>
  <c r="AM248" i="17"/>
  <c r="AM247" i="17"/>
  <c r="AM245" i="17"/>
  <c r="AM244" i="17"/>
  <c r="AM242" i="17"/>
  <c r="AM241" i="17"/>
  <c r="AM239" i="17"/>
  <c r="AM234" i="17"/>
  <c r="AM231" i="17"/>
  <c r="AM229" i="17"/>
  <c r="AM228" i="17"/>
  <c r="AM227" i="17"/>
  <c r="AM226" i="17"/>
  <c r="AM224" i="17"/>
  <c r="AM222" i="17"/>
  <c r="AM221" i="17"/>
  <c r="AM219" i="17"/>
  <c r="AM218" i="17"/>
  <c r="AM216" i="17"/>
  <c r="AM215" i="17"/>
  <c r="AM214" i="17"/>
  <c r="AM213" i="17"/>
  <c r="AM212" i="17"/>
  <c r="AM211" i="17"/>
  <c r="AM210" i="17"/>
  <c r="AM209" i="17"/>
  <c r="AM208" i="17"/>
  <c r="AM206" i="17"/>
  <c r="AM205" i="17"/>
  <c r="AM204" i="17"/>
  <c r="AM203" i="17"/>
  <c r="AM202" i="17"/>
  <c r="AM199" i="17"/>
  <c r="AM198" i="17"/>
  <c r="AM197" i="17"/>
  <c r="AM195" i="17"/>
  <c r="AM194" i="17"/>
  <c r="AM193" i="17"/>
  <c r="AM188" i="17"/>
  <c r="AM187" i="17"/>
  <c r="AM186" i="17"/>
  <c r="AM185" i="17"/>
  <c r="AM184" i="17"/>
  <c r="AM183" i="17"/>
  <c r="AM182" i="17"/>
  <c r="AM181" i="17"/>
  <c r="AM146" i="17"/>
  <c r="AM145" i="17"/>
  <c r="AM144" i="17"/>
  <c r="AM143" i="17"/>
  <c r="AM142" i="17"/>
  <c r="AM141" i="17"/>
  <c r="AM140" i="17"/>
  <c r="AM139" i="17"/>
  <c r="AM138" i="17"/>
  <c r="AM137" i="17"/>
  <c r="AM135" i="17"/>
  <c r="AM134" i="17"/>
  <c r="AM132" i="17"/>
  <c r="AM131" i="17"/>
  <c r="AM128" i="17"/>
  <c r="AM127" i="17"/>
  <c r="AM122" i="17"/>
  <c r="AM121" i="17"/>
  <c r="AM118" i="17"/>
  <c r="AM24" i="17"/>
  <c r="AM25" i="17"/>
  <c r="AM27" i="17"/>
  <c r="AM29" i="17"/>
  <c r="AM31" i="17"/>
  <c r="AM33" i="17"/>
  <c r="AM37" i="17"/>
  <c r="AM38" i="17"/>
  <c r="AM42" i="17"/>
  <c r="AM43" i="17"/>
  <c r="AM44" i="17"/>
  <c r="AM45" i="17"/>
  <c r="AM50" i="17"/>
  <c r="AM60" i="17"/>
  <c r="AM62" i="17"/>
  <c r="AM65" i="17"/>
  <c r="AM66" i="17"/>
  <c r="AM68" i="17"/>
  <c r="AM69" i="17"/>
  <c r="AM71" i="17"/>
  <c r="AM72" i="17"/>
  <c r="AM73" i="17"/>
  <c r="AM77" i="17"/>
  <c r="AM80" i="17"/>
  <c r="AM83" i="17"/>
  <c r="AM95" i="17"/>
  <c r="AM96" i="17"/>
  <c r="AM97" i="17"/>
  <c r="AM98" i="17"/>
  <c r="AM99" i="17"/>
  <c r="AM100" i="17"/>
  <c r="AM101" i="17"/>
  <c r="AM103" i="17"/>
  <c r="AM104" i="17"/>
  <c r="AM105" i="17"/>
  <c r="AM106" i="17"/>
  <c r="AM107" i="17"/>
  <c r="AM108" i="17"/>
  <c r="AM109" i="17"/>
  <c r="AM110" i="17"/>
  <c r="AM19" i="17"/>
  <c r="AM331" i="18" l="1"/>
  <c r="AM329" i="18"/>
  <c r="AM328" i="18"/>
  <c r="AM320" i="18"/>
  <c r="AM315" i="18"/>
  <c r="AM313" i="18"/>
  <c r="AM312" i="18"/>
  <c r="AM310" i="18"/>
  <c r="AM309" i="18"/>
  <c r="AM306" i="18"/>
  <c r="AM304" i="18"/>
  <c r="AM302" i="18"/>
  <c r="AM300" i="18"/>
  <c r="AM299" i="18"/>
  <c r="AM297" i="18"/>
  <c r="AM295" i="18"/>
  <c r="AM293" i="18"/>
  <c r="AM292" i="18"/>
  <c r="AM291" i="18"/>
  <c r="AM289" i="18"/>
  <c r="AM286" i="18"/>
  <c r="AM284" i="18"/>
  <c r="AM282" i="18"/>
  <c r="AM280" i="18"/>
  <c r="AM278" i="18"/>
  <c r="AM277" i="18"/>
  <c r="AM276" i="18"/>
  <c r="AM274" i="18"/>
  <c r="AM272" i="18"/>
  <c r="AM271" i="18"/>
  <c r="AM269" i="18"/>
  <c r="AM267" i="18"/>
  <c r="AM265" i="18"/>
  <c r="AM264" i="18"/>
  <c r="AM263" i="18"/>
  <c r="AM255" i="18"/>
  <c r="AM254" i="18"/>
  <c r="AM250" i="18"/>
  <c r="AM249" i="18"/>
  <c r="AM248" i="18"/>
  <c r="AM244" i="18"/>
  <c r="AM243" i="18"/>
  <c r="AM242" i="18"/>
  <c r="AM241" i="18"/>
  <c r="AM240" i="18"/>
  <c r="AM239" i="18"/>
  <c r="AM230" i="18"/>
  <c r="AM229" i="18"/>
  <c r="AM226" i="18"/>
  <c r="AM225" i="18"/>
  <c r="AM223" i="18"/>
  <c r="AM222" i="18"/>
  <c r="AM220" i="18"/>
  <c r="AM219" i="18"/>
  <c r="AM217" i="18"/>
  <c r="AM216" i="18"/>
  <c r="AM215" i="18"/>
  <c r="AM214" i="18"/>
  <c r="AM213" i="18"/>
  <c r="AM212" i="18"/>
  <c r="AM196" i="18"/>
  <c r="AM193" i="18"/>
  <c r="AM188" i="18"/>
  <c r="AM187" i="18"/>
  <c r="AM186" i="18"/>
  <c r="AM185" i="18"/>
  <c r="AM184" i="18"/>
  <c r="AM183" i="18"/>
  <c r="AM182" i="18"/>
  <c r="AM181" i="18"/>
  <c r="AM180" i="18"/>
  <c r="AM179" i="18"/>
  <c r="AM178" i="18"/>
  <c r="AM177" i="18"/>
  <c r="AM175" i="18"/>
  <c r="AM174" i="18"/>
  <c r="AM173" i="18"/>
  <c r="AM172" i="18"/>
  <c r="AM171" i="18"/>
  <c r="AM170" i="18"/>
  <c r="AM169" i="18"/>
  <c r="AM168" i="18"/>
  <c r="AM167" i="18"/>
  <c r="AM166" i="18"/>
  <c r="AM165" i="18"/>
  <c r="AM164" i="18"/>
  <c r="AM163" i="18"/>
  <c r="AM162" i="18"/>
  <c r="AM161" i="18"/>
  <c r="AM160" i="18"/>
  <c r="AM159" i="18"/>
  <c r="AM158" i="18"/>
  <c r="AM157" i="18"/>
  <c r="AM155" i="18"/>
  <c r="AM150" i="18"/>
  <c r="AM149" i="18"/>
  <c r="AM148" i="18"/>
  <c r="AM147" i="18"/>
  <c r="AM145" i="18"/>
  <c r="AM143" i="18"/>
  <c r="AM142" i="18"/>
  <c r="AM140" i="18"/>
  <c r="AM137" i="18"/>
  <c r="AM135" i="18"/>
  <c r="AM134" i="18"/>
  <c r="AM132" i="18"/>
  <c r="AM131" i="18"/>
  <c r="AM130" i="18"/>
  <c r="AM128" i="18"/>
  <c r="AM124" i="18"/>
  <c r="AM123" i="18"/>
  <c r="AM120" i="18"/>
  <c r="AM119" i="18"/>
  <c r="AM118" i="18"/>
  <c r="AM116" i="18"/>
  <c r="AM113" i="18"/>
  <c r="AM112" i="18"/>
  <c r="AM111" i="18"/>
  <c r="AM105" i="18"/>
  <c r="AM104" i="18"/>
  <c r="AM100" i="18"/>
  <c r="AM99" i="18"/>
  <c r="AM93" i="18"/>
  <c r="AM92" i="18"/>
  <c r="AM91" i="18"/>
  <c r="AM88" i="18"/>
  <c r="AM87" i="18"/>
  <c r="AM86" i="18"/>
  <c r="AM83" i="18"/>
  <c r="AM82" i="18"/>
  <c r="AM81" i="18"/>
  <c r="AM78" i="18"/>
  <c r="AM74" i="18"/>
  <c r="AM73" i="18"/>
  <c r="AM72" i="18"/>
  <c r="AM69" i="18"/>
  <c r="AM66" i="18"/>
  <c r="AM65" i="18"/>
  <c r="AM64" i="18"/>
  <c r="AM60" i="18"/>
  <c r="AM57" i="18"/>
  <c r="AM54" i="18"/>
  <c r="AM50" i="18"/>
  <c r="AM48" i="18"/>
  <c r="AM45" i="18"/>
  <c r="AM42" i="18"/>
  <c r="AM39" i="18"/>
  <c r="AM34" i="18"/>
  <c r="AM33" i="18"/>
  <c r="AM26" i="18"/>
  <c r="AM20" i="18"/>
  <c r="AM21" i="18"/>
  <c r="AM19" i="18"/>
  <c r="AM114" i="17" l="1"/>
  <c r="B110" i="17"/>
  <c r="AK110" i="17"/>
  <c r="AI110" i="17"/>
  <c r="AC110" i="17"/>
  <c r="AD110" i="17" s="1"/>
  <c r="AM74" i="17"/>
  <c r="AM80" i="22" l="1"/>
  <c r="AK79" i="22"/>
  <c r="AI79" i="22"/>
  <c r="AC79" i="22"/>
  <c r="AD79" i="22" s="1"/>
  <c r="B79" i="22"/>
  <c r="X232" i="17" l="1"/>
  <c r="X26" i="17"/>
  <c r="AI28" i="22" l="1"/>
  <c r="AI29" i="22"/>
  <c r="AK31" i="22"/>
  <c r="AK32" i="22"/>
  <c r="AC77" i="22"/>
  <c r="AD77" i="22" s="1"/>
  <c r="AI78" i="22"/>
  <c r="AI31" i="22"/>
  <c r="AC78" i="22"/>
  <c r="AD78" i="22" s="1"/>
  <c r="AJ39" i="22"/>
  <c r="AM39" i="22" s="1"/>
  <c r="X171" i="18" l="1"/>
  <c r="AC132" i="17" l="1"/>
  <c r="AD132" i="17" s="1"/>
  <c r="AC134" i="17"/>
  <c r="AD134" i="17" s="1"/>
  <c r="AC135" i="17"/>
  <c r="AD135" i="17" s="1"/>
  <c r="AC136" i="17"/>
  <c r="AD136" i="17" s="1"/>
  <c r="AC137" i="17"/>
  <c r="AD137" i="17" s="1"/>
  <c r="AC139" i="17"/>
  <c r="AD139" i="17" s="1"/>
  <c r="AC140" i="17"/>
  <c r="AD140" i="17" s="1"/>
  <c r="AC141" i="17"/>
  <c r="AD141" i="17" s="1"/>
  <c r="AC142" i="17"/>
  <c r="AD142" i="17" s="1"/>
  <c r="AC143" i="17"/>
  <c r="AD143" i="17" s="1"/>
  <c r="AC144" i="17"/>
  <c r="AD144" i="17" s="1"/>
  <c r="AC145" i="17"/>
  <c r="AD145" i="17" s="1"/>
  <c r="AC146" i="17"/>
  <c r="AD146" i="17" s="1"/>
  <c r="AC147" i="17"/>
  <c r="AD147" i="17" s="1"/>
  <c r="AC171" i="17"/>
  <c r="AD171" i="17" s="1"/>
  <c r="AC172" i="17"/>
  <c r="AD172" i="17" s="1"/>
  <c r="AC173" i="17"/>
  <c r="AD173" i="17" s="1"/>
  <c r="AC174" i="17"/>
  <c r="AD174" i="17" s="1"/>
  <c r="AC175" i="17"/>
  <c r="AD175" i="17" s="1"/>
  <c r="AC176" i="17"/>
  <c r="AD176" i="17" s="1"/>
  <c r="AC177" i="17"/>
  <c r="AD177" i="17" s="1"/>
  <c r="AC178" i="17"/>
  <c r="AD178" i="17" s="1"/>
  <c r="AC179" i="17"/>
  <c r="AD179" i="17" s="1"/>
  <c r="AC180" i="17"/>
  <c r="AD180" i="17" s="1"/>
  <c r="AC181" i="17"/>
  <c r="AD181" i="17" s="1"/>
  <c r="AC182" i="17"/>
  <c r="AD182" i="17" s="1"/>
  <c r="AC184" i="17"/>
  <c r="AD184" i="17" s="1"/>
  <c r="AC185" i="17"/>
  <c r="AD185" i="17" s="1"/>
  <c r="AC186" i="17"/>
  <c r="AD186" i="17" s="1"/>
  <c r="AC187" i="17"/>
  <c r="AD187" i="17" s="1"/>
  <c r="W258" i="17"/>
  <c r="W189" i="17"/>
  <c r="W129" i="17"/>
  <c r="W123" i="17"/>
  <c r="W119" i="17"/>
  <c r="X59" i="17" l="1"/>
  <c r="AI41" i="19" l="1"/>
  <c r="AK148" i="17"/>
  <c r="AI177" i="17"/>
  <c r="AI178" i="17"/>
  <c r="AI179" i="17"/>
  <c r="B177" i="17"/>
  <c r="B178" i="17"/>
  <c r="B179" i="17"/>
  <c r="B180" i="17"/>
  <c r="AK78" i="18" l="1"/>
  <c r="AI78" i="18"/>
  <c r="B78" i="18"/>
  <c r="B31" i="22"/>
  <c r="R48" i="1"/>
  <c r="S48" i="1"/>
  <c r="T48" i="1"/>
  <c r="U48" i="1"/>
  <c r="V48" i="1"/>
  <c r="W48" i="1"/>
  <c r="X48" i="1"/>
  <c r="Y48" i="1"/>
  <c r="Z48" i="1"/>
  <c r="AA48" i="1"/>
  <c r="AB48" i="1"/>
  <c r="Q48" i="1"/>
  <c r="O48" i="1"/>
  <c r="M48" i="1"/>
  <c r="AM330" i="18" l="1"/>
  <c r="K56" i="19" l="1"/>
  <c r="B76" i="18"/>
  <c r="B95" i="18"/>
  <c r="B246" i="18"/>
  <c r="B209" i="18"/>
  <c r="B195" i="18"/>
  <c r="AI83" i="17" l="1"/>
  <c r="AI32" i="22" l="1"/>
  <c r="AC31" i="22"/>
  <c r="AD31" i="22" s="1"/>
  <c r="X147" i="18" l="1"/>
  <c r="X332" i="18"/>
  <c r="X194" i="18"/>
  <c r="X111" i="19" l="1"/>
  <c r="X75" i="19"/>
  <c r="X76" i="19"/>
  <c r="AK144" i="17" l="1"/>
  <c r="AI144" i="17"/>
  <c r="AI145" i="17"/>
  <c r="AI146" i="17"/>
  <c r="B145" i="17"/>
  <c r="B146" i="17"/>
  <c r="AK141" i="17"/>
  <c r="AI142" i="17"/>
  <c r="AI143" i="17"/>
  <c r="B142" i="17"/>
  <c r="B143" i="17"/>
  <c r="B148" i="17"/>
  <c r="B151" i="17"/>
  <c r="B150" i="17"/>
  <c r="B149" i="17"/>
  <c r="B171" i="17"/>
  <c r="B172" i="17"/>
  <c r="B173" i="17"/>
  <c r="B174" i="17"/>
  <c r="AI171" i="17"/>
  <c r="M56" i="19" l="1"/>
  <c r="B89" i="22" l="1"/>
  <c r="B17" i="22"/>
  <c r="O35" i="22" l="1"/>
  <c r="M35" i="22"/>
  <c r="AI76" i="22"/>
  <c r="AI77" i="22"/>
  <c r="AI80" i="22"/>
  <c r="AJ35" i="22"/>
  <c r="AM35" i="22" s="1"/>
  <c r="AC195" i="17" l="1"/>
  <c r="AD195" i="17" s="1"/>
  <c r="AC201" i="17"/>
  <c r="AD201" i="17" s="1"/>
  <c r="AC202" i="17"/>
  <c r="AD202" i="17" s="1"/>
  <c r="AC206" i="17"/>
  <c r="AD206" i="17" s="1"/>
  <c r="AC220" i="17"/>
  <c r="AD220" i="17" s="1"/>
  <c r="AC228" i="17"/>
  <c r="AD228" i="17" s="1"/>
  <c r="AC232" i="17"/>
  <c r="AD232" i="17" s="1"/>
  <c r="AC233" i="17"/>
  <c r="AD233" i="17" s="1"/>
  <c r="AC235" i="17"/>
  <c r="AD235" i="17" s="1"/>
  <c r="AC236" i="17"/>
  <c r="AD236" i="17" s="1"/>
  <c r="AC237" i="17"/>
  <c r="AD237" i="17" s="1"/>
  <c r="AC244" i="17"/>
  <c r="AD244" i="17" s="1"/>
  <c r="AC245" i="17"/>
  <c r="AD245" i="17" s="1"/>
  <c r="AC247" i="17"/>
  <c r="AD247" i="17" s="1"/>
  <c r="AC248" i="17"/>
  <c r="AD248" i="17" s="1"/>
  <c r="AC249" i="17"/>
  <c r="AD249" i="17" s="1"/>
  <c r="AC250" i="17"/>
  <c r="AD250" i="17" s="1"/>
  <c r="AC251" i="17"/>
  <c r="AD251" i="17" s="1"/>
  <c r="AC252" i="17"/>
  <c r="AD252" i="17" s="1"/>
  <c r="AC253" i="17"/>
  <c r="AD253" i="17" s="1"/>
  <c r="AC254" i="17"/>
  <c r="AD254" i="17" s="1"/>
  <c r="AC255" i="17"/>
  <c r="AD255" i="17" s="1"/>
  <c r="AC257" i="17"/>
  <c r="AD257" i="17" s="1"/>
  <c r="AC148" i="17"/>
  <c r="AD148" i="17" s="1"/>
  <c r="AC149" i="17"/>
  <c r="AD149" i="17" s="1"/>
  <c r="AC150" i="17"/>
  <c r="AD150" i="17" s="1"/>
  <c r="AC151" i="17"/>
  <c r="AD151" i="17" s="1"/>
  <c r="AC153" i="17"/>
  <c r="AD153" i="17" s="1"/>
  <c r="AC154" i="17"/>
  <c r="AD154" i="17" s="1"/>
  <c r="AC155" i="17"/>
  <c r="AD155" i="17" s="1"/>
  <c r="AC156" i="17"/>
  <c r="AD156" i="17" s="1"/>
  <c r="AC157" i="17"/>
  <c r="AD157" i="17" s="1"/>
  <c r="AC158" i="17"/>
  <c r="AD158" i="17" s="1"/>
  <c r="AC159" i="17"/>
  <c r="AD159" i="17" s="1"/>
  <c r="AC160" i="17"/>
  <c r="AD160" i="17" s="1"/>
  <c r="AC161" i="17"/>
  <c r="AD161" i="17" s="1"/>
  <c r="AC162" i="17"/>
  <c r="AD162" i="17" s="1"/>
  <c r="AC163" i="17"/>
  <c r="AD163" i="17" s="1"/>
  <c r="AC164" i="17"/>
  <c r="AD164" i="17" s="1"/>
  <c r="AC165" i="17"/>
  <c r="AD165" i="17" s="1"/>
  <c r="AC166" i="17"/>
  <c r="AD166" i="17" s="1"/>
  <c r="AC167" i="17"/>
  <c r="AD167" i="17" s="1"/>
  <c r="AC168" i="17"/>
  <c r="AD168" i="17" s="1"/>
  <c r="AC170" i="17"/>
  <c r="AD170" i="17" s="1"/>
  <c r="AC188" i="17"/>
  <c r="AD188" i="17" s="1"/>
  <c r="AC126" i="17"/>
  <c r="AD126" i="17" s="1"/>
  <c r="AC127" i="17"/>
  <c r="AD127" i="17" s="1"/>
  <c r="AC128" i="17"/>
  <c r="AD128" i="17" s="1"/>
  <c r="AC122" i="17"/>
  <c r="AD122" i="17" s="1"/>
  <c r="AC20" i="17"/>
  <c r="AD20" i="17" s="1"/>
  <c r="AC21" i="17"/>
  <c r="AD21" i="17" s="1"/>
  <c r="AC22" i="17"/>
  <c r="AD22" i="17" s="1"/>
  <c r="AC27" i="17"/>
  <c r="AD27" i="17" s="1"/>
  <c r="AC30" i="17"/>
  <c r="AD30" i="17" s="1"/>
  <c r="AC31" i="17"/>
  <c r="AD31" i="17" s="1"/>
  <c r="AC32" i="17"/>
  <c r="AD32" i="17" s="1"/>
  <c r="AC35" i="17"/>
  <c r="AD35" i="17" s="1"/>
  <c r="AC36" i="17"/>
  <c r="AD36" i="17" s="1"/>
  <c r="AC37" i="17"/>
  <c r="AD37" i="17" s="1"/>
  <c r="AC40" i="17"/>
  <c r="AD40" i="17" s="1"/>
  <c r="AC46" i="17"/>
  <c r="AD46" i="17" s="1"/>
  <c r="AC49" i="17"/>
  <c r="AD49" i="17" s="1"/>
  <c r="AC51" i="17"/>
  <c r="AD51" i="17" s="1"/>
  <c r="AC55" i="17"/>
  <c r="AD55" i="17" s="1"/>
  <c r="AC56" i="17"/>
  <c r="AD56" i="17" s="1"/>
  <c r="AC57" i="17"/>
  <c r="AD57" i="17" s="1"/>
  <c r="AC59" i="17"/>
  <c r="AD59" i="17" s="1"/>
  <c r="AC61" i="17"/>
  <c r="AD61" i="17" s="1"/>
  <c r="AC62" i="17"/>
  <c r="AD62" i="17" s="1"/>
  <c r="AC63" i="17"/>
  <c r="AD63" i="17" s="1"/>
  <c r="AC64" i="17"/>
  <c r="AD64" i="17" s="1"/>
  <c r="AC65" i="17"/>
  <c r="AD65" i="17" s="1"/>
  <c r="AC66" i="17"/>
  <c r="AD66" i="17" s="1"/>
  <c r="AC67" i="17"/>
  <c r="AD67" i="17" s="1"/>
  <c r="AC68" i="17"/>
  <c r="AD68" i="17" s="1"/>
  <c r="AC69" i="17"/>
  <c r="AD69" i="17" s="1"/>
  <c r="AC70" i="17"/>
  <c r="AD70" i="17" s="1"/>
  <c r="AC71" i="17"/>
  <c r="AD71" i="17" s="1"/>
  <c r="AC72" i="17"/>
  <c r="AD72" i="17" s="1"/>
  <c r="AC73" i="17"/>
  <c r="AD73" i="17" s="1"/>
  <c r="AC74" i="17"/>
  <c r="AD74" i="17" s="1"/>
  <c r="AC75" i="17"/>
  <c r="AD75" i="17" s="1"/>
  <c r="AC76" i="17"/>
  <c r="AD76" i="17" s="1"/>
  <c r="AC77" i="17"/>
  <c r="AD77" i="17" s="1"/>
  <c r="AC78" i="17"/>
  <c r="AD78" i="17" s="1"/>
  <c r="AC80" i="17"/>
  <c r="AD80" i="17" s="1"/>
  <c r="AC81" i="17"/>
  <c r="AD81" i="17" s="1"/>
  <c r="AC82" i="17"/>
  <c r="AD82" i="17" s="1"/>
  <c r="AC83" i="17"/>
  <c r="AD83" i="17" s="1"/>
  <c r="AC84" i="17"/>
  <c r="AD84" i="17" s="1"/>
  <c r="AC85" i="17"/>
  <c r="AD85" i="17" s="1"/>
  <c r="AC86" i="17"/>
  <c r="AD86" i="17" s="1"/>
  <c r="AC87" i="17"/>
  <c r="AD87" i="17" s="1"/>
  <c r="AC88" i="17"/>
  <c r="AD88" i="17" s="1"/>
  <c r="AC89" i="17"/>
  <c r="AD89" i="17" s="1"/>
  <c r="AC90" i="17"/>
  <c r="AD90" i="17" s="1"/>
  <c r="AC91" i="17"/>
  <c r="AD91" i="17" s="1"/>
  <c r="AC92" i="17"/>
  <c r="AD92" i="17" s="1"/>
  <c r="AC93" i="17"/>
  <c r="AD93" i="17" s="1"/>
  <c r="AC94" i="17"/>
  <c r="AD94" i="17" s="1"/>
  <c r="AC95" i="17"/>
  <c r="AD95" i="17" s="1"/>
  <c r="AC96" i="17"/>
  <c r="AD96" i="17" s="1"/>
  <c r="AC97" i="17"/>
  <c r="AD97" i="17" s="1"/>
  <c r="AC98" i="17"/>
  <c r="AD98" i="17" s="1"/>
  <c r="AC99" i="17"/>
  <c r="AD99" i="17" s="1"/>
  <c r="AC100" i="17"/>
  <c r="AD100" i="17" s="1"/>
  <c r="AC101" i="17"/>
  <c r="AD101" i="17" s="1"/>
  <c r="AC102" i="17"/>
  <c r="AD102" i="17" s="1"/>
  <c r="AC103" i="17"/>
  <c r="AD103" i="17" s="1"/>
  <c r="AC104" i="17"/>
  <c r="AD104" i="17" s="1"/>
  <c r="AC105" i="17"/>
  <c r="AD105" i="17" s="1"/>
  <c r="AC106" i="17"/>
  <c r="AD106" i="17" s="1"/>
  <c r="AC107" i="17"/>
  <c r="AD107" i="17" s="1"/>
  <c r="AC108" i="17"/>
  <c r="AD108" i="17" s="1"/>
  <c r="AC109" i="17"/>
  <c r="AD109" i="17" s="1"/>
  <c r="AC114" i="17"/>
  <c r="AD114" i="17" s="1"/>
  <c r="AC72" i="18"/>
  <c r="AD72" i="18" s="1"/>
  <c r="AC73" i="18"/>
  <c r="AD73" i="18" s="1"/>
  <c r="AC74" i="18"/>
  <c r="AD74" i="18" s="1"/>
  <c r="AC117" i="18"/>
  <c r="AD117" i="18" s="1"/>
  <c r="AC120" i="18"/>
  <c r="AD120" i="18" s="1"/>
  <c r="AC122" i="18"/>
  <c r="AD122" i="18" s="1"/>
  <c r="AC125" i="18"/>
  <c r="AD125" i="18" s="1"/>
  <c r="AC127" i="18"/>
  <c r="AD127" i="18" s="1"/>
  <c r="AC129" i="18"/>
  <c r="AD129" i="18" s="1"/>
  <c r="AC133" i="18"/>
  <c r="AD133" i="18" s="1"/>
  <c r="AC136" i="18"/>
  <c r="AD136" i="18" s="1"/>
  <c r="AC138" i="18"/>
  <c r="AD138" i="18" s="1"/>
  <c r="AC141" i="18"/>
  <c r="AD141" i="18" s="1"/>
  <c r="AC142" i="18"/>
  <c r="AD142" i="18" s="1"/>
  <c r="AC143" i="18"/>
  <c r="AD143" i="18" s="1"/>
  <c r="AC144" i="18"/>
  <c r="AD144" i="18" s="1"/>
  <c r="AC145" i="18"/>
  <c r="AD145" i="18" s="1"/>
  <c r="AC146" i="18"/>
  <c r="AD146" i="18" s="1"/>
  <c r="AC147" i="18"/>
  <c r="AD147" i="18" s="1"/>
  <c r="AC148" i="18"/>
  <c r="AD148" i="18" s="1"/>
  <c r="AC149" i="18"/>
  <c r="AD149" i="18" s="1"/>
  <c r="AC150" i="18"/>
  <c r="AD150" i="18" s="1"/>
  <c r="AC151" i="18"/>
  <c r="AD151" i="18" s="1"/>
  <c r="AC156" i="18"/>
  <c r="AD156" i="18" s="1"/>
  <c r="AC167" i="18"/>
  <c r="AD167" i="18" s="1"/>
  <c r="AC168" i="18"/>
  <c r="AD168" i="18" s="1"/>
  <c r="AC176" i="18"/>
  <c r="AD176" i="18" s="1"/>
  <c r="AC177" i="18"/>
  <c r="AD177" i="18" s="1"/>
  <c r="AC178" i="18"/>
  <c r="AD178" i="18" s="1"/>
  <c r="AC179" i="18"/>
  <c r="AD179" i="18" s="1"/>
  <c r="AC180" i="18"/>
  <c r="AD180" i="18" s="1"/>
  <c r="AC181" i="18"/>
  <c r="AD181" i="18" s="1"/>
  <c r="AC182" i="18"/>
  <c r="AD182" i="18" s="1"/>
  <c r="AC183" i="18"/>
  <c r="AD183" i="18" s="1"/>
  <c r="AC184" i="18"/>
  <c r="AD184" i="18" s="1"/>
  <c r="AC185" i="18"/>
  <c r="AD185" i="18" s="1"/>
  <c r="AC186" i="18"/>
  <c r="AD186" i="18" s="1"/>
  <c r="AC187" i="18"/>
  <c r="AD187" i="18" s="1"/>
  <c r="AC188" i="18"/>
  <c r="AD188" i="18" s="1"/>
  <c r="AC193" i="18"/>
  <c r="AD193" i="18" s="1"/>
  <c r="AJ231" i="18" l="1"/>
  <c r="AM231" i="18" s="1"/>
  <c r="AJ176" i="18"/>
  <c r="AM176" i="18" s="1"/>
  <c r="AK104" i="18" l="1"/>
  <c r="AK99" i="18"/>
  <c r="AC20" i="22"/>
  <c r="AD20" i="22" s="1"/>
  <c r="AC22" i="22"/>
  <c r="AD22" i="22" s="1"/>
  <c r="AC23" i="22"/>
  <c r="AD23" i="22" s="1"/>
  <c r="AC24" i="22"/>
  <c r="AD24" i="22" s="1"/>
  <c r="AC28" i="22"/>
  <c r="AD28" i="22" s="1"/>
  <c r="AC34" i="22"/>
  <c r="AD34" i="22" s="1"/>
  <c r="AC35" i="22"/>
  <c r="AD35" i="22" s="1"/>
  <c r="AC37" i="22"/>
  <c r="AD37" i="22" s="1"/>
  <c r="AC38" i="22"/>
  <c r="AD38" i="22" s="1"/>
  <c r="AC41" i="22"/>
  <c r="AD41" i="22" s="1"/>
  <c r="AC42" i="22"/>
  <c r="AD42" i="22" s="1"/>
  <c r="AC43" i="22"/>
  <c r="AD43" i="22" s="1"/>
  <c r="AC44" i="22"/>
  <c r="AC45" i="22"/>
  <c r="AD45" i="22" s="1"/>
  <c r="AC46" i="22"/>
  <c r="AD46" i="22" s="1"/>
  <c r="AC47" i="22"/>
  <c r="AD47" i="22" s="1"/>
  <c r="AC48" i="22"/>
  <c r="AD48" i="22" s="1"/>
  <c r="AC49" i="22"/>
  <c r="AD49" i="22" s="1"/>
  <c r="AC50" i="22"/>
  <c r="AD50" i="22" s="1"/>
  <c r="AC51" i="22"/>
  <c r="AD51" i="22" s="1"/>
  <c r="AC52" i="22"/>
  <c r="AD52" i="22" s="1"/>
  <c r="AC53" i="22"/>
  <c r="AD53" i="22" s="1"/>
  <c r="AC54" i="22"/>
  <c r="AD54" i="22" s="1"/>
  <c r="AC55" i="22"/>
  <c r="AD55" i="22" s="1"/>
  <c r="AC56" i="22"/>
  <c r="AD56" i="22" s="1"/>
  <c r="AC57" i="22"/>
  <c r="AC58" i="22"/>
  <c r="AD58" i="22" s="1"/>
  <c r="AC59" i="22"/>
  <c r="AD59" i="22" s="1"/>
  <c r="AC60" i="22"/>
  <c r="AD60" i="22" s="1"/>
  <c r="AC61" i="22"/>
  <c r="AD61" i="22" s="1"/>
  <c r="AC62" i="22"/>
  <c r="AD62" i="22" s="1"/>
  <c r="AC63" i="22"/>
  <c r="AD63" i="22" s="1"/>
  <c r="AC64" i="22"/>
  <c r="AD64" i="22" s="1"/>
  <c r="AC65" i="22"/>
  <c r="AD65" i="22" s="1"/>
  <c r="AC66" i="22"/>
  <c r="AD66" i="22" s="1"/>
  <c r="AC69" i="22"/>
  <c r="AD69" i="22" s="1"/>
  <c r="AC72" i="22"/>
  <c r="AD72" i="22" s="1"/>
  <c r="AC74" i="22"/>
  <c r="AD74" i="22" s="1"/>
  <c r="AC75" i="22"/>
  <c r="AD75" i="22" s="1"/>
  <c r="AC76" i="22"/>
  <c r="AD76" i="22" s="1"/>
  <c r="AC80" i="22"/>
  <c r="AD80" i="22" s="1"/>
  <c r="Y257" i="18" l="1"/>
  <c r="AA257" i="18"/>
  <c r="AA245" i="18"/>
  <c r="AC211" i="18"/>
  <c r="AD211" i="18" s="1"/>
  <c r="AC218" i="18"/>
  <c r="AD218" i="18" s="1"/>
  <c r="AC221" i="18"/>
  <c r="AD221" i="18" s="1"/>
  <c r="AC223" i="18"/>
  <c r="AD223" i="18" s="1"/>
  <c r="AC227" i="18"/>
  <c r="AD227" i="18" s="1"/>
  <c r="AC228" i="18"/>
  <c r="AD228" i="18" s="1"/>
  <c r="AC229" i="18"/>
  <c r="AD229" i="18" s="1"/>
  <c r="AC230" i="18"/>
  <c r="AD230" i="18" s="1"/>
  <c r="AC231" i="18"/>
  <c r="AD231" i="18" s="1"/>
  <c r="AC232" i="18"/>
  <c r="AD232" i="18" s="1"/>
  <c r="AC233" i="18"/>
  <c r="AD233" i="18" s="1"/>
  <c r="AC234" i="18"/>
  <c r="AD234" i="18" s="1"/>
  <c r="AC235" i="18"/>
  <c r="AD235" i="18" s="1"/>
  <c r="AC236" i="18"/>
  <c r="AD236" i="18" s="1"/>
  <c r="AC237" i="18"/>
  <c r="AD237" i="18" s="1"/>
  <c r="AC238" i="18"/>
  <c r="AD238" i="18" s="1"/>
  <c r="AC239" i="18"/>
  <c r="AD239" i="18" s="1"/>
  <c r="AC240" i="18"/>
  <c r="AD240" i="18" s="1"/>
  <c r="AC241" i="18"/>
  <c r="AD241" i="18" s="1"/>
  <c r="AC242" i="18"/>
  <c r="AD242" i="18" s="1"/>
  <c r="AC243" i="18"/>
  <c r="AD243" i="18" s="1"/>
  <c r="AC244" i="18"/>
  <c r="AD244" i="18" s="1"/>
  <c r="R245" i="18"/>
  <c r="T245" i="18"/>
  <c r="U245" i="18"/>
  <c r="W245" i="18"/>
  <c r="X245" i="18"/>
  <c r="Y245" i="18"/>
  <c r="Z245" i="18"/>
  <c r="AB245" i="18"/>
  <c r="Q245" i="18"/>
  <c r="O208" i="18"/>
  <c r="O203" i="18"/>
  <c r="M203" i="18"/>
  <c r="M199" i="18"/>
  <c r="M194" i="18"/>
  <c r="M114" i="18"/>
  <c r="M107" i="18"/>
  <c r="M102" i="18"/>
  <c r="M97" i="18"/>
  <c r="M94" i="18"/>
  <c r="O89" i="18"/>
  <c r="M89" i="18"/>
  <c r="M84" i="18"/>
  <c r="M37" i="18"/>
  <c r="O115" i="22"/>
  <c r="W123" i="22"/>
  <c r="W81" i="22"/>
  <c r="W125" i="22" s="1"/>
  <c r="U115" i="22"/>
  <c r="V115" i="22"/>
  <c r="W115" i="22"/>
  <c r="M187" i="19"/>
  <c r="O187" i="19"/>
  <c r="AK70" i="22"/>
  <c r="AK71" i="22"/>
  <c r="AK74" i="22"/>
  <c r="AK75" i="22"/>
  <c r="AK76" i="22"/>
  <c r="AK78" i="22"/>
  <c r="AK80" i="22"/>
  <c r="B71" i="22"/>
  <c r="B72" i="22"/>
  <c r="B74" i="22"/>
  <c r="B75" i="22"/>
  <c r="B76" i="22"/>
  <c r="B77" i="22"/>
  <c r="B78" i="22"/>
  <c r="B80" i="22"/>
  <c r="AJ63" i="18" l="1"/>
  <c r="AM63" i="18" s="1"/>
  <c r="AC249" i="18"/>
  <c r="AD249" i="18" s="1"/>
  <c r="AC250" i="18"/>
  <c r="AD250" i="18" s="1"/>
  <c r="B249" i="18"/>
  <c r="B250" i="18"/>
  <c r="AK249" i="18"/>
  <c r="AK250" i="18"/>
  <c r="AI249" i="18"/>
  <c r="AI250" i="18"/>
  <c r="AI188" i="18"/>
  <c r="AI193" i="18"/>
  <c r="AJ198" i="18"/>
  <c r="AM198" i="18" s="1"/>
  <c r="AJ197" i="18"/>
  <c r="AM197" i="18" s="1"/>
  <c r="AI239" i="18"/>
  <c r="AI240" i="18"/>
  <c r="AI241" i="18"/>
  <c r="AI242" i="18"/>
  <c r="AI243" i="18"/>
  <c r="AI244" i="18"/>
  <c r="AK242" i="18"/>
  <c r="AK243" i="18"/>
  <c r="AK244" i="18"/>
  <c r="B242" i="18"/>
  <c r="B243" i="18"/>
  <c r="B244" i="18"/>
  <c r="AJ67" i="18" l="1"/>
  <c r="AJ228" i="18"/>
  <c r="AM228" i="18" s="1"/>
  <c r="AJ96" i="18"/>
  <c r="AM96" i="18" s="1"/>
  <c r="M75" i="19" l="1"/>
  <c r="AI112" i="22"/>
  <c r="AI113" i="22"/>
  <c r="AI97" i="22"/>
  <c r="AJ111" i="22"/>
  <c r="AM111" i="22" s="1"/>
  <c r="AJ110" i="22"/>
  <c r="AM110" i="22" s="1"/>
  <c r="AJ109" i="22"/>
  <c r="AM109" i="22" s="1"/>
  <c r="AJ108" i="22"/>
  <c r="AM108" i="22" s="1"/>
  <c r="AJ107" i="22"/>
  <c r="AM107" i="22" s="1"/>
  <c r="AJ106" i="22"/>
  <c r="AJ56" i="19" l="1"/>
  <c r="AM56" i="19" s="1"/>
  <c r="AJ105" i="22" l="1"/>
  <c r="AM105" i="22" s="1"/>
  <c r="AJ101" i="22"/>
  <c r="AM101" i="22" s="1"/>
  <c r="AJ90" i="22"/>
  <c r="AM90" i="22" s="1"/>
  <c r="AJ69" i="22" l="1"/>
  <c r="AJ45" i="22"/>
  <c r="AM45" i="22" s="1"/>
  <c r="AJ20" i="22"/>
  <c r="AM20" i="22" s="1"/>
  <c r="AJ73" i="22"/>
  <c r="AK69" i="22" l="1"/>
  <c r="AM257" i="17"/>
  <c r="AJ230" i="17"/>
  <c r="AM230" i="17" s="1"/>
  <c r="AJ55" i="17"/>
  <c r="AM55" i="17" s="1"/>
  <c r="AI108" i="17"/>
  <c r="AM102" i="17"/>
  <c r="AI250" i="17"/>
  <c r="AI251" i="17"/>
  <c r="AI252" i="17"/>
  <c r="AI253" i="17"/>
  <c r="AI254" i="17"/>
  <c r="AI255" i="17"/>
  <c r="AI107" i="17"/>
  <c r="AI245" i="17"/>
  <c r="AI27" i="17"/>
  <c r="AI65" i="17"/>
  <c r="AJ46" i="17"/>
  <c r="AM46" i="17" s="1"/>
  <c r="AJ70" i="17"/>
  <c r="AJ51" i="17"/>
  <c r="AM51" i="17" s="1"/>
  <c r="AJ94" i="17"/>
  <c r="AM94" i="17" s="1"/>
  <c r="AJ90" i="17"/>
  <c r="AM90" i="17" s="1"/>
  <c r="AJ86" i="17"/>
  <c r="AJ75" i="17"/>
  <c r="AM75" i="17" s="1"/>
  <c r="AJ61" i="17"/>
  <c r="AJ92" i="17"/>
  <c r="AM92" i="17" s="1"/>
  <c r="AJ76" i="17"/>
  <c r="AM76" i="17" s="1"/>
  <c r="AJ84" i="17"/>
  <c r="AM84" i="17" s="1"/>
  <c r="AJ87" i="17"/>
  <c r="AM87" i="17" s="1"/>
  <c r="AJ88" i="17"/>
  <c r="AM88" i="17" s="1"/>
  <c r="AJ79" i="17"/>
  <c r="AM79" i="17" s="1"/>
  <c r="AJ89" i="17"/>
  <c r="AM89" i="17" s="1"/>
  <c r="AJ81" i="17"/>
  <c r="AM81" i="17" s="1"/>
  <c r="AJ91" i="17"/>
  <c r="AM91" i="17" s="1"/>
  <c r="AJ232" i="17"/>
  <c r="AJ225" i="17"/>
  <c r="AM225" i="17" s="1"/>
  <c r="AJ30" i="17"/>
  <c r="AM30" i="17" s="1"/>
  <c r="AJ37" i="1" l="1"/>
  <c r="R37" i="1"/>
  <c r="T37" i="1"/>
  <c r="U37" i="1"/>
  <c r="V37" i="1"/>
  <c r="W37" i="1"/>
  <c r="X37" i="1"/>
  <c r="Y37" i="1"/>
  <c r="Z37" i="1"/>
  <c r="AA37" i="1"/>
  <c r="AB37" i="1"/>
  <c r="Q37" i="1"/>
  <c r="O37" i="1"/>
  <c r="AI36" i="1"/>
  <c r="AK36" i="1"/>
  <c r="AJ31" i="1"/>
  <c r="AI47" i="1"/>
  <c r="AJ46" i="1"/>
  <c r="AJ93" i="17" l="1"/>
  <c r="W79" i="17"/>
  <c r="W115" i="17" s="1"/>
  <c r="V79" i="17"/>
  <c r="AC79" i="17" s="1"/>
  <c r="AD79" i="17" s="1"/>
  <c r="O230" i="17" l="1"/>
  <c r="AC91" i="22" l="1"/>
  <c r="AD91" i="22" s="1"/>
  <c r="AC92" i="22"/>
  <c r="AD92" i="22" s="1"/>
  <c r="AC93" i="22"/>
  <c r="AD93" i="22" s="1"/>
  <c r="AC94" i="22"/>
  <c r="AD94" i="22" s="1"/>
  <c r="AC95" i="22"/>
  <c r="AD95" i="22" s="1"/>
  <c r="AC96" i="22"/>
  <c r="AD96" i="22" s="1"/>
  <c r="AC97" i="22"/>
  <c r="AD97" i="22" s="1"/>
  <c r="AC98" i="22"/>
  <c r="AD98" i="22" s="1"/>
  <c r="AC99" i="22"/>
  <c r="AD99" i="22" s="1"/>
  <c r="AC100" i="22"/>
  <c r="AD100" i="22" s="1"/>
  <c r="AC101" i="22"/>
  <c r="AD101" i="22" s="1"/>
  <c r="AC102" i="22"/>
  <c r="AD102" i="22" s="1"/>
  <c r="AC103" i="22"/>
  <c r="AD103" i="22" s="1"/>
  <c r="AC104" i="22"/>
  <c r="AD104" i="22" s="1"/>
  <c r="AC105" i="22"/>
  <c r="AD105" i="22" s="1"/>
  <c r="AC106" i="22"/>
  <c r="AD106" i="22" s="1"/>
  <c r="AC107" i="22"/>
  <c r="AD107" i="22" s="1"/>
  <c r="AC108" i="22"/>
  <c r="AD108" i="22" s="1"/>
  <c r="AC109" i="22"/>
  <c r="AD109" i="22" s="1"/>
  <c r="AC110" i="22"/>
  <c r="AD110" i="22" s="1"/>
  <c r="AC111" i="22"/>
  <c r="AD111" i="22" s="1"/>
  <c r="AC112" i="22"/>
  <c r="AD112" i="22" s="1"/>
  <c r="AC113" i="22"/>
  <c r="AD113" i="22" s="1"/>
  <c r="AC114" i="22"/>
  <c r="AD114" i="22" s="1"/>
  <c r="B91" i="22"/>
  <c r="B92" i="22"/>
  <c r="B93" i="22"/>
  <c r="B94" i="22"/>
  <c r="B95" i="22"/>
  <c r="B96" i="22"/>
  <c r="B97" i="22"/>
  <c r="B98" i="22"/>
  <c r="B99" i="22"/>
  <c r="B100" i="22"/>
  <c r="B101" i="22"/>
  <c r="B102" i="22"/>
  <c r="B103" i="22"/>
  <c r="B104" i="22"/>
  <c r="B105" i="22"/>
  <c r="B107" i="22"/>
  <c r="B108" i="22"/>
  <c r="B109" i="22"/>
  <c r="B110" i="22"/>
  <c r="B111" i="22"/>
  <c r="B112" i="22"/>
  <c r="B113" i="22"/>
  <c r="B114" i="22"/>
  <c r="B90" i="22"/>
  <c r="AK112" i="22" l="1"/>
  <c r="AK113" i="22"/>
  <c r="AI114" i="22"/>
  <c r="AK97" i="22"/>
  <c r="B27" i="22" l="1"/>
  <c r="B28" i="22"/>
  <c r="B29" i="22"/>
  <c r="B30" i="22"/>
  <c r="B32" i="22"/>
  <c r="B33" i="22"/>
  <c r="AK28" i="22"/>
  <c r="B245" i="17" l="1"/>
  <c r="AK245" i="17"/>
  <c r="B247" i="17"/>
  <c r="AK247" i="17"/>
  <c r="AK251" i="17" l="1"/>
  <c r="AK252" i="17"/>
  <c r="AK253" i="17"/>
  <c r="AK254" i="17"/>
  <c r="AK255" i="17"/>
  <c r="B251" i="17"/>
  <c r="B252" i="17"/>
  <c r="B253" i="17"/>
  <c r="B107" i="17"/>
  <c r="B108" i="17"/>
  <c r="B83" i="17"/>
  <c r="B84" i="17"/>
  <c r="B65" i="17"/>
  <c r="B66" i="17"/>
  <c r="B27" i="17"/>
  <c r="AK27" i="17"/>
  <c r="AK107" i="17"/>
  <c r="AK108" i="17"/>
  <c r="AJ26" i="17" l="1"/>
  <c r="AM26" i="17" s="1"/>
  <c r="AK65" i="17"/>
  <c r="AK83" i="17"/>
  <c r="AJ82" i="17"/>
  <c r="AM82" i="17" s="1"/>
  <c r="B14" i="1" l="1"/>
  <c r="B15" i="1"/>
  <c r="O73" i="22" l="1"/>
  <c r="AK73" i="22" s="1"/>
  <c r="M73" i="22" l="1"/>
  <c r="M69" i="22"/>
  <c r="AM69" i="22" s="1"/>
  <c r="M106" i="22"/>
  <c r="M115" i="22" s="1"/>
  <c r="M232" i="17"/>
  <c r="AM232" i="17" s="1"/>
  <c r="M31" i="1"/>
  <c r="B106" i="22" l="1"/>
  <c r="AM106" i="22"/>
  <c r="B73" i="22"/>
  <c r="AM73" i="22"/>
  <c r="B59" i="23" l="1"/>
  <c r="AJ94" i="18"/>
  <c r="AL94" i="18" s="1"/>
  <c r="AK93" i="18"/>
  <c r="AK92" i="18"/>
  <c r="AK91" i="18"/>
  <c r="AI93" i="18"/>
  <c r="AI92" i="18"/>
  <c r="AI91" i="18"/>
  <c r="AI87" i="18"/>
  <c r="AI88" i="18"/>
  <c r="AC93" i="18"/>
  <c r="AD93" i="18" s="1"/>
  <c r="AC92" i="18"/>
  <c r="AC91" i="18"/>
  <c r="AD91" i="18" s="1"/>
  <c r="R94" i="18"/>
  <c r="S94" i="18"/>
  <c r="T94" i="18"/>
  <c r="U94" i="18"/>
  <c r="V94" i="18"/>
  <c r="W94" i="18"/>
  <c r="X94" i="18"/>
  <c r="Y94" i="18"/>
  <c r="Z94" i="18"/>
  <c r="AA94" i="18"/>
  <c r="AB94" i="18"/>
  <c r="Q94" i="18"/>
  <c r="D59" i="23"/>
  <c r="B92" i="18"/>
  <c r="B93" i="18"/>
  <c r="B91" i="18"/>
  <c r="I59" i="23" l="1"/>
  <c r="AK94" i="18"/>
  <c r="B94" i="18"/>
  <c r="C59" i="23"/>
  <c r="G59" i="23" s="1"/>
  <c r="AC94" i="18"/>
  <c r="E59" i="23" s="1"/>
  <c r="M59" i="23" s="1"/>
  <c r="J59" i="23"/>
  <c r="K59" i="23"/>
  <c r="AD92" i="18"/>
  <c r="AD94" i="18" s="1"/>
  <c r="L59" i="23" l="1"/>
  <c r="F59" i="23"/>
  <c r="H59" i="23"/>
  <c r="N59" i="23"/>
  <c r="O71" i="18"/>
  <c r="O75" i="18" s="1"/>
  <c r="AD71" i="18" l="1"/>
  <c r="B115" i="18"/>
  <c r="AC185" i="19" l="1"/>
  <c r="AD185" i="19" s="1"/>
  <c r="AC186" i="19"/>
  <c r="AD186" i="19" s="1"/>
  <c r="AC108" i="19"/>
  <c r="AC109" i="19"/>
  <c r="AD109" i="19" s="1"/>
  <c r="AC111" i="19"/>
  <c r="AD111" i="19" s="1"/>
  <c r="AC119" i="19"/>
  <c r="AC135" i="19"/>
  <c r="AD135" i="19" s="1"/>
  <c r="AC137" i="19"/>
  <c r="AD137" i="19" s="1"/>
  <c r="AC140" i="19"/>
  <c r="AD140" i="19" s="1"/>
  <c r="AC141" i="19"/>
  <c r="AD141" i="19" s="1"/>
  <c r="AC159" i="19"/>
  <c r="AD159" i="19" s="1"/>
  <c r="AC87" i="19"/>
  <c r="AD87" i="19" s="1"/>
  <c r="AC89" i="19"/>
  <c r="AD89" i="19" s="1"/>
  <c r="AC91" i="19"/>
  <c r="AD91" i="19" s="1"/>
  <c r="AC93" i="19"/>
  <c r="AD93" i="19" s="1"/>
  <c r="AC95" i="19"/>
  <c r="AD95" i="19" s="1"/>
  <c r="AC100" i="19"/>
  <c r="AD100" i="19" s="1"/>
  <c r="AC101" i="19"/>
  <c r="AD101" i="19" s="1"/>
  <c r="AC102" i="19"/>
  <c r="AD102" i="19" s="1"/>
  <c r="AC103" i="19"/>
  <c r="AD103" i="19" s="1"/>
  <c r="AC47" i="19"/>
  <c r="AD47" i="19" s="1"/>
  <c r="AC48" i="19"/>
  <c r="AD48" i="19" s="1"/>
  <c r="AC49" i="19"/>
  <c r="AD49" i="19" s="1"/>
  <c r="AC50" i="19"/>
  <c r="AD50" i="19" s="1"/>
  <c r="AC51" i="19"/>
  <c r="AD51" i="19" s="1"/>
  <c r="AC52" i="19"/>
  <c r="AD52" i="19" s="1"/>
  <c r="AC53" i="19"/>
  <c r="AD53" i="19" s="1"/>
  <c r="AC55" i="19"/>
  <c r="AD55" i="19" s="1"/>
  <c r="AC56" i="19"/>
  <c r="AD56" i="19" s="1"/>
  <c r="AC57" i="19"/>
  <c r="AD57" i="19" s="1"/>
  <c r="AC64" i="19"/>
  <c r="AD64" i="19" s="1"/>
  <c r="AC22" i="19"/>
  <c r="AD22" i="19" s="1"/>
  <c r="AC23" i="19"/>
  <c r="AD23" i="19" s="1"/>
  <c r="AC26" i="19"/>
  <c r="AD26" i="19" s="1"/>
  <c r="AC28" i="19"/>
  <c r="AD28" i="19" s="1"/>
  <c r="AC29" i="19"/>
  <c r="AD29" i="19" s="1"/>
  <c r="AC31" i="19"/>
  <c r="AD31" i="19" s="1"/>
  <c r="AC32" i="19"/>
  <c r="AD32" i="19" s="1"/>
  <c r="AC120" i="22"/>
  <c r="AD120" i="22" s="1"/>
  <c r="AC121" i="22"/>
  <c r="AD121" i="22" s="1"/>
  <c r="AC122" i="22"/>
  <c r="AD122" i="22" s="1"/>
  <c r="AC330" i="18"/>
  <c r="AC331" i="18"/>
  <c r="AD331" i="18" s="1"/>
  <c r="AC266" i="18"/>
  <c r="AD266" i="18" s="1"/>
  <c r="AC269" i="18"/>
  <c r="AD269" i="18" s="1"/>
  <c r="AC270" i="18"/>
  <c r="AD270" i="18" s="1"/>
  <c r="AC276" i="18"/>
  <c r="AD276" i="18" s="1"/>
  <c r="AC287" i="18"/>
  <c r="AD287" i="18" s="1"/>
  <c r="AC288" i="18"/>
  <c r="AD288" i="18" s="1"/>
  <c r="AC301" i="18"/>
  <c r="AD301" i="18" s="1"/>
  <c r="AC307" i="18"/>
  <c r="AD307" i="18" s="1"/>
  <c r="AC308" i="18"/>
  <c r="AD308" i="18" s="1"/>
  <c r="AC310" i="18"/>
  <c r="AD310" i="18" s="1"/>
  <c r="AC311" i="18"/>
  <c r="AD311" i="18" s="1"/>
  <c r="AC317" i="18"/>
  <c r="AD317" i="18" s="1"/>
  <c r="AC318" i="18"/>
  <c r="AD318" i="18" s="1"/>
  <c r="AC319" i="18"/>
  <c r="AD319" i="18" s="1"/>
  <c r="AC320" i="18"/>
  <c r="AD320" i="18" s="1"/>
  <c r="W309" i="18"/>
  <c r="AC309" i="18" s="1"/>
  <c r="AD309" i="18" s="1"/>
  <c r="W171" i="18"/>
  <c r="W267" i="18"/>
  <c r="W326" i="18" l="1"/>
  <c r="W130" i="19"/>
  <c r="AK257" i="17" l="1"/>
  <c r="AJ233" i="17"/>
  <c r="AM233" i="17" s="1"/>
  <c r="M78" i="17" l="1"/>
  <c r="AM78" i="17" s="1"/>
  <c r="M318" i="18" l="1"/>
  <c r="M71" i="18"/>
  <c r="M40" i="19"/>
  <c r="M35" i="19"/>
  <c r="M21" i="19"/>
  <c r="B21" i="19" s="1"/>
  <c r="M63" i="17"/>
  <c r="AI249" i="17"/>
  <c r="AM71" i="18" l="1"/>
  <c r="M75" i="18"/>
  <c r="AD330" i="18"/>
  <c r="B149" i="18" l="1"/>
  <c r="B150" i="18"/>
  <c r="B151" i="18"/>
  <c r="V152" i="18"/>
  <c r="AK149" i="18"/>
  <c r="AK150" i="18"/>
  <c r="AI149" i="18"/>
  <c r="B202" i="17" l="1"/>
  <c r="AJ192" i="17"/>
  <c r="AJ201" i="17"/>
  <c r="AK202" i="17"/>
  <c r="AI202" i="17"/>
  <c r="AI106" i="17"/>
  <c r="AJ63" i="17"/>
  <c r="AM63" i="17" s="1"/>
  <c r="AM192" i="17" l="1"/>
  <c r="B22" i="19"/>
  <c r="R43" i="19"/>
  <c r="S43" i="19"/>
  <c r="T43" i="19"/>
  <c r="U43" i="19"/>
  <c r="V43" i="19"/>
  <c r="W43" i="19"/>
  <c r="X43" i="19"/>
  <c r="Y43" i="19"/>
  <c r="Z43" i="19"/>
  <c r="AA43" i="19"/>
  <c r="AB43" i="19"/>
  <c r="Q43" i="19"/>
  <c r="M43" i="19"/>
  <c r="B41" i="19"/>
  <c r="B42" i="19"/>
  <c r="AK41" i="19"/>
  <c r="AK42" i="19"/>
  <c r="AC41" i="19"/>
  <c r="AD41" i="19" s="1"/>
  <c r="AC42" i="19"/>
  <c r="AD42" i="19" s="1"/>
  <c r="AI36" i="19"/>
  <c r="AI37" i="19"/>
  <c r="AK36" i="19"/>
  <c r="AK37" i="19"/>
  <c r="AC36" i="19"/>
  <c r="AD36" i="19" s="1"/>
  <c r="AC37" i="19"/>
  <c r="AD37" i="19" s="1"/>
  <c r="R38" i="19"/>
  <c r="S38" i="19"/>
  <c r="T38" i="19"/>
  <c r="U38" i="19"/>
  <c r="V38" i="19"/>
  <c r="W38" i="19"/>
  <c r="X38" i="19"/>
  <c r="Y38" i="19"/>
  <c r="Z38" i="19"/>
  <c r="AA38" i="19"/>
  <c r="AB38" i="19"/>
  <c r="Q38" i="19"/>
  <c r="M38" i="19"/>
  <c r="B36" i="19"/>
  <c r="B37" i="19"/>
  <c r="B35" i="19"/>
  <c r="AI22" i="19"/>
  <c r="AJ40" i="19"/>
  <c r="AM40" i="19" s="1"/>
  <c r="AJ35" i="19"/>
  <c r="AM35" i="19" s="1"/>
  <c r="B40" i="19"/>
  <c r="AJ21" i="19"/>
  <c r="AM21" i="19" s="1"/>
  <c r="B52" i="19"/>
  <c r="AK52" i="19"/>
  <c r="AI52" i="19"/>
  <c r="AJ38" i="19" l="1"/>
  <c r="AJ43" i="19"/>
  <c r="B38" i="19"/>
  <c r="AJ89" i="18"/>
  <c r="AK87" i="18"/>
  <c r="AK88" i="18"/>
  <c r="R89" i="18"/>
  <c r="S89" i="18"/>
  <c r="T89" i="18"/>
  <c r="U89" i="18"/>
  <c r="V89" i="18"/>
  <c r="W89" i="18"/>
  <c r="X89" i="18"/>
  <c r="Y89" i="18"/>
  <c r="Z89" i="18"/>
  <c r="AA89" i="18"/>
  <c r="AB89" i="18"/>
  <c r="Q89" i="18"/>
  <c r="B87" i="18"/>
  <c r="B88" i="18"/>
  <c r="AC87" i="18"/>
  <c r="AD87" i="18" s="1"/>
  <c r="AC88" i="18"/>
  <c r="AD88" i="18" s="1"/>
  <c r="AL89" i="18" l="1"/>
  <c r="B67" i="17"/>
  <c r="R258" i="17"/>
  <c r="S258" i="17"/>
  <c r="U258" i="17"/>
  <c r="V258" i="17"/>
  <c r="X258" i="17"/>
  <c r="Z258" i="17"/>
  <c r="AA258" i="17"/>
  <c r="AB258" i="17"/>
  <c r="Q258" i="17"/>
  <c r="AK66" i="17" l="1"/>
  <c r="AI66" i="17"/>
  <c r="AI257" i="17"/>
  <c r="AK248" i="17"/>
  <c r="AK249" i="17"/>
  <c r="AK250" i="17"/>
  <c r="B249" i="17"/>
  <c r="B250" i="17"/>
  <c r="B254" i="17"/>
  <c r="B255" i="17"/>
  <c r="B257" i="17"/>
  <c r="V32" i="18" l="1"/>
  <c r="AC32" i="18" s="1"/>
  <c r="AD32" i="18" s="1"/>
  <c r="V26" i="17" l="1"/>
  <c r="AC26" i="17" s="1"/>
  <c r="AD26" i="17" s="1"/>
  <c r="M118" i="19" l="1"/>
  <c r="M51" i="19"/>
  <c r="M119" i="19"/>
  <c r="M64" i="17"/>
  <c r="AM64" i="17" s="1"/>
  <c r="M126" i="17"/>
  <c r="AM126" i="17" s="1"/>
  <c r="M201" i="17"/>
  <c r="M70" i="17"/>
  <c r="AM70" i="17" s="1"/>
  <c r="M61" i="17"/>
  <c r="AM61" i="17" s="1"/>
  <c r="M45" i="1"/>
  <c r="AM201" i="17" l="1"/>
  <c r="B51" i="19"/>
  <c r="M224" i="18"/>
  <c r="M245" i="18" s="1"/>
  <c r="C65" i="23" s="1"/>
  <c r="M138" i="18"/>
  <c r="M122" i="18"/>
  <c r="M144" i="18"/>
  <c r="M136" i="17"/>
  <c r="AM136" i="17" s="1"/>
  <c r="AC269" i="17"/>
  <c r="O118" i="19"/>
  <c r="AM174" i="19"/>
  <c r="AJ118" i="19"/>
  <c r="AM118" i="19" s="1"/>
  <c r="B29" i="19"/>
  <c r="B46" i="19"/>
  <c r="B47" i="19"/>
  <c r="B48" i="19"/>
  <c r="B49" i="19"/>
  <c r="B50" i="19"/>
  <c r="B55" i="19"/>
  <c r="B56" i="19"/>
  <c r="B57" i="19"/>
  <c r="B64" i="19"/>
  <c r="AI56" i="19"/>
  <c r="AI57" i="19"/>
  <c r="AI63" i="19"/>
  <c r="AK56" i="19"/>
  <c r="AK57" i="19"/>
  <c r="AK64" i="19"/>
  <c r="AJ51" i="19"/>
  <c r="AM51" i="19" s="1"/>
  <c r="AK29" i="19"/>
  <c r="AK31" i="19"/>
  <c r="AI29" i="19"/>
  <c r="AI31" i="19"/>
  <c r="AM26" i="19"/>
  <c r="AJ169" i="19"/>
  <c r="AM169" i="19" s="1"/>
  <c r="O119" i="19"/>
  <c r="AD119" i="19" s="1"/>
  <c r="AJ119" i="19"/>
  <c r="AM119" i="19" s="1"/>
  <c r="B120" i="19"/>
  <c r="B170" i="19"/>
  <c r="B171" i="19"/>
  <c r="AK170" i="19"/>
  <c r="AK171" i="19"/>
  <c r="AI170" i="19"/>
  <c r="AI171" i="19"/>
  <c r="G97" i="23"/>
  <c r="H97" i="23" s="1"/>
  <c r="H96" i="23"/>
  <c r="H95" i="23"/>
  <c r="M119" i="17"/>
  <c r="D283" i="17" s="1"/>
  <c r="M123" i="17"/>
  <c r="M129" i="17"/>
  <c r="D285" i="17" s="1"/>
  <c r="V138" i="17"/>
  <c r="AC138" i="17" s="1"/>
  <c r="AD138" i="17" s="1"/>
  <c r="AJ110" i="18"/>
  <c r="AM110" i="18" s="1"/>
  <c r="AC112" i="18"/>
  <c r="AD112" i="18" s="1"/>
  <c r="AC109" i="18"/>
  <c r="AD109" i="18" s="1"/>
  <c r="AC110" i="18"/>
  <c r="AD110" i="18" s="1"/>
  <c r="AC111" i="18"/>
  <c r="AD111" i="18" s="1"/>
  <c r="AC113" i="18"/>
  <c r="AD113" i="18" s="1"/>
  <c r="R114" i="18"/>
  <c r="S114" i="18"/>
  <c r="T114" i="18"/>
  <c r="U114" i="18"/>
  <c r="V114" i="18"/>
  <c r="W114" i="18"/>
  <c r="X114" i="18"/>
  <c r="Y114" i="18"/>
  <c r="Z114" i="18"/>
  <c r="AA114" i="18"/>
  <c r="AB114" i="18"/>
  <c r="Q114" i="18"/>
  <c r="D61" i="23"/>
  <c r="C61" i="23"/>
  <c r="B109" i="18"/>
  <c r="B110" i="18"/>
  <c r="B111" i="18"/>
  <c r="B112" i="18"/>
  <c r="B113" i="18"/>
  <c r="AI112" i="18"/>
  <c r="AI113" i="18"/>
  <c r="AK112" i="18"/>
  <c r="AK113" i="18"/>
  <c r="AJ109" i="18"/>
  <c r="AJ151" i="18"/>
  <c r="AM151" i="18" s="1"/>
  <c r="T152" i="18"/>
  <c r="B148" i="18"/>
  <c r="AI148" i="18"/>
  <c r="AK148" i="18"/>
  <c r="AJ146" i="18"/>
  <c r="AM146" i="18" s="1"/>
  <c r="AM256" i="18"/>
  <c r="AC26" i="18"/>
  <c r="AD26" i="18" s="1"/>
  <c r="AC27" i="18"/>
  <c r="AD27" i="18" s="1"/>
  <c r="O28" i="18"/>
  <c r="D52" i="23" s="1"/>
  <c r="M28" i="18"/>
  <c r="B52" i="23"/>
  <c r="O24" i="18"/>
  <c r="O61" i="18"/>
  <c r="D54" i="23" s="1"/>
  <c r="D55" i="23"/>
  <c r="D56" i="23"/>
  <c r="D57" i="23"/>
  <c r="D71" i="23"/>
  <c r="AJ28" i="18"/>
  <c r="AL28" i="18" s="1"/>
  <c r="AK26" i="18"/>
  <c r="AK27" i="18"/>
  <c r="R28" i="18"/>
  <c r="S28" i="18"/>
  <c r="T28" i="18"/>
  <c r="U28" i="18"/>
  <c r="V28" i="18"/>
  <c r="W28" i="18"/>
  <c r="X28" i="18"/>
  <c r="Y28" i="18"/>
  <c r="Z28" i="18"/>
  <c r="AA28" i="18"/>
  <c r="AB28" i="18"/>
  <c r="Q28" i="18"/>
  <c r="AI27" i="18"/>
  <c r="AI26" i="18"/>
  <c r="AI23" i="18"/>
  <c r="B26" i="18"/>
  <c r="B27" i="18"/>
  <c r="V26" i="22"/>
  <c r="V81" i="22" s="1"/>
  <c r="V125" i="22" s="1"/>
  <c r="V152" i="17"/>
  <c r="AC152" i="17" s="1"/>
  <c r="AD152" i="17" s="1"/>
  <c r="V123" i="17"/>
  <c r="V119" i="17"/>
  <c r="V115" i="17"/>
  <c r="W262" i="17"/>
  <c r="W264" i="17" s="1"/>
  <c r="X115" i="17"/>
  <c r="X119" i="17"/>
  <c r="X123" i="17"/>
  <c r="X129" i="17"/>
  <c r="X189" i="17"/>
  <c r="X262" i="17"/>
  <c r="Y115" i="17"/>
  <c r="Y123" i="17"/>
  <c r="Y129" i="17"/>
  <c r="Y189" i="17"/>
  <c r="Y262" i="17"/>
  <c r="Z115" i="17"/>
  <c r="Z119" i="17"/>
  <c r="Z123" i="17"/>
  <c r="Z129" i="17"/>
  <c r="Z189" i="17"/>
  <c r="Z262" i="17"/>
  <c r="AA115" i="17"/>
  <c r="AA119" i="17"/>
  <c r="AA123" i="17"/>
  <c r="AA129" i="17"/>
  <c r="AA189" i="17"/>
  <c r="AA262" i="17"/>
  <c r="AB115" i="17"/>
  <c r="AB119" i="17"/>
  <c r="AB123" i="17"/>
  <c r="AB129" i="17"/>
  <c r="AB189" i="17"/>
  <c r="AB262" i="17"/>
  <c r="V169" i="17"/>
  <c r="AC169" i="17" s="1"/>
  <c r="AD169" i="17" s="1"/>
  <c r="D70" i="23"/>
  <c r="V129" i="17"/>
  <c r="V262" i="17"/>
  <c r="M54" i="19"/>
  <c r="B54" i="19" s="1"/>
  <c r="M178" i="19"/>
  <c r="D207" i="19" s="1"/>
  <c r="C28" i="23"/>
  <c r="M262" i="17"/>
  <c r="R115" i="17"/>
  <c r="S115" i="17"/>
  <c r="U115" i="17"/>
  <c r="Q115" i="17"/>
  <c r="B116" i="22"/>
  <c r="AK107" i="22"/>
  <c r="AK108" i="22"/>
  <c r="AK109" i="22"/>
  <c r="AK110" i="22"/>
  <c r="AK111" i="22"/>
  <c r="AI107" i="22"/>
  <c r="AI108" i="22"/>
  <c r="AI109" i="22"/>
  <c r="AI110" i="22"/>
  <c r="AI111" i="22"/>
  <c r="AJ122" i="22"/>
  <c r="AJ94" i="22"/>
  <c r="AJ42" i="22"/>
  <c r="AM42" i="22" s="1"/>
  <c r="AJ68" i="22"/>
  <c r="V219" i="18"/>
  <c r="V245" i="18" s="1"/>
  <c r="V92" i="19"/>
  <c r="V130" i="19"/>
  <c r="AC130" i="19" s="1"/>
  <c r="AD130" i="19" s="1"/>
  <c r="B30" i="18"/>
  <c r="B29" i="18" s="1"/>
  <c r="B17" i="18" s="1"/>
  <c r="O54" i="19"/>
  <c r="O65" i="19" s="1"/>
  <c r="U104" i="19"/>
  <c r="AI103" i="19"/>
  <c r="AI100" i="19"/>
  <c r="R175" i="19"/>
  <c r="Z175" i="19"/>
  <c r="AA175" i="19"/>
  <c r="AB175" i="19"/>
  <c r="Q175" i="19"/>
  <c r="AJ23" i="19"/>
  <c r="AK23" i="19" s="1"/>
  <c r="AJ140" i="19"/>
  <c r="AM140" i="19" s="1"/>
  <c r="B101" i="19"/>
  <c r="B102" i="19"/>
  <c r="AK100" i="19"/>
  <c r="AK101" i="19"/>
  <c r="AK102" i="19"/>
  <c r="AK103" i="19"/>
  <c r="AI320" i="18"/>
  <c r="AJ32" i="18"/>
  <c r="AM32" i="18" s="1"/>
  <c r="AJ114" i="22"/>
  <c r="AI105" i="22"/>
  <c r="AI106" i="22"/>
  <c r="AJ34" i="22"/>
  <c r="AM34" i="22" s="1"/>
  <c r="AJ77" i="22"/>
  <c r="AJ66" i="22"/>
  <c r="AJ25" i="22"/>
  <c r="AM25" i="22" s="1"/>
  <c r="AJ57" i="22"/>
  <c r="AJ44" i="22"/>
  <c r="R123" i="22"/>
  <c r="S123" i="22"/>
  <c r="U123" i="22"/>
  <c r="V123" i="22"/>
  <c r="X123" i="22"/>
  <c r="Y123" i="22"/>
  <c r="Z123" i="22"/>
  <c r="AA123" i="22"/>
  <c r="AB123" i="22"/>
  <c r="B121" i="22"/>
  <c r="B122" i="22"/>
  <c r="AI134" i="17"/>
  <c r="AI135" i="17"/>
  <c r="AI136" i="17"/>
  <c r="AI137" i="17"/>
  <c r="AI138" i="17"/>
  <c r="AI139" i="17"/>
  <c r="AI140" i="17"/>
  <c r="AI141" i="17"/>
  <c r="AI147" i="17"/>
  <c r="AI46" i="1"/>
  <c r="AI45" i="1"/>
  <c r="AJ98" i="22"/>
  <c r="AM98" i="22" s="1"/>
  <c r="AJ92" i="22"/>
  <c r="AK121" i="22"/>
  <c r="AI121" i="22"/>
  <c r="AJ119" i="22"/>
  <c r="B168" i="17"/>
  <c r="B169" i="17"/>
  <c r="B170" i="17"/>
  <c r="B175" i="17"/>
  <c r="B176" i="17"/>
  <c r="B181" i="17"/>
  <c r="AI168" i="17"/>
  <c r="AI169" i="17"/>
  <c r="AI170" i="17"/>
  <c r="AI174" i="17"/>
  <c r="AI175" i="17"/>
  <c r="AI176" i="17"/>
  <c r="U27" i="19"/>
  <c r="B152" i="17"/>
  <c r="B153" i="17"/>
  <c r="B154" i="17"/>
  <c r="B155" i="17"/>
  <c r="B156" i="17"/>
  <c r="B157" i="17"/>
  <c r="B158" i="17"/>
  <c r="B159" i="17"/>
  <c r="B160" i="17"/>
  <c r="B161" i="17"/>
  <c r="B162" i="17"/>
  <c r="B163" i="17"/>
  <c r="B164" i="17"/>
  <c r="B165" i="17"/>
  <c r="B166" i="17"/>
  <c r="B167" i="17"/>
  <c r="AI157" i="17"/>
  <c r="AI158" i="17"/>
  <c r="AI159" i="17"/>
  <c r="AI160" i="17"/>
  <c r="AI161" i="17"/>
  <c r="AI162" i="17"/>
  <c r="AI163" i="17"/>
  <c r="AI164" i="17"/>
  <c r="AI165" i="17"/>
  <c r="AI166" i="17"/>
  <c r="AI167" i="17"/>
  <c r="O57" i="22"/>
  <c r="AD57" i="22" s="1"/>
  <c r="M57" i="22"/>
  <c r="O119" i="22"/>
  <c r="O123" i="22" s="1"/>
  <c r="D41" i="23" s="1"/>
  <c r="M119" i="22"/>
  <c r="M123" i="22" s="1"/>
  <c r="C41" i="23" s="1"/>
  <c r="O44" i="22"/>
  <c r="M44" i="22"/>
  <c r="M53" i="19"/>
  <c r="M23" i="19"/>
  <c r="B23" i="19" s="1"/>
  <c r="M19" i="19"/>
  <c r="M122" i="19"/>
  <c r="AM122" i="19" s="1"/>
  <c r="O88" i="19"/>
  <c r="M104" i="19"/>
  <c r="M82" i="19"/>
  <c r="C29" i="23" s="1"/>
  <c r="M127" i="19"/>
  <c r="O189" i="17"/>
  <c r="D18" i="23" s="1"/>
  <c r="AI148" i="17"/>
  <c r="AI149" i="17"/>
  <c r="AI150" i="17"/>
  <c r="AI151" i="17"/>
  <c r="AI152" i="17"/>
  <c r="AI153" i="17"/>
  <c r="AI154" i="17"/>
  <c r="AI155" i="17"/>
  <c r="AI156" i="17"/>
  <c r="B14" i="19"/>
  <c r="B15" i="19" s="1"/>
  <c r="B14" i="17"/>
  <c r="B15" i="17" s="1"/>
  <c r="D15" i="18"/>
  <c r="B14" i="18" s="1"/>
  <c r="B15" i="18" s="1"/>
  <c r="B261" i="18"/>
  <c r="T54" i="19"/>
  <c r="AC54" i="19" s="1"/>
  <c r="U332" i="18"/>
  <c r="U194" i="18"/>
  <c r="U152" i="18"/>
  <c r="U326" i="18"/>
  <c r="U25" i="22"/>
  <c r="U122" i="19"/>
  <c r="AC122" i="19" s="1"/>
  <c r="AD122" i="19" s="1"/>
  <c r="U40" i="1"/>
  <c r="U43" i="1" s="1"/>
  <c r="B63" i="22"/>
  <c r="B64" i="22"/>
  <c r="B65" i="22"/>
  <c r="B66" i="22"/>
  <c r="B67" i="22"/>
  <c r="B68" i="22"/>
  <c r="B100" i="19"/>
  <c r="AJ88" i="19"/>
  <c r="AM88" i="19" s="1"/>
  <c r="AJ220" i="17"/>
  <c r="AM220" i="17" s="1"/>
  <c r="Q189" i="17"/>
  <c r="B184" i="17"/>
  <c r="B185" i="17"/>
  <c r="B186" i="17"/>
  <c r="B187" i="17"/>
  <c r="B95" i="17"/>
  <c r="B96" i="17"/>
  <c r="B97" i="17"/>
  <c r="B98" i="17"/>
  <c r="B99" i="17"/>
  <c r="B100" i="17"/>
  <c r="B101" i="17"/>
  <c r="B102" i="17"/>
  <c r="B103" i="17"/>
  <c r="B104" i="17"/>
  <c r="B105" i="17"/>
  <c r="B106" i="17"/>
  <c r="AI184" i="17"/>
  <c r="AI185" i="17"/>
  <c r="AI186" i="17"/>
  <c r="AI187" i="17"/>
  <c r="AK184" i="17"/>
  <c r="AK185" i="17"/>
  <c r="AK186" i="17"/>
  <c r="AK187" i="17"/>
  <c r="AK188" i="17"/>
  <c r="AJ147" i="17"/>
  <c r="AM147" i="17" s="1"/>
  <c r="AK55" i="17"/>
  <c r="AK95" i="17"/>
  <c r="AK96" i="17"/>
  <c r="AK97" i="17"/>
  <c r="AK98" i="17"/>
  <c r="AK99" i="17"/>
  <c r="AK100" i="17"/>
  <c r="AK101" i="17"/>
  <c r="AK102" i="17"/>
  <c r="AK103" i="17"/>
  <c r="AK104" i="17"/>
  <c r="AK105" i="17"/>
  <c r="AI95" i="17"/>
  <c r="AI96" i="17"/>
  <c r="AI97" i="17"/>
  <c r="AI98" i="17"/>
  <c r="AI99" i="17"/>
  <c r="AI100" i="17"/>
  <c r="AI101" i="17"/>
  <c r="AI102" i="17"/>
  <c r="AI103" i="17"/>
  <c r="AI104" i="17"/>
  <c r="AI105" i="17"/>
  <c r="AJ79" i="18"/>
  <c r="AM79" i="18" s="1"/>
  <c r="AJ80" i="18"/>
  <c r="AM80" i="18" s="1"/>
  <c r="AJ77" i="18"/>
  <c r="AJ234" i="18"/>
  <c r="AJ233" i="18"/>
  <c r="AM233" i="18" s="1"/>
  <c r="AJ232" i="18"/>
  <c r="AM232" i="18" s="1"/>
  <c r="AJ238" i="18"/>
  <c r="AJ237" i="18"/>
  <c r="AM237" i="18" s="1"/>
  <c r="AJ236" i="18"/>
  <c r="AM236" i="18" s="1"/>
  <c r="AJ235" i="18"/>
  <c r="AM235" i="18" s="1"/>
  <c r="AJ319" i="18"/>
  <c r="AM319" i="18" s="1"/>
  <c r="AJ318" i="18"/>
  <c r="AM318" i="18" s="1"/>
  <c r="AJ301" i="18"/>
  <c r="AJ308" i="18"/>
  <c r="AJ307" i="18"/>
  <c r="AM307" i="18" s="1"/>
  <c r="AJ287" i="18"/>
  <c r="AM287" i="18" s="1"/>
  <c r="AJ270" i="18"/>
  <c r="AJ266" i="18"/>
  <c r="AJ210" i="18"/>
  <c r="AJ144" i="18"/>
  <c r="AM144" i="18" s="1"/>
  <c r="AJ138" i="18"/>
  <c r="AJ136" i="18"/>
  <c r="AM136" i="18" s="1"/>
  <c r="AJ125" i="18"/>
  <c r="AM125" i="18" s="1"/>
  <c r="AJ122" i="18"/>
  <c r="AM122" i="18" s="1"/>
  <c r="AJ121" i="18"/>
  <c r="AM121" i="18" s="1"/>
  <c r="AJ129" i="18"/>
  <c r="AJ127" i="18"/>
  <c r="AM127" i="18" s="1"/>
  <c r="AJ126" i="18"/>
  <c r="AM126" i="18" s="1"/>
  <c r="AJ31" i="18"/>
  <c r="AJ36" i="18"/>
  <c r="AJ35" i="18"/>
  <c r="AM35" i="18" s="1"/>
  <c r="U164" i="19"/>
  <c r="AC164" i="19" s="1"/>
  <c r="AD164" i="19" s="1"/>
  <c r="U127" i="19"/>
  <c r="AJ211" i="18"/>
  <c r="AM211" i="18" s="1"/>
  <c r="AJ227" i="18"/>
  <c r="AM227" i="18" s="1"/>
  <c r="U184" i="19"/>
  <c r="AJ24" i="1"/>
  <c r="AI120" i="22"/>
  <c r="AK65" i="22"/>
  <c r="AI65" i="22"/>
  <c r="B41" i="22"/>
  <c r="AK41" i="22"/>
  <c r="AI41" i="22"/>
  <c r="B23" i="22"/>
  <c r="AI23" i="22"/>
  <c r="AK23" i="22"/>
  <c r="AK63" i="22"/>
  <c r="AI63" i="22"/>
  <c r="B38" i="22"/>
  <c r="B39" i="22"/>
  <c r="AK38" i="22"/>
  <c r="AI38" i="22"/>
  <c r="B52" i="22"/>
  <c r="B53" i="22"/>
  <c r="AK52" i="22"/>
  <c r="AK53" i="22"/>
  <c r="AI52" i="22"/>
  <c r="R115" i="22"/>
  <c r="S115" i="22"/>
  <c r="X115" i="22"/>
  <c r="Y115" i="22"/>
  <c r="Z115" i="22"/>
  <c r="AA115" i="22"/>
  <c r="AB115" i="22"/>
  <c r="Q115" i="22"/>
  <c r="D40" i="23"/>
  <c r="AK105" i="22"/>
  <c r="AK106" i="22"/>
  <c r="AJ24" i="22"/>
  <c r="O139" i="18"/>
  <c r="O152" i="18" s="1"/>
  <c r="M139" i="18"/>
  <c r="M24" i="22"/>
  <c r="M68" i="19"/>
  <c r="M73" i="19" s="1"/>
  <c r="D205" i="19" s="1"/>
  <c r="M86" i="17"/>
  <c r="AI318" i="18"/>
  <c r="AI319" i="18"/>
  <c r="AK320" i="18"/>
  <c r="B318" i="18"/>
  <c r="B319" i="18"/>
  <c r="B320" i="18"/>
  <c r="AI301" i="18"/>
  <c r="B301" i="18"/>
  <c r="AK147" i="18"/>
  <c r="B147" i="18"/>
  <c r="AI147" i="18"/>
  <c r="AI127" i="18"/>
  <c r="B127" i="18"/>
  <c r="C284" i="17"/>
  <c r="C282" i="17"/>
  <c r="C205" i="19"/>
  <c r="C208" i="19"/>
  <c r="C207" i="19"/>
  <c r="C206" i="19"/>
  <c r="AJ18" i="22"/>
  <c r="AM18" i="22" s="1"/>
  <c r="AJ207" i="18"/>
  <c r="M93" i="17"/>
  <c r="B205" i="18"/>
  <c r="M207" i="18"/>
  <c r="B207" i="18" s="1"/>
  <c r="T25" i="22"/>
  <c r="C360" i="18"/>
  <c r="C358" i="18"/>
  <c r="C357" i="18"/>
  <c r="C353" i="18"/>
  <c r="C352" i="18"/>
  <c r="T194" i="18"/>
  <c r="AK121" i="17"/>
  <c r="AK122" i="17"/>
  <c r="AK182" i="17"/>
  <c r="AK183" i="17"/>
  <c r="AK145" i="18"/>
  <c r="AK248" i="18"/>
  <c r="AK51" i="18"/>
  <c r="AK50" i="18"/>
  <c r="AJ52" i="18"/>
  <c r="AI51" i="18"/>
  <c r="AI50" i="18"/>
  <c r="AC51" i="18"/>
  <c r="AD51" i="18" s="1"/>
  <c r="AC50" i="18"/>
  <c r="AD50" i="18" s="1"/>
  <c r="R52" i="18"/>
  <c r="S52" i="18"/>
  <c r="T52" i="18"/>
  <c r="U52" i="18"/>
  <c r="V52" i="18"/>
  <c r="W52" i="18"/>
  <c r="X52" i="18"/>
  <c r="Y52" i="18"/>
  <c r="Z52" i="18"/>
  <c r="AA52" i="18"/>
  <c r="AB52" i="18"/>
  <c r="Q52" i="18"/>
  <c r="O52" i="18"/>
  <c r="M52" i="18"/>
  <c r="B51" i="18"/>
  <c r="B52" i="18" s="1"/>
  <c r="T27" i="19"/>
  <c r="AC27" i="19" s="1"/>
  <c r="AD27" i="19" s="1"/>
  <c r="AC248" i="18"/>
  <c r="AD248" i="18" s="1"/>
  <c r="T119" i="22"/>
  <c r="AC119" i="22" s="1"/>
  <c r="T118" i="22"/>
  <c r="AC118" i="22" s="1"/>
  <c r="AD118" i="22" s="1"/>
  <c r="T117" i="22"/>
  <c r="T19" i="22"/>
  <c r="AC19" i="22" s="1"/>
  <c r="AD19" i="22" s="1"/>
  <c r="T21" i="22"/>
  <c r="AC21" i="22" s="1"/>
  <c r="AD21" i="22" s="1"/>
  <c r="T26" i="22"/>
  <c r="T27" i="22"/>
  <c r="AC27" i="22" s="1"/>
  <c r="AD27" i="22" s="1"/>
  <c r="T29" i="22"/>
  <c r="AC29" i="22" s="1"/>
  <c r="AD29" i="22" s="1"/>
  <c r="T30" i="22"/>
  <c r="AC30" i="22" s="1"/>
  <c r="AD30" i="22" s="1"/>
  <c r="T32" i="22"/>
  <c r="AC32" i="22" s="1"/>
  <c r="AD32" i="22" s="1"/>
  <c r="T33" i="22"/>
  <c r="AC33" i="22" s="1"/>
  <c r="AD33" i="22" s="1"/>
  <c r="T36" i="22"/>
  <c r="AC36" i="22" s="1"/>
  <c r="AD36" i="22" s="1"/>
  <c r="T39" i="22"/>
  <c r="AC39" i="22" s="1"/>
  <c r="AD39" i="22" s="1"/>
  <c r="T40" i="22"/>
  <c r="AC40" i="22" s="1"/>
  <c r="AD40" i="22" s="1"/>
  <c r="T67" i="22"/>
  <c r="AC67" i="22" s="1"/>
  <c r="AD67" i="22" s="1"/>
  <c r="T68" i="22"/>
  <c r="AC68" i="22" s="1"/>
  <c r="AD68" i="22" s="1"/>
  <c r="T70" i="22"/>
  <c r="T71" i="22"/>
  <c r="AC71" i="22" s="1"/>
  <c r="AD71" i="22" s="1"/>
  <c r="T73" i="22"/>
  <c r="AC73" i="22" s="1"/>
  <c r="AD73" i="22" s="1"/>
  <c r="T18" i="22"/>
  <c r="AC68" i="19"/>
  <c r="AD68" i="19" s="1"/>
  <c r="AC69" i="19"/>
  <c r="AD69" i="19" s="1"/>
  <c r="AC70" i="19"/>
  <c r="AD70" i="19" s="1"/>
  <c r="AC71" i="19"/>
  <c r="AD71" i="19" s="1"/>
  <c r="AC72" i="19"/>
  <c r="AD72" i="19" s="1"/>
  <c r="AC80" i="19"/>
  <c r="AD80" i="19" s="1"/>
  <c r="AC81" i="19"/>
  <c r="AD81" i="19" s="1"/>
  <c r="T184" i="19"/>
  <c r="T183" i="19"/>
  <c r="AC183" i="19" s="1"/>
  <c r="AD183" i="19" s="1"/>
  <c r="T182" i="19"/>
  <c r="AC182" i="19" s="1"/>
  <c r="AD182" i="19" s="1"/>
  <c r="T180" i="19"/>
  <c r="AC180" i="19" s="1"/>
  <c r="AD180" i="19" s="1"/>
  <c r="T162" i="19"/>
  <c r="AC162" i="19" s="1"/>
  <c r="AD162" i="19" s="1"/>
  <c r="T160" i="19"/>
  <c r="AC160" i="19" s="1"/>
  <c r="AD160" i="19" s="1"/>
  <c r="T158" i="19"/>
  <c r="AC158" i="19" s="1"/>
  <c r="AD158" i="19" s="1"/>
  <c r="T157" i="19"/>
  <c r="AC157" i="19" s="1"/>
  <c r="AD157" i="19" s="1"/>
  <c r="T156" i="19"/>
  <c r="AC156" i="19" s="1"/>
  <c r="AD156" i="19" s="1"/>
  <c r="T155" i="19"/>
  <c r="AC155" i="19" s="1"/>
  <c r="AD155" i="19" s="1"/>
  <c r="T154" i="19"/>
  <c r="AC154" i="19" s="1"/>
  <c r="AD154" i="19" s="1"/>
  <c r="T153" i="19"/>
  <c r="AC153" i="19" s="1"/>
  <c r="AD153" i="19" s="1"/>
  <c r="T152" i="19"/>
  <c r="AC152" i="19" s="1"/>
  <c r="AD152" i="19" s="1"/>
  <c r="T151" i="19"/>
  <c r="AC151" i="19" s="1"/>
  <c r="AD151" i="19" s="1"/>
  <c r="T150" i="19"/>
  <c r="AC150" i="19" s="1"/>
  <c r="AD150" i="19" s="1"/>
  <c r="T148" i="19"/>
  <c r="AC148" i="19" s="1"/>
  <c r="AD148" i="19" s="1"/>
  <c r="T147" i="19"/>
  <c r="AC147" i="19" s="1"/>
  <c r="AD147" i="19" s="1"/>
  <c r="T146" i="19"/>
  <c r="AC146" i="19" s="1"/>
  <c r="AD146" i="19" s="1"/>
  <c r="T145" i="19"/>
  <c r="AC145" i="19" s="1"/>
  <c r="AD145" i="19" s="1"/>
  <c r="T144" i="19"/>
  <c r="AC144" i="19" s="1"/>
  <c r="AD144" i="19" s="1"/>
  <c r="T143" i="19"/>
  <c r="AC143" i="19" s="1"/>
  <c r="AD143" i="19" s="1"/>
  <c r="T142" i="19"/>
  <c r="AC142" i="19" s="1"/>
  <c r="AD142" i="19" s="1"/>
  <c r="T138" i="19"/>
  <c r="AC138" i="19" s="1"/>
  <c r="AD138" i="19" s="1"/>
  <c r="T136" i="19"/>
  <c r="AC136" i="19" s="1"/>
  <c r="AD136" i="19" s="1"/>
  <c r="T134" i="19"/>
  <c r="AC134" i="19" s="1"/>
  <c r="AD134" i="19" s="1"/>
  <c r="T133" i="19"/>
  <c r="AC133" i="19" s="1"/>
  <c r="AD133" i="19" s="1"/>
  <c r="T132" i="19"/>
  <c r="AC132" i="19" s="1"/>
  <c r="AD132" i="19" s="1"/>
  <c r="T131" i="19"/>
  <c r="AC131" i="19" s="1"/>
  <c r="AD131" i="19" s="1"/>
  <c r="T129" i="19"/>
  <c r="AC129" i="19" s="1"/>
  <c r="AD129" i="19" s="1"/>
  <c r="T128" i="19"/>
  <c r="AC128" i="19" s="1"/>
  <c r="AD128" i="19" s="1"/>
  <c r="T125" i="19"/>
  <c r="AC125" i="19" s="1"/>
  <c r="AD125" i="19" s="1"/>
  <c r="T124" i="19"/>
  <c r="AC124" i="19" s="1"/>
  <c r="AD124" i="19" s="1"/>
  <c r="T123" i="19"/>
  <c r="AC123" i="19" s="1"/>
  <c r="AD123" i="19" s="1"/>
  <c r="T121" i="19"/>
  <c r="AC121" i="19" s="1"/>
  <c r="AD121" i="19" s="1"/>
  <c r="T120" i="19"/>
  <c r="T118" i="19"/>
  <c r="AC118" i="19" s="1"/>
  <c r="AD118" i="19" s="1"/>
  <c r="T117" i="19"/>
  <c r="AC117" i="19" s="1"/>
  <c r="AD117" i="19" s="1"/>
  <c r="T116" i="19"/>
  <c r="AC116" i="19" s="1"/>
  <c r="AD116" i="19" s="1"/>
  <c r="T115" i="19"/>
  <c r="AC115" i="19" s="1"/>
  <c r="AD115" i="19" s="1"/>
  <c r="T114" i="19"/>
  <c r="AC114" i="19" s="1"/>
  <c r="AD114" i="19" s="1"/>
  <c r="T113" i="19"/>
  <c r="AC113" i="19" s="1"/>
  <c r="AD113" i="19" s="1"/>
  <c r="T112" i="19"/>
  <c r="AC112" i="19" s="1"/>
  <c r="AD112" i="19" s="1"/>
  <c r="T110" i="19"/>
  <c r="AC110" i="19" s="1"/>
  <c r="AD110" i="19" s="1"/>
  <c r="T107" i="19"/>
  <c r="AC107" i="19" s="1"/>
  <c r="T99" i="19"/>
  <c r="AC99" i="19" s="1"/>
  <c r="AD99" i="19" s="1"/>
  <c r="T98" i="19"/>
  <c r="AC98" i="19" s="1"/>
  <c r="AD98" i="19" s="1"/>
  <c r="T97" i="19"/>
  <c r="AC97" i="19" s="1"/>
  <c r="AD97" i="19" s="1"/>
  <c r="T96" i="19"/>
  <c r="AC96" i="19" s="1"/>
  <c r="AD96" i="19" s="1"/>
  <c r="T94" i="19"/>
  <c r="AC94" i="19" s="1"/>
  <c r="AD94" i="19" s="1"/>
  <c r="T92" i="19"/>
  <c r="AC92" i="19" s="1"/>
  <c r="AD92" i="19" s="1"/>
  <c r="T90" i="19"/>
  <c r="AC90" i="19" s="1"/>
  <c r="AD90" i="19" s="1"/>
  <c r="T88" i="19"/>
  <c r="AC88" i="19" s="1"/>
  <c r="T86" i="19"/>
  <c r="AC86" i="19" s="1"/>
  <c r="AD86" i="19" s="1"/>
  <c r="T85" i="19"/>
  <c r="AC85" i="19" s="1"/>
  <c r="AD85" i="19" s="1"/>
  <c r="T84" i="19"/>
  <c r="AC84" i="19" s="1"/>
  <c r="AD84" i="19" s="1"/>
  <c r="T79" i="19"/>
  <c r="AC79" i="19" s="1"/>
  <c r="AD79" i="19" s="1"/>
  <c r="T78" i="19"/>
  <c r="AC78" i="19" s="1"/>
  <c r="AD78" i="19" s="1"/>
  <c r="T77" i="19"/>
  <c r="AC77" i="19" s="1"/>
  <c r="AD77" i="19" s="1"/>
  <c r="T76" i="19"/>
  <c r="AC76" i="19" s="1"/>
  <c r="AD76" i="19" s="1"/>
  <c r="T75" i="19"/>
  <c r="AC75" i="19" s="1"/>
  <c r="AD75" i="19" s="1"/>
  <c r="T25" i="19"/>
  <c r="AC25" i="19" s="1"/>
  <c r="AD25" i="19" s="1"/>
  <c r="T243" i="17"/>
  <c r="AC243" i="17" s="1"/>
  <c r="AD243" i="17" s="1"/>
  <c r="T242" i="17"/>
  <c r="AC242" i="17" s="1"/>
  <c r="AD242" i="17" s="1"/>
  <c r="T241" i="17"/>
  <c r="AC241" i="17" s="1"/>
  <c r="AD241" i="17" s="1"/>
  <c r="T231" i="17"/>
  <c r="AC231" i="17" s="1"/>
  <c r="AD231" i="17" s="1"/>
  <c r="T230" i="17"/>
  <c r="AC230" i="17" s="1"/>
  <c r="AD230" i="17" s="1"/>
  <c r="T229" i="17"/>
  <c r="AC229" i="17" s="1"/>
  <c r="AD229" i="17" s="1"/>
  <c r="T227" i="17"/>
  <c r="AC227" i="17" s="1"/>
  <c r="AD227" i="17" s="1"/>
  <c r="T226" i="17"/>
  <c r="AC226" i="17" s="1"/>
  <c r="AD226" i="17" s="1"/>
  <c r="T225" i="17"/>
  <c r="AC225" i="17" s="1"/>
  <c r="AD225" i="17" s="1"/>
  <c r="T224" i="17"/>
  <c r="AC224" i="17" s="1"/>
  <c r="AD224" i="17" s="1"/>
  <c r="T223" i="17"/>
  <c r="AC223" i="17" s="1"/>
  <c r="AD223" i="17" s="1"/>
  <c r="T222" i="17"/>
  <c r="AC222" i="17" s="1"/>
  <c r="AD222" i="17" s="1"/>
  <c r="T221" i="17"/>
  <c r="AC221" i="17" s="1"/>
  <c r="AD221" i="17" s="1"/>
  <c r="T219" i="17"/>
  <c r="AC219" i="17" s="1"/>
  <c r="AD219" i="17" s="1"/>
  <c r="T218" i="17"/>
  <c r="AC218" i="17" s="1"/>
  <c r="AD218" i="17" s="1"/>
  <c r="T217" i="17"/>
  <c r="AC217" i="17" s="1"/>
  <c r="AD217" i="17" s="1"/>
  <c r="T216" i="17"/>
  <c r="AC216" i="17" s="1"/>
  <c r="AD216" i="17" s="1"/>
  <c r="T215" i="17"/>
  <c r="AC215" i="17" s="1"/>
  <c r="AD215" i="17" s="1"/>
  <c r="T214" i="17"/>
  <c r="AC214" i="17" s="1"/>
  <c r="AD214" i="17" s="1"/>
  <c r="T213" i="17"/>
  <c r="AC213" i="17" s="1"/>
  <c r="AD213" i="17" s="1"/>
  <c r="T212" i="17"/>
  <c r="AC212" i="17" s="1"/>
  <c r="AD212" i="17" s="1"/>
  <c r="T211" i="17"/>
  <c r="AC211" i="17" s="1"/>
  <c r="AD211" i="17" s="1"/>
  <c r="T210" i="17"/>
  <c r="AC210" i="17" s="1"/>
  <c r="AD210" i="17" s="1"/>
  <c r="T208" i="17"/>
  <c r="AC208" i="17" s="1"/>
  <c r="AD208" i="17" s="1"/>
  <c r="T207" i="17"/>
  <c r="AC207" i="17" s="1"/>
  <c r="T205" i="17"/>
  <c r="AC205" i="17" s="1"/>
  <c r="AD205" i="17" s="1"/>
  <c r="T204" i="17"/>
  <c r="AC204" i="17" s="1"/>
  <c r="AD204" i="17" s="1"/>
  <c r="T203" i="17"/>
  <c r="AC203" i="17" s="1"/>
  <c r="AD203" i="17" s="1"/>
  <c r="T199" i="17"/>
  <c r="AC199" i="17" s="1"/>
  <c r="AD199" i="17" s="1"/>
  <c r="T198" i="17"/>
  <c r="AC198" i="17" s="1"/>
  <c r="AD198" i="17" s="1"/>
  <c r="T197" i="17"/>
  <c r="AC197" i="17" s="1"/>
  <c r="AD197" i="17" s="1"/>
  <c r="T193" i="17"/>
  <c r="AC193" i="17" s="1"/>
  <c r="AD193" i="17" s="1"/>
  <c r="T183" i="17"/>
  <c r="AC183" i="17" s="1"/>
  <c r="AD183" i="17" s="1"/>
  <c r="T23" i="17"/>
  <c r="AC23" i="17" s="1"/>
  <c r="T24" i="17"/>
  <c r="AC24" i="17" s="1"/>
  <c r="AD24" i="17" s="1"/>
  <c r="T25" i="17"/>
  <c r="AC25" i="17" s="1"/>
  <c r="AD25" i="17" s="1"/>
  <c r="T29" i="17"/>
  <c r="AC29" i="17" s="1"/>
  <c r="AD29" i="17" s="1"/>
  <c r="T34" i="17"/>
  <c r="AC34" i="17" s="1"/>
  <c r="AD34" i="17" s="1"/>
  <c r="T38" i="17"/>
  <c r="AC38" i="17" s="1"/>
  <c r="AD38" i="17" s="1"/>
  <c r="T41" i="17"/>
  <c r="AC41" i="17" s="1"/>
  <c r="AD41" i="17" s="1"/>
  <c r="T42" i="17"/>
  <c r="AC42" i="17" s="1"/>
  <c r="AD42" i="17" s="1"/>
  <c r="T43" i="17"/>
  <c r="AC43" i="17" s="1"/>
  <c r="T44" i="17"/>
  <c r="AC44" i="17" s="1"/>
  <c r="AD44" i="17" s="1"/>
  <c r="T45" i="17"/>
  <c r="AC45" i="17" s="1"/>
  <c r="T47" i="17"/>
  <c r="AC47" i="17" s="1"/>
  <c r="T48" i="17"/>
  <c r="AC48" i="17" s="1"/>
  <c r="T50" i="17"/>
  <c r="AC50" i="17" s="1"/>
  <c r="T52" i="17"/>
  <c r="AC52" i="17" s="1"/>
  <c r="AD52" i="17" s="1"/>
  <c r="T53" i="17"/>
  <c r="AC53" i="17" s="1"/>
  <c r="AD53" i="17" s="1"/>
  <c r="T54" i="17"/>
  <c r="AC54" i="17" s="1"/>
  <c r="T58" i="17"/>
  <c r="AC58" i="17" s="1"/>
  <c r="AD58" i="17" s="1"/>
  <c r="T60" i="17"/>
  <c r="AC60" i="17" s="1"/>
  <c r="AD60" i="17" s="1"/>
  <c r="T19" i="17"/>
  <c r="AC19" i="17" s="1"/>
  <c r="AD19" i="17" s="1"/>
  <c r="T115" i="22"/>
  <c r="AI182" i="17"/>
  <c r="AI183" i="17"/>
  <c r="AI188" i="17"/>
  <c r="M23" i="17"/>
  <c r="M56" i="17"/>
  <c r="B56" i="17" s="1"/>
  <c r="M57" i="17"/>
  <c r="M207" i="17"/>
  <c r="M258" i="17" s="1"/>
  <c r="B146" i="18"/>
  <c r="C281" i="17"/>
  <c r="B259" i="17"/>
  <c r="AK22" i="22"/>
  <c r="AI22" i="22"/>
  <c r="B22" i="22"/>
  <c r="AK62" i="22"/>
  <c r="AI62" i="22"/>
  <c r="B62" i="22"/>
  <c r="AK54" i="22"/>
  <c r="AI54" i="22"/>
  <c r="B54" i="22"/>
  <c r="AK37" i="22"/>
  <c r="AI37" i="22"/>
  <c r="B37" i="22"/>
  <c r="AK51" i="22"/>
  <c r="AI51" i="22"/>
  <c r="AI53" i="22"/>
  <c r="AI55" i="22"/>
  <c r="B51" i="22"/>
  <c r="AJ43" i="22"/>
  <c r="AJ68" i="19"/>
  <c r="AM68" i="19" s="1"/>
  <c r="AI109" i="17"/>
  <c r="AI94" i="17"/>
  <c r="B124" i="17"/>
  <c r="C285" i="17" s="1"/>
  <c r="AJ125" i="17"/>
  <c r="AK125" i="17" s="1"/>
  <c r="B109" i="17"/>
  <c r="AK109" i="17"/>
  <c r="B71" i="23"/>
  <c r="B258" i="18"/>
  <c r="AI146" i="18"/>
  <c r="AJ117" i="18"/>
  <c r="AM117" i="18" s="1"/>
  <c r="AJ133" i="18"/>
  <c r="AI145" i="18"/>
  <c r="B145" i="18"/>
  <c r="AJ141" i="18"/>
  <c r="AM141" i="18" s="1"/>
  <c r="AJ253" i="18"/>
  <c r="B200" i="18"/>
  <c r="B153" i="18" s="1"/>
  <c r="AK230" i="18"/>
  <c r="AK231" i="18"/>
  <c r="AK236" i="18"/>
  <c r="AK237" i="18"/>
  <c r="AK239" i="18"/>
  <c r="AI230" i="18"/>
  <c r="AI231" i="18"/>
  <c r="AI232" i="18"/>
  <c r="AI233" i="18"/>
  <c r="AI234" i="18"/>
  <c r="AI235" i="18"/>
  <c r="AI236" i="18"/>
  <c r="AI237" i="18"/>
  <c r="AI238" i="18"/>
  <c r="D65" i="23"/>
  <c r="B230" i="18"/>
  <c r="B231" i="18"/>
  <c r="B232" i="18"/>
  <c r="B233" i="18"/>
  <c r="B234" i="18"/>
  <c r="B235" i="18"/>
  <c r="B236" i="18"/>
  <c r="B237" i="18"/>
  <c r="B238" i="18"/>
  <c r="B239" i="18"/>
  <c r="AJ259" i="18"/>
  <c r="AI248" i="18"/>
  <c r="R251" i="18"/>
  <c r="S251" i="18"/>
  <c r="T251" i="18"/>
  <c r="U251" i="18"/>
  <c r="V251" i="18"/>
  <c r="W251" i="18"/>
  <c r="X251" i="18"/>
  <c r="Y251" i="18"/>
  <c r="Z251" i="18"/>
  <c r="AA251" i="18"/>
  <c r="AB251" i="18"/>
  <c r="Q251" i="18"/>
  <c r="D66" i="23"/>
  <c r="M251" i="18"/>
  <c r="C66" i="23" s="1"/>
  <c r="B248" i="18"/>
  <c r="AJ247" i="18"/>
  <c r="AK254" i="18"/>
  <c r="AK255" i="18"/>
  <c r="R208" i="18"/>
  <c r="S208" i="18"/>
  <c r="T208" i="18"/>
  <c r="U208" i="18"/>
  <c r="V208" i="18"/>
  <c r="W208" i="18"/>
  <c r="X208" i="18"/>
  <c r="Y208" i="18"/>
  <c r="Z208" i="18"/>
  <c r="AA208" i="18"/>
  <c r="AB208" i="18"/>
  <c r="Q208" i="18"/>
  <c r="D64" i="23"/>
  <c r="AC254" i="18"/>
  <c r="AD254" i="18" s="1"/>
  <c r="AC255" i="18"/>
  <c r="AD255" i="18" s="1"/>
  <c r="AC256" i="18"/>
  <c r="AD256" i="18" s="1"/>
  <c r="R257" i="18"/>
  <c r="S257" i="18"/>
  <c r="T257" i="18"/>
  <c r="U257" i="18"/>
  <c r="V257" i="18"/>
  <c r="W257" i="18"/>
  <c r="X257" i="18"/>
  <c r="Z257" i="18"/>
  <c r="AB257" i="18"/>
  <c r="Q257" i="18"/>
  <c r="D67" i="23"/>
  <c r="M257" i="18"/>
  <c r="C67" i="23" s="1"/>
  <c r="AI254" i="18"/>
  <c r="AI255" i="18"/>
  <c r="AI256" i="18"/>
  <c r="B254" i="18"/>
  <c r="B255" i="18"/>
  <c r="B256" i="18"/>
  <c r="AC207" i="18"/>
  <c r="AD207" i="18" s="1"/>
  <c r="AK144" i="18"/>
  <c r="AI144" i="18"/>
  <c r="AI151" i="18"/>
  <c r="B144" i="18"/>
  <c r="AJ156" i="18"/>
  <c r="AK151" i="18"/>
  <c r="R152" i="18"/>
  <c r="W152" i="18"/>
  <c r="X152" i="18"/>
  <c r="Z152" i="18"/>
  <c r="AA152" i="18"/>
  <c r="AB152" i="18"/>
  <c r="Q152" i="18"/>
  <c r="M24" i="18"/>
  <c r="M61" i="18"/>
  <c r="C54" i="23" s="1"/>
  <c r="M67" i="18"/>
  <c r="C55" i="23" s="1"/>
  <c r="C56" i="23"/>
  <c r="C57" i="23"/>
  <c r="C70" i="23"/>
  <c r="C71" i="23"/>
  <c r="AJ206" i="18"/>
  <c r="AM206" i="18" s="1"/>
  <c r="AM111" i="19"/>
  <c r="AJ110" i="19"/>
  <c r="AM110" i="19" s="1"/>
  <c r="B119" i="19"/>
  <c r="AI119" i="19"/>
  <c r="AI143" i="18"/>
  <c r="AJ139" i="18"/>
  <c r="AK177" i="18"/>
  <c r="AK178" i="18"/>
  <c r="AK179" i="18"/>
  <c r="AK180" i="18"/>
  <c r="AK181" i="18"/>
  <c r="AK182" i="18"/>
  <c r="AK183" i="18"/>
  <c r="AK184" i="18"/>
  <c r="AK185" i="18"/>
  <c r="AK186" i="18"/>
  <c r="AK187" i="18"/>
  <c r="AK188" i="18"/>
  <c r="AK193" i="18"/>
  <c r="AI177" i="18"/>
  <c r="AI178" i="18"/>
  <c r="AI179" i="18"/>
  <c r="AI180" i="18"/>
  <c r="AI181" i="18"/>
  <c r="AI182" i="18"/>
  <c r="AI183" i="18"/>
  <c r="AI184" i="18"/>
  <c r="AI185" i="18"/>
  <c r="AI186" i="18"/>
  <c r="AI187" i="18"/>
  <c r="B177" i="18"/>
  <c r="B178" i="18"/>
  <c r="B179" i="18"/>
  <c r="B180" i="18"/>
  <c r="B181" i="18"/>
  <c r="B182" i="18"/>
  <c r="B183" i="18"/>
  <c r="B184" i="18"/>
  <c r="B185" i="18"/>
  <c r="B186" i="18"/>
  <c r="B187" i="18"/>
  <c r="B188" i="18"/>
  <c r="B193" i="18"/>
  <c r="AI198" i="18"/>
  <c r="AI197" i="18"/>
  <c r="AI196" i="18"/>
  <c r="AK198" i="18"/>
  <c r="AK197" i="18"/>
  <c r="AK196" i="18"/>
  <c r="AJ199" i="18"/>
  <c r="AL199" i="18" s="1"/>
  <c r="AC198" i="18"/>
  <c r="AD198" i="18" s="1"/>
  <c r="AC197" i="18"/>
  <c r="AD197" i="18" s="1"/>
  <c r="AC196" i="18"/>
  <c r="AD196" i="18" s="1"/>
  <c r="R199" i="18"/>
  <c r="S199" i="18"/>
  <c r="T199" i="18"/>
  <c r="U199" i="18"/>
  <c r="V199" i="18"/>
  <c r="W199" i="18"/>
  <c r="X199" i="18"/>
  <c r="Y199" i="18"/>
  <c r="Z199" i="18"/>
  <c r="AA199" i="18"/>
  <c r="AB199" i="18"/>
  <c r="Q199" i="18"/>
  <c r="B197" i="18"/>
  <c r="B198" i="18"/>
  <c r="B196" i="18"/>
  <c r="AJ202" i="18"/>
  <c r="AJ201" i="18"/>
  <c r="AI111" i="18"/>
  <c r="AI110" i="18"/>
  <c r="AI109" i="18"/>
  <c r="B61" i="23"/>
  <c r="B60" i="23"/>
  <c r="AI122" i="17"/>
  <c r="AI121" i="17"/>
  <c r="AJ123" i="17"/>
  <c r="AL123" i="17" s="1"/>
  <c r="AC121" i="17"/>
  <c r="AD121" i="17" s="1"/>
  <c r="R123" i="17"/>
  <c r="S123" i="17"/>
  <c r="T123" i="17"/>
  <c r="U123" i="17"/>
  <c r="Q123" i="17"/>
  <c r="O123" i="17"/>
  <c r="E284" i="17" s="1"/>
  <c r="B122" i="17"/>
  <c r="B121" i="17"/>
  <c r="AI73" i="17"/>
  <c r="AI74" i="17"/>
  <c r="AI75" i="17"/>
  <c r="AI76" i="17"/>
  <c r="AI77" i="17"/>
  <c r="AI78" i="17"/>
  <c r="AI79" i="17"/>
  <c r="AI80" i="17"/>
  <c r="AI81" i="17"/>
  <c r="AI82" i="17"/>
  <c r="AI84" i="17"/>
  <c r="AI85" i="17"/>
  <c r="AI86" i="17"/>
  <c r="AI87" i="17"/>
  <c r="AI88" i="17"/>
  <c r="AI89" i="17"/>
  <c r="AI90" i="17"/>
  <c r="AI91" i="17"/>
  <c r="AI92" i="17"/>
  <c r="AI93" i="17"/>
  <c r="AJ67" i="17"/>
  <c r="AJ40" i="17"/>
  <c r="AI248" i="17"/>
  <c r="B248" i="17"/>
  <c r="AK92" i="17"/>
  <c r="AK93" i="17"/>
  <c r="AK94" i="17"/>
  <c r="AK106" i="17"/>
  <c r="B92" i="17"/>
  <c r="B94" i="17"/>
  <c r="AK127" i="17"/>
  <c r="AK128" i="17"/>
  <c r="AI127" i="17"/>
  <c r="AI128" i="17"/>
  <c r="R129" i="17"/>
  <c r="S129" i="17"/>
  <c r="T129" i="17"/>
  <c r="U129" i="17"/>
  <c r="Q129" i="17"/>
  <c r="O129" i="17"/>
  <c r="E285" i="17" s="1"/>
  <c r="B127" i="17"/>
  <c r="B128" i="17"/>
  <c r="AK73" i="17"/>
  <c r="AK74" i="17"/>
  <c r="AK75" i="17"/>
  <c r="AK76" i="17"/>
  <c r="AK77" i="17"/>
  <c r="AK78" i="17"/>
  <c r="AK79" i="17"/>
  <c r="AK80" i="17"/>
  <c r="AK81" i="17"/>
  <c r="AK82" i="17"/>
  <c r="AK84" i="17"/>
  <c r="AK85" i="17"/>
  <c r="AK86" i="17"/>
  <c r="AK87" i="17"/>
  <c r="AK88" i="17"/>
  <c r="AK89" i="17"/>
  <c r="AK90" i="17"/>
  <c r="AK91" i="17"/>
  <c r="B74" i="17"/>
  <c r="B75" i="17"/>
  <c r="B76" i="17"/>
  <c r="B77" i="17"/>
  <c r="B78" i="17"/>
  <c r="B79" i="17"/>
  <c r="B80" i="17"/>
  <c r="B81" i="17"/>
  <c r="B82" i="17"/>
  <c r="B87" i="17"/>
  <c r="B88" i="17"/>
  <c r="B89" i="17"/>
  <c r="B90" i="17"/>
  <c r="B91" i="17"/>
  <c r="B73" i="17"/>
  <c r="AJ39" i="17"/>
  <c r="AM39" i="17" s="1"/>
  <c r="AJ223" i="17"/>
  <c r="AJ243" i="17"/>
  <c r="AM243" i="17" s="1"/>
  <c r="AJ240" i="17"/>
  <c r="AJ23" i="17"/>
  <c r="AJ56" i="17"/>
  <c r="AM56" i="17" s="1"/>
  <c r="AJ57" i="17"/>
  <c r="AM57" i="17" s="1"/>
  <c r="AJ207" i="17"/>
  <c r="AJ35" i="17"/>
  <c r="AM35" i="17" s="1"/>
  <c r="AJ58" i="17"/>
  <c r="AJ53" i="17"/>
  <c r="AM53" i="17" s="1"/>
  <c r="AJ47" i="17"/>
  <c r="AM47" i="17" s="1"/>
  <c r="AJ200" i="17"/>
  <c r="AJ54" i="17"/>
  <c r="AM54" i="17" s="1"/>
  <c r="AJ52" i="17"/>
  <c r="AM52" i="17" s="1"/>
  <c r="AJ48" i="17"/>
  <c r="AM48" i="17" s="1"/>
  <c r="AJ41" i="17"/>
  <c r="AM41" i="17" s="1"/>
  <c r="AJ34" i="17"/>
  <c r="AJ260" i="17"/>
  <c r="AK111" i="18"/>
  <c r="AI106" i="18"/>
  <c r="AI105" i="18"/>
  <c r="AI104" i="18"/>
  <c r="AJ107" i="18"/>
  <c r="AL107" i="18" s="1"/>
  <c r="AC106" i="18"/>
  <c r="AD106" i="18" s="1"/>
  <c r="AC105" i="18"/>
  <c r="AD105" i="18" s="1"/>
  <c r="AC104" i="18"/>
  <c r="AD104" i="18" s="1"/>
  <c r="AC101" i="18"/>
  <c r="AD101" i="18" s="1"/>
  <c r="AC100" i="18"/>
  <c r="AD100" i="18" s="1"/>
  <c r="AC99" i="18"/>
  <c r="AD99" i="18" s="1"/>
  <c r="R107" i="18"/>
  <c r="S107" i="18"/>
  <c r="T107" i="18"/>
  <c r="U107" i="18"/>
  <c r="V107" i="18"/>
  <c r="W107" i="18"/>
  <c r="X107" i="18"/>
  <c r="Y107" i="18"/>
  <c r="Z107" i="18"/>
  <c r="AA107" i="18"/>
  <c r="AB107" i="18"/>
  <c r="Q107" i="18"/>
  <c r="AK106" i="18"/>
  <c r="AK105" i="18"/>
  <c r="B105" i="18"/>
  <c r="B106" i="18"/>
  <c r="B104" i="18"/>
  <c r="AI101" i="18"/>
  <c r="AI100" i="18"/>
  <c r="AI99" i="18"/>
  <c r="AK101" i="18"/>
  <c r="AK100" i="18"/>
  <c r="AJ102" i="18"/>
  <c r="AL102" i="18" s="1"/>
  <c r="R102" i="18"/>
  <c r="S102" i="18"/>
  <c r="T102" i="18"/>
  <c r="U102" i="18"/>
  <c r="V102" i="18"/>
  <c r="W102" i="18"/>
  <c r="X102" i="18"/>
  <c r="Y102" i="18"/>
  <c r="Z102" i="18"/>
  <c r="AA102" i="18"/>
  <c r="AB102" i="18"/>
  <c r="Q102" i="18"/>
  <c r="D358" i="18"/>
  <c r="B100" i="18"/>
  <c r="B101" i="18"/>
  <c r="B99" i="18"/>
  <c r="O108" i="19"/>
  <c r="O23" i="17"/>
  <c r="B20" i="17"/>
  <c r="B21" i="17"/>
  <c r="B22" i="17"/>
  <c r="B24" i="17"/>
  <c r="B25" i="17"/>
  <c r="B26"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7" i="17"/>
  <c r="B58" i="17"/>
  <c r="B59" i="17"/>
  <c r="B60" i="17"/>
  <c r="B61" i="17"/>
  <c r="B62" i="17"/>
  <c r="B63" i="17"/>
  <c r="B64" i="17"/>
  <c r="B68" i="17"/>
  <c r="B69" i="17"/>
  <c r="B70" i="17"/>
  <c r="B71" i="17"/>
  <c r="B72" i="17"/>
  <c r="B116" i="17"/>
  <c r="C283" i="17" s="1"/>
  <c r="B117" i="17"/>
  <c r="B118" i="17"/>
  <c r="B125" i="17"/>
  <c r="B126" i="17"/>
  <c r="B131" i="17"/>
  <c r="B132" i="17"/>
  <c r="B134" i="17"/>
  <c r="B135" i="17"/>
  <c r="B137" i="17"/>
  <c r="B138" i="17"/>
  <c r="B139" i="17"/>
  <c r="B140" i="17"/>
  <c r="B141" i="17"/>
  <c r="B144" i="17"/>
  <c r="B147" i="17"/>
  <c r="B182" i="17"/>
  <c r="B183" i="17"/>
  <c r="B188" i="17"/>
  <c r="B192" i="17"/>
  <c r="B193" i="17"/>
  <c r="B194" i="17"/>
  <c r="B195" i="17"/>
  <c r="B197" i="17"/>
  <c r="B198" i="17"/>
  <c r="B199" i="17"/>
  <c r="B200" i="17"/>
  <c r="B201" i="17"/>
  <c r="B203" i="17"/>
  <c r="B204" i="17"/>
  <c r="B205" i="17"/>
  <c r="B206"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40" i="17"/>
  <c r="B241" i="17"/>
  <c r="B242" i="17"/>
  <c r="B243" i="17"/>
  <c r="B244" i="17"/>
  <c r="B260" i="17"/>
  <c r="B261" i="17"/>
  <c r="B19" i="17"/>
  <c r="M308" i="18"/>
  <c r="M108" i="19"/>
  <c r="M175" i="19" s="1"/>
  <c r="C97" i="23"/>
  <c r="D97" i="23" s="1"/>
  <c r="B97" i="23"/>
  <c r="D96" i="23"/>
  <c r="D95" i="23"/>
  <c r="A76" i="23"/>
  <c r="B72" i="23"/>
  <c r="B70" i="23"/>
  <c r="B68" i="23"/>
  <c r="B67" i="23"/>
  <c r="B66" i="23"/>
  <c r="A63" i="23"/>
  <c r="B62" i="23"/>
  <c r="B58" i="23"/>
  <c r="B57" i="23"/>
  <c r="B56" i="23"/>
  <c r="B55" i="23"/>
  <c r="B54" i="23"/>
  <c r="B51" i="23"/>
  <c r="A50" i="23"/>
  <c r="A45" i="23"/>
  <c r="A34" i="23"/>
  <c r="B18" i="23"/>
  <c r="C359" i="18"/>
  <c r="C356" i="18"/>
  <c r="C355" i="18"/>
  <c r="C354" i="18"/>
  <c r="AC341" i="18"/>
  <c r="AJ335" i="18"/>
  <c r="AL335" i="18" s="1"/>
  <c r="AB335" i="18"/>
  <c r="AA335" i="18"/>
  <c r="Z335" i="18"/>
  <c r="Y335" i="18"/>
  <c r="X335" i="18"/>
  <c r="W335" i="18"/>
  <c r="V335" i="18"/>
  <c r="U335" i="18"/>
  <c r="T335" i="18"/>
  <c r="S335" i="18"/>
  <c r="R335" i="18"/>
  <c r="Q335" i="18"/>
  <c r="O335" i="18"/>
  <c r="D72" i="23" s="1"/>
  <c r="M335" i="18"/>
  <c r="C72" i="23" s="1"/>
  <c r="B335" i="18"/>
  <c r="AK334" i="18"/>
  <c r="AK335" i="18" s="1"/>
  <c r="AI334" i="18"/>
  <c r="AC334" i="18"/>
  <c r="AD334" i="18" s="1"/>
  <c r="AD335" i="18" s="1"/>
  <c r="AC333" i="18"/>
  <c r="AD333" i="18" s="1"/>
  <c r="AJ332" i="18"/>
  <c r="AL332" i="18" s="1"/>
  <c r="AB332" i="18"/>
  <c r="AA332" i="18"/>
  <c r="Z332" i="18"/>
  <c r="Y332" i="18"/>
  <c r="W332" i="18"/>
  <c r="V332" i="18"/>
  <c r="T332" i="18"/>
  <c r="R332" i="18"/>
  <c r="Q332" i="18"/>
  <c r="AK331" i="18"/>
  <c r="AI331" i="18"/>
  <c r="B331" i="18"/>
  <c r="AI330" i="18"/>
  <c r="M332" i="18"/>
  <c r="AK329" i="18"/>
  <c r="AI329" i="18"/>
  <c r="S329" i="18"/>
  <c r="B329" i="18"/>
  <c r="AK328" i="18"/>
  <c r="AI328" i="18"/>
  <c r="AC328" i="18"/>
  <c r="AD328" i="18" s="1"/>
  <c r="B328" i="18"/>
  <c r="AB326" i="18"/>
  <c r="AA326" i="18"/>
  <c r="Z326" i="18"/>
  <c r="Y326" i="18"/>
  <c r="X326" i="18"/>
  <c r="V326" i="18"/>
  <c r="T326" i="18"/>
  <c r="R326" i="18"/>
  <c r="Q326" i="18"/>
  <c r="M326" i="18"/>
  <c r="AI325" i="18"/>
  <c r="AJ317" i="18"/>
  <c r="AI317" i="18"/>
  <c r="B317" i="18"/>
  <c r="AK315" i="18"/>
  <c r="AI315" i="18"/>
  <c r="S315" i="18"/>
  <c r="AC315" i="18" s="1"/>
  <c r="AD315" i="18" s="1"/>
  <c r="B315" i="18"/>
  <c r="AK313" i="18"/>
  <c r="AI313" i="18"/>
  <c r="S313" i="18"/>
  <c r="AC313" i="18" s="1"/>
  <c r="AD313" i="18" s="1"/>
  <c r="B313" i="18"/>
  <c r="AK312" i="18"/>
  <c r="AI312" i="18"/>
  <c r="S312" i="18"/>
  <c r="AC312" i="18" s="1"/>
  <c r="AD312" i="18" s="1"/>
  <c r="B312" i="18"/>
  <c r="AJ311" i="18"/>
  <c r="AI311" i="18"/>
  <c r="B311" i="18"/>
  <c r="AK310" i="18"/>
  <c r="AI310" i="18"/>
  <c r="B310" i="18"/>
  <c r="AK309" i="18"/>
  <c r="AI309" i="18"/>
  <c r="B309" i="18"/>
  <c r="AI308" i="18"/>
  <c r="B308" i="18"/>
  <c r="AK307" i="18"/>
  <c r="AI307" i="18"/>
  <c r="B307" i="18"/>
  <c r="AK306" i="18"/>
  <c r="AI306" i="18"/>
  <c r="S306" i="18"/>
  <c r="AC306" i="18" s="1"/>
  <c r="AD306" i="18" s="1"/>
  <c r="B306" i="18"/>
  <c r="AK304" i="18"/>
  <c r="AI304" i="18"/>
  <c r="S304" i="18"/>
  <c r="AC304" i="18" s="1"/>
  <c r="AD304" i="18" s="1"/>
  <c r="B304" i="18"/>
  <c r="AK302" i="18"/>
  <c r="AI302" i="18"/>
  <c r="S302" i="18"/>
  <c r="AC302" i="18" s="1"/>
  <c r="AD302" i="18" s="1"/>
  <c r="B302" i="18"/>
  <c r="AK300" i="18"/>
  <c r="AI300" i="18"/>
  <c r="S300" i="18"/>
  <c r="AC300" i="18" s="1"/>
  <c r="AD300" i="18" s="1"/>
  <c r="B300" i="18"/>
  <c r="AK299" i="18"/>
  <c r="AI299" i="18"/>
  <c r="S299" i="18"/>
  <c r="AC299" i="18" s="1"/>
  <c r="AD299" i="18" s="1"/>
  <c r="B299" i="18"/>
  <c r="AK297" i="18"/>
  <c r="AI297" i="18"/>
  <c r="S297" i="18"/>
  <c r="AC297" i="18" s="1"/>
  <c r="AD297" i="18" s="1"/>
  <c r="B297" i="18"/>
  <c r="AK295" i="18"/>
  <c r="AI295" i="18"/>
  <c r="S295" i="18"/>
  <c r="AC295" i="18" s="1"/>
  <c r="AD295" i="18" s="1"/>
  <c r="B295" i="18"/>
  <c r="AK293" i="18"/>
  <c r="AI293" i="18"/>
  <c r="S293" i="18"/>
  <c r="AC293" i="18" s="1"/>
  <c r="AD293" i="18" s="1"/>
  <c r="B293" i="18"/>
  <c r="AK292" i="18"/>
  <c r="AI292" i="18"/>
  <c r="S292" i="18"/>
  <c r="AC292" i="18" s="1"/>
  <c r="AD292" i="18" s="1"/>
  <c r="B292" i="18"/>
  <c r="AK291" i="18"/>
  <c r="AI291" i="18"/>
  <c r="S291" i="18"/>
  <c r="AC291" i="18" s="1"/>
  <c r="AD291" i="18" s="1"/>
  <c r="B291" i="18"/>
  <c r="AK289" i="18"/>
  <c r="AI289" i="18"/>
  <c r="S289" i="18"/>
  <c r="AC289" i="18" s="1"/>
  <c r="AD289" i="18" s="1"/>
  <c r="B289" i="18"/>
  <c r="AJ288" i="18"/>
  <c r="AM288" i="18" s="1"/>
  <c r="AI288" i="18"/>
  <c r="B288" i="18"/>
  <c r="AK287" i="18"/>
  <c r="AI287" i="18"/>
  <c r="B287" i="18"/>
  <c r="AK286" i="18"/>
  <c r="AI286" i="18"/>
  <c r="S286" i="18"/>
  <c r="AC286" i="18" s="1"/>
  <c r="AD286" i="18" s="1"/>
  <c r="B286" i="18"/>
  <c r="AK284" i="18"/>
  <c r="AI284" i="18"/>
  <c r="S284" i="18"/>
  <c r="AC284" i="18" s="1"/>
  <c r="AD284" i="18" s="1"/>
  <c r="B284" i="18"/>
  <c r="AK282" i="18"/>
  <c r="AI282" i="18"/>
  <c r="S282" i="18"/>
  <c r="AC282" i="18" s="1"/>
  <c r="AD282" i="18" s="1"/>
  <c r="B282" i="18"/>
  <c r="AK280" i="18"/>
  <c r="AI280" i="18"/>
  <c r="S280" i="18"/>
  <c r="AC280" i="18" s="1"/>
  <c r="AD280" i="18" s="1"/>
  <c r="B280" i="18"/>
  <c r="AK278" i="18"/>
  <c r="AI278" i="18"/>
  <c r="S278" i="18"/>
  <c r="AC278" i="18" s="1"/>
  <c r="AD278" i="18" s="1"/>
  <c r="B278" i="18"/>
  <c r="AK277" i="18"/>
  <c r="AI277" i="18"/>
  <c r="S277" i="18"/>
  <c r="AC277" i="18" s="1"/>
  <c r="AD277" i="18" s="1"/>
  <c r="B277" i="18"/>
  <c r="AK276" i="18"/>
  <c r="AI276" i="18"/>
  <c r="B276" i="18"/>
  <c r="AK274" i="18"/>
  <c r="AI274" i="18"/>
  <c r="S274" i="18"/>
  <c r="AC274" i="18" s="1"/>
  <c r="AD274" i="18" s="1"/>
  <c r="B274" i="18"/>
  <c r="AK272" i="18"/>
  <c r="AI272" i="18"/>
  <c r="S272" i="18"/>
  <c r="AC272" i="18" s="1"/>
  <c r="AD272" i="18" s="1"/>
  <c r="B272" i="18"/>
  <c r="AK271" i="18"/>
  <c r="AI271" i="18"/>
  <c r="S271" i="18"/>
  <c r="AC271" i="18" s="1"/>
  <c r="AD271" i="18" s="1"/>
  <c r="B271" i="18"/>
  <c r="AI270" i="18"/>
  <c r="B270" i="18"/>
  <c r="AK269" i="18"/>
  <c r="AI269" i="18"/>
  <c r="B269" i="18"/>
  <c r="AK267" i="18"/>
  <c r="AI267" i="18"/>
  <c r="S267" i="18"/>
  <c r="AC267" i="18" s="1"/>
  <c r="AD267" i="18" s="1"/>
  <c r="B267" i="18"/>
  <c r="AI266" i="18"/>
  <c r="B266" i="18"/>
  <c r="AK265" i="18"/>
  <c r="AI265" i="18"/>
  <c r="S265" i="18"/>
  <c r="AC265" i="18" s="1"/>
  <c r="AD265" i="18" s="1"/>
  <c r="B265" i="18"/>
  <c r="AK264" i="18"/>
  <c r="AI264" i="18"/>
  <c r="S264" i="18"/>
  <c r="AC264" i="18" s="1"/>
  <c r="AD264" i="18" s="1"/>
  <c r="B264" i="18"/>
  <c r="AK263" i="18"/>
  <c r="AI263" i="18"/>
  <c r="S263" i="18"/>
  <c r="AC263" i="18" s="1"/>
  <c r="AD263" i="18" s="1"/>
  <c r="B263" i="18"/>
  <c r="AJ260" i="18"/>
  <c r="AL260" i="18" s="1"/>
  <c r="AH260" i="18"/>
  <c r="AG260" i="18"/>
  <c r="AB260" i="18"/>
  <c r="AA260" i="18"/>
  <c r="Z260" i="18"/>
  <c r="Y260" i="18"/>
  <c r="X260" i="18"/>
  <c r="W260" i="18"/>
  <c r="V260" i="18"/>
  <c r="U260" i="18"/>
  <c r="T260" i="18"/>
  <c r="S260" i="18"/>
  <c r="R260" i="18"/>
  <c r="Q260" i="18"/>
  <c r="O260" i="18"/>
  <c r="D68" i="23" s="1"/>
  <c r="M260" i="18"/>
  <c r="C68" i="23" s="1"/>
  <c r="AI259" i="18"/>
  <c r="AI260" i="18" s="1"/>
  <c r="AC259" i="18"/>
  <c r="AC260" i="18" s="1"/>
  <c r="E68" i="23" s="1"/>
  <c r="B259" i="18"/>
  <c r="B260" i="18" s="1"/>
  <c r="AJ24" i="18"/>
  <c r="AJ40" i="18"/>
  <c r="AL40" i="18" s="1"/>
  <c r="AJ43" i="18"/>
  <c r="AL43" i="18" s="1"/>
  <c r="AJ46" i="18"/>
  <c r="AL46" i="18" s="1"/>
  <c r="AJ49" i="18"/>
  <c r="AL49" i="18" s="1"/>
  <c r="AJ55" i="18"/>
  <c r="AL55" i="18" s="1"/>
  <c r="AJ58" i="18"/>
  <c r="AL58" i="18" s="1"/>
  <c r="AJ61" i="18"/>
  <c r="AL61" i="18" s="1"/>
  <c r="AL67" i="18"/>
  <c r="AJ75" i="18"/>
  <c r="AL75" i="18" s="1"/>
  <c r="AJ97" i="18"/>
  <c r="AL97" i="18" s="1"/>
  <c r="AH257" i="18"/>
  <c r="AG257" i="18"/>
  <c r="AI253" i="18"/>
  <c r="AI257" i="18" s="1"/>
  <c r="AC253" i="18"/>
  <c r="AD253" i="18" s="1"/>
  <c r="B253" i="18"/>
  <c r="AH251" i="18"/>
  <c r="AG251" i="18"/>
  <c r="AI247" i="18"/>
  <c r="AI251" i="18" s="1"/>
  <c r="AC247" i="18"/>
  <c r="AD247" i="18" s="1"/>
  <c r="B247" i="18"/>
  <c r="AH245" i="18"/>
  <c r="AG245" i="18"/>
  <c r="AK241" i="18"/>
  <c r="B241" i="18"/>
  <c r="AK240" i="18"/>
  <c r="B240" i="18"/>
  <c r="AK229" i="18"/>
  <c r="AI229" i="18"/>
  <c r="B229" i="18"/>
  <c r="AI228" i="18"/>
  <c r="AK227" i="18"/>
  <c r="AI227" i="18"/>
  <c r="B227" i="18"/>
  <c r="AK226" i="18"/>
  <c r="AI226" i="18"/>
  <c r="S226" i="18"/>
  <c r="AC226" i="18" s="1"/>
  <c r="AD226" i="18" s="1"/>
  <c r="B226" i="18"/>
  <c r="AK225" i="18"/>
  <c r="AI225" i="18"/>
  <c r="S225" i="18"/>
  <c r="AC225" i="18" s="1"/>
  <c r="AD225" i="18" s="1"/>
  <c r="B225" i="18"/>
  <c r="AJ224" i="18"/>
  <c r="AI224" i="18"/>
  <c r="S224" i="18"/>
  <c r="AC224" i="18" s="1"/>
  <c r="AD224" i="18" s="1"/>
  <c r="AK223" i="18"/>
  <c r="AI223" i="18"/>
  <c r="B223" i="18"/>
  <c r="AK222" i="18"/>
  <c r="AI222" i="18"/>
  <c r="S222" i="18"/>
  <c r="AC222" i="18" s="1"/>
  <c r="AD222" i="18" s="1"/>
  <c r="B222" i="18"/>
  <c r="AJ221" i="18"/>
  <c r="AM221" i="18" s="1"/>
  <c r="AI221" i="18"/>
  <c r="B221" i="18"/>
  <c r="AK220" i="18"/>
  <c r="AI220" i="18"/>
  <c r="S220" i="18"/>
  <c r="AC220" i="18" s="1"/>
  <c r="AD220" i="18" s="1"/>
  <c r="B220" i="18"/>
  <c r="AK219" i="18"/>
  <c r="AI219" i="18"/>
  <c r="S219" i="18"/>
  <c r="AC219" i="18" s="1"/>
  <c r="AD219" i="18" s="1"/>
  <c r="B219" i="18"/>
  <c r="AJ218" i="18"/>
  <c r="AM218" i="18" s="1"/>
  <c r="AI218" i="18"/>
  <c r="B218" i="18"/>
  <c r="AK217" i="18"/>
  <c r="AI217" i="18"/>
  <c r="S217" i="18"/>
  <c r="AC217" i="18" s="1"/>
  <c r="AD217" i="18" s="1"/>
  <c r="B217" i="18"/>
  <c r="AK216" i="18"/>
  <c r="AI216" i="18"/>
  <c r="S216" i="18"/>
  <c r="AC216" i="18" s="1"/>
  <c r="AD216" i="18" s="1"/>
  <c r="B216" i="18"/>
  <c r="AK215" i="18"/>
  <c r="AI215" i="18"/>
  <c r="S215" i="18"/>
  <c r="AC215" i="18" s="1"/>
  <c r="AD215" i="18" s="1"/>
  <c r="B215" i="18"/>
  <c r="AK214" i="18"/>
  <c r="AI214" i="18"/>
  <c r="S214" i="18"/>
  <c r="AC214" i="18" s="1"/>
  <c r="AD214" i="18" s="1"/>
  <c r="B214" i="18"/>
  <c r="AK213" i="18"/>
  <c r="AI213" i="18"/>
  <c r="S213" i="18"/>
  <c r="AC213" i="18" s="1"/>
  <c r="AD213" i="18" s="1"/>
  <c r="B213" i="18"/>
  <c r="AK212" i="18"/>
  <c r="AI212" i="18"/>
  <c r="S212" i="18"/>
  <c r="B212" i="18"/>
  <c r="AK211" i="18"/>
  <c r="AI211" i="18"/>
  <c r="B211" i="18"/>
  <c r="AK210" i="18"/>
  <c r="AI210" i="18"/>
  <c r="AC210" i="18"/>
  <c r="AD210" i="18" s="1"/>
  <c r="B210" i="18"/>
  <c r="AH208" i="18"/>
  <c r="AG208" i="18"/>
  <c r="AF208" i="18"/>
  <c r="AI206" i="18"/>
  <c r="AI208" i="18" s="1"/>
  <c r="AC206" i="18"/>
  <c r="B206" i="18"/>
  <c r="AB203" i="18"/>
  <c r="AA203" i="18"/>
  <c r="Z203" i="18"/>
  <c r="Y203" i="18"/>
  <c r="X203" i="18"/>
  <c r="W203" i="18"/>
  <c r="V203" i="18"/>
  <c r="U203" i="18"/>
  <c r="T203" i="18"/>
  <c r="S203" i="18"/>
  <c r="R203" i="18"/>
  <c r="Q203" i="18"/>
  <c r="AI202" i="18"/>
  <c r="AC202" i="18"/>
  <c r="AD202" i="18" s="1"/>
  <c r="B202" i="18"/>
  <c r="AI201" i="18"/>
  <c r="AC201" i="18"/>
  <c r="AD201" i="18" s="1"/>
  <c r="B201" i="18"/>
  <c r="AB194" i="18"/>
  <c r="AA194" i="18"/>
  <c r="Z194" i="18"/>
  <c r="Y194" i="18"/>
  <c r="W194" i="18"/>
  <c r="V194" i="18"/>
  <c r="R194" i="18"/>
  <c r="Q194" i="18"/>
  <c r="AI176" i="18"/>
  <c r="AK175" i="18"/>
  <c r="AI175" i="18"/>
  <c r="S175" i="18"/>
  <c r="AC175" i="18" s="1"/>
  <c r="AD175" i="18" s="1"/>
  <c r="B175" i="18"/>
  <c r="AK174" i="18"/>
  <c r="AI174" i="18"/>
  <c r="S174" i="18"/>
  <c r="AC174" i="18" s="1"/>
  <c r="AD174" i="18" s="1"/>
  <c r="B174" i="18"/>
  <c r="AK173" i="18"/>
  <c r="AI173" i="18"/>
  <c r="S173" i="18"/>
  <c r="AC173" i="18" s="1"/>
  <c r="AD173" i="18" s="1"/>
  <c r="B173" i="18"/>
  <c r="AK172" i="18"/>
  <c r="AI172" i="18"/>
  <c r="S172" i="18"/>
  <c r="AC172" i="18" s="1"/>
  <c r="AD172" i="18" s="1"/>
  <c r="B172" i="18"/>
  <c r="AK171" i="18"/>
  <c r="AI171" i="18"/>
  <c r="S171" i="18"/>
  <c r="AC171" i="18" s="1"/>
  <c r="AD171" i="18" s="1"/>
  <c r="B171" i="18"/>
  <c r="AK170" i="18"/>
  <c r="AI170" i="18"/>
  <c r="S170" i="18"/>
  <c r="AC170" i="18" s="1"/>
  <c r="AD170" i="18" s="1"/>
  <c r="B170" i="18"/>
  <c r="AK169" i="18"/>
  <c r="AI169" i="18"/>
  <c r="S169" i="18"/>
  <c r="AC169" i="18" s="1"/>
  <c r="AD169" i="18" s="1"/>
  <c r="B169" i="18"/>
  <c r="AK168" i="18"/>
  <c r="AI168" i="18"/>
  <c r="B168" i="18"/>
  <c r="AK167" i="18"/>
  <c r="AI167" i="18"/>
  <c r="B167" i="18"/>
  <c r="AK166" i="18"/>
  <c r="AI166" i="18"/>
  <c r="S166" i="18"/>
  <c r="AC166" i="18" s="1"/>
  <c r="AD166" i="18" s="1"/>
  <c r="B166" i="18"/>
  <c r="AK165" i="18"/>
  <c r="AI165" i="18"/>
  <c r="S165" i="18"/>
  <c r="AC165" i="18" s="1"/>
  <c r="AD165" i="18" s="1"/>
  <c r="B165" i="18"/>
  <c r="AK164" i="18"/>
  <c r="AI164" i="18"/>
  <c r="S164" i="18"/>
  <c r="AC164" i="18" s="1"/>
  <c r="AD164" i="18" s="1"/>
  <c r="B164" i="18"/>
  <c r="AK163" i="18"/>
  <c r="AI163" i="18"/>
  <c r="S163" i="18"/>
  <c r="AC163" i="18" s="1"/>
  <c r="AD163" i="18" s="1"/>
  <c r="B163" i="18"/>
  <c r="AK162" i="18"/>
  <c r="AI162" i="18"/>
  <c r="S162" i="18"/>
  <c r="AC162" i="18" s="1"/>
  <c r="AD162" i="18" s="1"/>
  <c r="B162" i="18"/>
  <c r="AK161" i="18"/>
  <c r="AI161" i="18"/>
  <c r="S161" i="18"/>
  <c r="AC161" i="18" s="1"/>
  <c r="AD161" i="18" s="1"/>
  <c r="B161" i="18"/>
  <c r="AK160" i="18"/>
  <c r="AI160" i="18"/>
  <c r="S160" i="18"/>
  <c r="AC160" i="18" s="1"/>
  <c r="AD160" i="18" s="1"/>
  <c r="B160" i="18"/>
  <c r="AK159" i="18"/>
  <c r="AI159" i="18"/>
  <c r="S159" i="18"/>
  <c r="AC159" i="18" s="1"/>
  <c r="AD159" i="18" s="1"/>
  <c r="B159" i="18"/>
  <c r="AK158" i="18"/>
  <c r="AI158" i="18"/>
  <c r="S158" i="18"/>
  <c r="AC158" i="18" s="1"/>
  <c r="AD158" i="18" s="1"/>
  <c r="B158" i="18"/>
  <c r="AK157" i="18"/>
  <c r="AI157" i="18"/>
  <c r="S157" i="18"/>
  <c r="AC157" i="18" s="1"/>
  <c r="AD157" i="18" s="1"/>
  <c r="B157" i="18"/>
  <c r="AK156" i="18"/>
  <c r="AI156" i="18"/>
  <c r="B156" i="18"/>
  <c r="AK155" i="18"/>
  <c r="AI155" i="18"/>
  <c r="AC155" i="18"/>
  <c r="AD155" i="18" s="1"/>
  <c r="B155" i="18"/>
  <c r="AK143" i="18"/>
  <c r="B143" i="18"/>
  <c r="AK142" i="18"/>
  <c r="AI142" i="18"/>
  <c r="B142" i="18"/>
  <c r="AK141" i="18"/>
  <c r="AI141" i="18"/>
  <c r="B141" i="18"/>
  <c r="AK140" i="18"/>
  <c r="AI140" i="18"/>
  <c r="S140" i="18"/>
  <c r="AC140" i="18" s="1"/>
  <c r="AD140" i="18" s="1"/>
  <c r="B140" i="18"/>
  <c r="AI139" i="18"/>
  <c r="S139" i="18"/>
  <c r="AC139" i="18" s="1"/>
  <c r="AD139" i="18" s="1"/>
  <c r="B139" i="18"/>
  <c r="AI138" i="18"/>
  <c r="B138" i="18"/>
  <c r="AK137" i="18"/>
  <c r="AI137" i="18"/>
  <c r="S137" i="18"/>
  <c r="AC137" i="18" s="1"/>
  <c r="AD137" i="18" s="1"/>
  <c r="B137" i="18"/>
  <c r="AK136" i="18"/>
  <c r="AI136" i="18"/>
  <c r="B136" i="18"/>
  <c r="AK135" i="18"/>
  <c r="AI135" i="18"/>
  <c r="S135" i="18"/>
  <c r="AC135" i="18" s="1"/>
  <c r="AD135" i="18" s="1"/>
  <c r="B135" i="18"/>
  <c r="AK134" i="18"/>
  <c r="AI134" i="18"/>
  <c r="S134" i="18"/>
  <c r="AC134" i="18" s="1"/>
  <c r="AD134" i="18" s="1"/>
  <c r="B134" i="18"/>
  <c r="AI133" i="18"/>
  <c r="B133" i="18"/>
  <c r="AK132" i="18"/>
  <c r="AI132" i="18"/>
  <c r="S132" i="18"/>
  <c r="AC132" i="18" s="1"/>
  <c r="AD132" i="18" s="1"/>
  <c r="B132" i="18"/>
  <c r="AK131" i="18"/>
  <c r="AI131" i="18"/>
  <c r="S131" i="18"/>
  <c r="AC131" i="18" s="1"/>
  <c r="AD131" i="18" s="1"/>
  <c r="B131" i="18"/>
  <c r="AK130" i="18"/>
  <c r="AI130" i="18"/>
  <c r="S130" i="18"/>
  <c r="AC130" i="18" s="1"/>
  <c r="AD130" i="18" s="1"/>
  <c r="B130" i="18"/>
  <c r="AI129" i="18"/>
  <c r="B129" i="18"/>
  <c r="AK128" i="18"/>
  <c r="AI128" i="18"/>
  <c r="S128" i="18"/>
  <c r="AC128" i="18" s="1"/>
  <c r="AD128" i="18" s="1"/>
  <c r="B128" i="18"/>
  <c r="AK126" i="18"/>
  <c r="AI126" i="18"/>
  <c r="S126" i="18"/>
  <c r="AC126" i="18" s="1"/>
  <c r="AD126" i="18" s="1"/>
  <c r="B126" i="18"/>
  <c r="AK125" i="18"/>
  <c r="AI125" i="18"/>
  <c r="B125" i="18"/>
  <c r="AK124" i="18"/>
  <c r="AI124" i="18"/>
  <c r="S124" i="18"/>
  <c r="AC124" i="18" s="1"/>
  <c r="AD124" i="18" s="1"/>
  <c r="B124" i="18"/>
  <c r="AK123" i="18"/>
  <c r="AI123" i="18"/>
  <c r="S123" i="18"/>
  <c r="AC123" i="18" s="1"/>
  <c r="AD123" i="18" s="1"/>
  <c r="B123" i="18"/>
  <c r="AK122" i="18"/>
  <c r="AI122" i="18"/>
  <c r="AK121" i="18"/>
  <c r="AI121" i="18"/>
  <c r="S121" i="18"/>
  <c r="AC121" i="18" s="1"/>
  <c r="AD121" i="18" s="1"/>
  <c r="B121" i="18"/>
  <c r="AK120" i="18"/>
  <c r="AI120" i="18"/>
  <c r="B120" i="18"/>
  <c r="AK119" i="18"/>
  <c r="AI119" i="18"/>
  <c r="S119" i="18"/>
  <c r="AC119" i="18" s="1"/>
  <c r="AD119" i="18" s="1"/>
  <c r="B119" i="18"/>
  <c r="AK118" i="18"/>
  <c r="AI118" i="18"/>
  <c r="S118" i="18"/>
  <c r="AC118" i="18" s="1"/>
  <c r="AD118" i="18" s="1"/>
  <c r="B118" i="18"/>
  <c r="AI117" i="18"/>
  <c r="B117" i="18"/>
  <c r="AK116" i="18"/>
  <c r="AI116" i="18"/>
  <c r="S116" i="18"/>
  <c r="AC116" i="18" s="1"/>
  <c r="AD116" i="18" s="1"/>
  <c r="B116" i="18"/>
  <c r="AH97" i="18"/>
  <c r="AG97" i="18"/>
  <c r="AB97" i="18"/>
  <c r="AA97" i="18"/>
  <c r="Z97" i="18"/>
  <c r="Y97" i="18"/>
  <c r="X97" i="18"/>
  <c r="W97" i="18"/>
  <c r="V97" i="18"/>
  <c r="U97" i="18"/>
  <c r="T97" i="18"/>
  <c r="S97" i="18"/>
  <c r="R97" i="18"/>
  <c r="Q97" i="18"/>
  <c r="AI96" i="18"/>
  <c r="AI97" i="18" s="1"/>
  <c r="AC96" i="18"/>
  <c r="AC97" i="18" s="1"/>
  <c r="AH89" i="18"/>
  <c r="AG89" i="18"/>
  <c r="D58" i="23"/>
  <c r="C58" i="23"/>
  <c r="AK86" i="18"/>
  <c r="AK89" i="18" s="1"/>
  <c r="AI86" i="18"/>
  <c r="AI89" i="18" s="1"/>
  <c r="AC86" i="18"/>
  <c r="AC89" i="18" s="1"/>
  <c r="E58" i="23" s="1"/>
  <c r="B86" i="18"/>
  <c r="B89" i="18" s="1"/>
  <c r="AH84" i="18"/>
  <c r="AG84" i="18"/>
  <c r="AB84" i="18"/>
  <c r="AA84" i="18"/>
  <c r="Z84" i="18"/>
  <c r="Y84" i="18"/>
  <c r="X84" i="18"/>
  <c r="W84" i="18"/>
  <c r="V84" i="18"/>
  <c r="U84" i="18"/>
  <c r="T84" i="18"/>
  <c r="R84" i="18"/>
  <c r="Q84" i="18"/>
  <c r="AK83" i="18"/>
  <c r="AI83" i="18"/>
  <c r="B83" i="18"/>
  <c r="AK82" i="18"/>
  <c r="AI82" i="18"/>
  <c r="B82" i="18"/>
  <c r="AK81" i="18"/>
  <c r="AI81" i="18"/>
  <c r="B81" i="18"/>
  <c r="AI80" i="18"/>
  <c r="B80" i="18"/>
  <c r="AK79" i="18"/>
  <c r="AI79" i="18"/>
  <c r="S79" i="18"/>
  <c r="AC79" i="18" s="1"/>
  <c r="AD79" i="18" s="1"/>
  <c r="B79" i="18"/>
  <c r="AI77" i="18"/>
  <c r="AC77" i="18"/>
  <c r="AD77" i="18" s="1"/>
  <c r="B77" i="18"/>
  <c r="AH75" i="18"/>
  <c r="AG75" i="18"/>
  <c r="AB75" i="18"/>
  <c r="AA75" i="18"/>
  <c r="Z75" i="18"/>
  <c r="Y75" i="18"/>
  <c r="X75" i="18"/>
  <c r="W75" i="18"/>
  <c r="V75" i="18"/>
  <c r="U75" i="18"/>
  <c r="T75" i="18"/>
  <c r="S75" i="18"/>
  <c r="R75" i="18"/>
  <c r="Q75" i="18"/>
  <c r="AK74" i="18"/>
  <c r="AI74" i="18"/>
  <c r="B74" i="18"/>
  <c r="AK73" i="18"/>
  <c r="AI73" i="18"/>
  <c r="B73" i="18"/>
  <c r="AK72" i="18"/>
  <c r="AI72" i="18"/>
  <c r="B72" i="18"/>
  <c r="AK71" i="18"/>
  <c r="AI71" i="18"/>
  <c r="B71" i="18"/>
  <c r="AK69" i="18"/>
  <c r="AI69" i="18"/>
  <c r="AC69" i="18"/>
  <c r="AD69" i="18" s="1"/>
  <c r="B69" i="18"/>
  <c r="AB67" i="18"/>
  <c r="AA67" i="18"/>
  <c r="Z67" i="18"/>
  <c r="Y67" i="18"/>
  <c r="X67" i="18"/>
  <c r="W67" i="18"/>
  <c r="V67" i="18"/>
  <c r="U67" i="18"/>
  <c r="T67" i="18"/>
  <c r="S67" i="18"/>
  <c r="R67" i="18"/>
  <c r="Q67" i="18"/>
  <c r="AK66" i="18"/>
  <c r="AI66" i="18"/>
  <c r="AC66" i="18"/>
  <c r="AD66" i="18" s="1"/>
  <c r="B66" i="18"/>
  <c r="AK65" i="18"/>
  <c r="AI65" i="18"/>
  <c r="AC65" i="18"/>
  <c r="AD65" i="18" s="1"/>
  <c r="B65" i="18"/>
  <c r="AK64" i="18"/>
  <c r="AI64" i="18"/>
  <c r="AC64" i="18"/>
  <c r="AD64" i="18" s="1"/>
  <c r="B64" i="18"/>
  <c r="AK63" i="18"/>
  <c r="AI63" i="18"/>
  <c r="AC63" i="18"/>
  <c r="AD63" i="18" s="1"/>
  <c r="B63" i="18"/>
  <c r="AH61" i="18"/>
  <c r="AG61" i="18"/>
  <c r="AB61" i="18"/>
  <c r="AA61" i="18"/>
  <c r="Z61" i="18"/>
  <c r="Y61" i="18"/>
  <c r="X61" i="18"/>
  <c r="W61" i="18"/>
  <c r="V61" i="18"/>
  <c r="U61" i="18"/>
  <c r="T61" i="18"/>
  <c r="S61" i="18"/>
  <c r="R61" i="18"/>
  <c r="Q61" i="18"/>
  <c r="AK60" i="18"/>
  <c r="AK61" i="18" s="1"/>
  <c r="AI60" i="18"/>
  <c r="AI61" i="18" s="1"/>
  <c r="AC60" i="18"/>
  <c r="AC61" i="18" s="1"/>
  <c r="E54" i="23" s="1"/>
  <c r="B60" i="18"/>
  <c r="B61" i="18" s="1"/>
  <c r="AH58" i="18"/>
  <c r="AG58" i="18"/>
  <c r="AB58" i="18"/>
  <c r="AA58" i="18"/>
  <c r="Z58" i="18"/>
  <c r="Y58" i="18"/>
  <c r="X58" i="18"/>
  <c r="W58" i="18"/>
  <c r="V58" i="18"/>
  <c r="U58" i="18"/>
  <c r="T58" i="18"/>
  <c r="S58" i="18"/>
  <c r="R58" i="18"/>
  <c r="Q58" i="18"/>
  <c r="O58" i="18"/>
  <c r="M58" i="18"/>
  <c r="AK57" i="18"/>
  <c r="AK58" i="18" s="1"/>
  <c r="AI57" i="18"/>
  <c r="AI58" i="18" s="1"/>
  <c r="AC57" i="18"/>
  <c r="AC58" i="18" s="1"/>
  <c r="B57" i="18"/>
  <c r="B58" i="18" s="1"/>
  <c r="AH55" i="18"/>
  <c r="AG55" i="18"/>
  <c r="AB55" i="18"/>
  <c r="AA55" i="18"/>
  <c r="Z55" i="18"/>
  <c r="Y55" i="18"/>
  <c r="X55" i="18"/>
  <c r="W55" i="18"/>
  <c r="V55" i="18"/>
  <c r="U55" i="18"/>
  <c r="T55" i="18"/>
  <c r="S55" i="18"/>
  <c r="R55" i="18"/>
  <c r="Q55" i="18"/>
  <c r="O55" i="18"/>
  <c r="E359" i="18" s="1"/>
  <c r="M55" i="18"/>
  <c r="D359" i="18" s="1"/>
  <c r="AK54" i="18"/>
  <c r="AK55" i="18" s="1"/>
  <c r="AI54" i="18"/>
  <c r="AI55" i="18" s="1"/>
  <c r="AC54" i="18"/>
  <c r="AC55" i="18" s="1"/>
  <c r="F359" i="18" s="1"/>
  <c r="B54" i="18"/>
  <c r="B55" i="18" s="1"/>
  <c r="AH49" i="18"/>
  <c r="AG49" i="18"/>
  <c r="AB49" i="18"/>
  <c r="AA49" i="18"/>
  <c r="Z49" i="18"/>
  <c r="Y49" i="18"/>
  <c r="X49" i="18"/>
  <c r="W49" i="18"/>
  <c r="V49" i="18"/>
  <c r="U49" i="18"/>
  <c r="T49" i="18"/>
  <c r="S49" i="18"/>
  <c r="R49" i="18"/>
  <c r="Q49" i="18"/>
  <c r="O49" i="18"/>
  <c r="M49" i="18"/>
  <c r="AK48" i="18"/>
  <c r="AK49" i="18" s="1"/>
  <c r="AI48" i="18"/>
  <c r="AI49" i="18" s="1"/>
  <c r="AC48" i="18"/>
  <c r="AC49" i="18" s="1"/>
  <c r="B48" i="18"/>
  <c r="B49" i="18" s="1"/>
  <c r="AH46" i="18"/>
  <c r="AG46" i="18"/>
  <c r="AB46" i="18"/>
  <c r="AA46" i="18"/>
  <c r="Z46" i="18"/>
  <c r="Y46" i="18"/>
  <c r="X46" i="18"/>
  <c r="W46" i="18"/>
  <c r="V46" i="18"/>
  <c r="U46" i="18"/>
  <c r="T46" i="18"/>
  <c r="S46" i="18"/>
  <c r="R46" i="18"/>
  <c r="Q46" i="18"/>
  <c r="O46" i="18"/>
  <c r="E356" i="18" s="1"/>
  <c r="M46" i="18"/>
  <c r="D356" i="18" s="1"/>
  <c r="AK45" i="18"/>
  <c r="AK46" i="18" s="1"/>
  <c r="AI45" i="18"/>
  <c r="AI46" i="18" s="1"/>
  <c r="AC45" i="18"/>
  <c r="AC46" i="18" s="1"/>
  <c r="F356" i="18" s="1"/>
  <c r="B45" i="18"/>
  <c r="B46" i="18" s="1"/>
  <c r="AH43" i="18"/>
  <c r="AG43" i="18"/>
  <c r="AB43" i="18"/>
  <c r="AA43" i="18"/>
  <c r="Z43" i="18"/>
  <c r="Y43" i="18"/>
  <c r="X43" i="18"/>
  <c r="W43" i="18"/>
  <c r="V43" i="18"/>
  <c r="U43" i="18"/>
  <c r="T43" i="18"/>
  <c r="S43" i="18"/>
  <c r="R43" i="18"/>
  <c r="Q43" i="18"/>
  <c r="O43" i="18"/>
  <c r="E355" i="18" s="1"/>
  <c r="M43" i="18"/>
  <c r="D355" i="18" s="1"/>
  <c r="AK42" i="18"/>
  <c r="AK43" i="18" s="1"/>
  <c r="AI42" i="18"/>
  <c r="AI43" i="18" s="1"/>
  <c r="AC42" i="18"/>
  <c r="AD42" i="18" s="1"/>
  <c r="AD43" i="18" s="1"/>
  <c r="B42" i="18"/>
  <c r="B43" i="18" s="1"/>
  <c r="AH40" i="18"/>
  <c r="AG40" i="18"/>
  <c r="AB40" i="18"/>
  <c r="AA40" i="18"/>
  <c r="Z40" i="18"/>
  <c r="Y40" i="18"/>
  <c r="X40" i="18"/>
  <c r="W40" i="18"/>
  <c r="V40" i="18"/>
  <c r="U40" i="18"/>
  <c r="T40" i="18"/>
  <c r="S40" i="18"/>
  <c r="R40" i="18"/>
  <c r="Q40" i="18"/>
  <c r="O40" i="18"/>
  <c r="E353" i="18" s="1"/>
  <c r="M40" i="18"/>
  <c r="D353" i="18" s="1"/>
  <c r="AK39" i="18"/>
  <c r="AK40" i="18" s="1"/>
  <c r="AI39" i="18"/>
  <c r="AI40" i="18" s="1"/>
  <c r="AC39" i="18"/>
  <c r="AC40" i="18" s="1"/>
  <c r="F353" i="18" s="1"/>
  <c r="B39" i="18"/>
  <c r="B40" i="18" s="1"/>
  <c r="AH37" i="18"/>
  <c r="AG37" i="18"/>
  <c r="AB37" i="18"/>
  <c r="AA37" i="18"/>
  <c r="Z37" i="18"/>
  <c r="Y37" i="18"/>
  <c r="X37" i="18"/>
  <c r="W37" i="18"/>
  <c r="V37" i="18"/>
  <c r="U37" i="18"/>
  <c r="T37" i="18"/>
  <c r="R37" i="18"/>
  <c r="Q37" i="18"/>
  <c r="AI36" i="18"/>
  <c r="AI37" i="18" s="1"/>
  <c r="B36" i="18"/>
  <c r="AK35" i="18"/>
  <c r="AI35" i="18"/>
  <c r="B35" i="18"/>
  <c r="AK34" i="18"/>
  <c r="AI34" i="18"/>
  <c r="B34" i="18"/>
  <c r="AK33" i="18"/>
  <c r="AI33" i="18"/>
  <c r="S33" i="18"/>
  <c r="AC33" i="18" s="1"/>
  <c r="AD33" i="18" s="1"/>
  <c r="B33" i="18"/>
  <c r="AK32" i="18"/>
  <c r="AI32" i="18"/>
  <c r="B32" i="18"/>
  <c r="AI31" i="18"/>
  <c r="B31" i="18"/>
  <c r="AB24" i="18"/>
  <c r="AA24" i="18"/>
  <c r="Z24" i="18"/>
  <c r="Y24" i="18"/>
  <c r="X24" i="18"/>
  <c r="W24" i="18"/>
  <c r="V24" i="18"/>
  <c r="U24" i="18"/>
  <c r="T24" i="18"/>
  <c r="S24" i="18"/>
  <c r="R24" i="18"/>
  <c r="Q24" i="18"/>
  <c r="AK23" i="18"/>
  <c r="AC23" i="18"/>
  <c r="AD23" i="18" s="1"/>
  <c r="B23" i="18"/>
  <c r="AK22" i="18"/>
  <c r="AI22" i="18"/>
  <c r="AC22" i="18"/>
  <c r="AD22" i="18" s="1"/>
  <c r="B22" i="18"/>
  <c r="AK21" i="18"/>
  <c r="AI21" i="18"/>
  <c r="AC21" i="18"/>
  <c r="AD21" i="18" s="1"/>
  <c r="B21" i="18"/>
  <c r="AK20" i="18"/>
  <c r="AI20" i="18"/>
  <c r="AC20" i="18"/>
  <c r="AD20" i="18" s="1"/>
  <c r="B20" i="18"/>
  <c r="AK19" i="18"/>
  <c r="AI19" i="18"/>
  <c r="AC19" i="18"/>
  <c r="AD19" i="18" s="1"/>
  <c r="B19" i="18"/>
  <c r="AC130" i="22"/>
  <c r="AK120" i="22"/>
  <c r="B120" i="22"/>
  <c r="AI119" i="22"/>
  <c r="B119" i="22"/>
  <c r="AK118" i="22"/>
  <c r="AI118" i="22"/>
  <c r="B118" i="22"/>
  <c r="AK117" i="22"/>
  <c r="AI117" i="22"/>
  <c r="B117" i="22"/>
  <c r="C40" i="23"/>
  <c r="AK104" i="22"/>
  <c r="AI104" i="22"/>
  <c r="AK103" i="22"/>
  <c r="AI103" i="22"/>
  <c r="AK102" i="22"/>
  <c r="AI102" i="22"/>
  <c r="AK101" i="22"/>
  <c r="AI101" i="22"/>
  <c r="AK100" i="22"/>
  <c r="AI100" i="22"/>
  <c r="AK99" i="22"/>
  <c r="AI99" i="22"/>
  <c r="AK98" i="22"/>
  <c r="AI98" i="22"/>
  <c r="AK96" i="22"/>
  <c r="AI96" i="22"/>
  <c r="AJ95" i="22"/>
  <c r="AI95" i="22"/>
  <c r="AI94" i="22"/>
  <c r="AJ93" i="22"/>
  <c r="AI93" i="22"/>
  <c r="AI92" i="22"/>
  <c r="AJ91" i="22"/>
  <c r="AM91" i="22" s="1"/>
  <c r="AI91" i="22"/>
  <c r="AK90" i="22"/>
  <c r="AI90" i="22"/>
  <c r="AC90" i="22"/>
  <c r="AC115" i="22" s="1"/>
  <c r="AB81" i="22"/>
  <c r="AB125" i="22" s="1"/>
  <c r="AA81" i="22"/>
  <c r="AA125" i="22" s="1"/>
  <c r="Z81" i="22"/>
  <c r="Z125" i="22" s="1"/>
  <c r="Y81" i="22"/>
  <c r="X81" i="22"/>
  <c r="X125" i="22" s="1"/>
  <c r="U81" i="22"/>
  <c r="U125" i="22" s="1"/>
  <c r="R81" i="22"/>
  <c r="R125" i="22" s="1"/>
  <c r="Q81" i="22"/>
  <c r="AI75" i="22"/>
  <c r="AI74" i="22"/>
  <c r="AI73" i="22"/>
  <c r="AJ72" i="22"/>
  <c r="AI72" i="22"/>
  <c r="AI71" i="22"/>
  <c r="AH71" i="22"/>
  <c r="AI70" i="22"/>
  <c r="AH70" i="22"/>
  <c r="S70" i="22"/>
  <c r="S81" i="22" s="1"/>
  <c r="B70" i="22"/>
  <c r="AI69" i="22"/>
  <c r="B69" i="22"/>
  <c r="AI68" i="22"/>
  <c r="AI67" i="22"/>
  <c r="AH67" i="22"/>
  <c r="AI66" i="22"/>
  <c r="AK64" i="22"/>
  <c r="AI64" i="22"/>
  <c r="AH64" i="22"/>
  <c r="AK61" i="22"/>
  <c r="AI61" i="22"/>
  <c r="B61" i="22"/>
  <c r="AK60" i="22"/>
  <c r="AI60" i="22"/>
  <c r="AH60" i="22"/>
  <c r="B60" i="22"/>
  <c r="AK59" i="22"/>
  <c r="AI59" i="22"/>
  <c r="AH59" i="22"/>
  <c r="B59" i="22"/>
  <c r="AK58" i="22"/>
  <c r="AI58" i="22"/>
  <c r="AH58" i="22"/>
  <c r="B58" i="22"/>
  <c r="AK57" i="22"/>
  <c r="AI57" i="22"/>
  <c r="B57" i="22"/>
  <c r="AK56" i="22"/>
  <c r="AI56" i="22"/>
  <c r="AH56" i="22"/>
  <c r="B56" i="22"/>
  <c r="AK55" i="22"/>
  <c r="AH55" i="22"/>
  <c r="B55" i="22"/>
  <c r="AK50" i="22"/>
  <c r="AI50" i="22"/>
  <c r="B50" i="22"/>
  <c r="AK49" i="22"/>
  <c r="AI49" i="22"/>
  <c r="B49" i="22"/>
  <c r="AJ48" i="22"/>
  <c r="AI48" i="22"/>
  <c r="B48" i="22"/>
  <c r="AJ47" i="22"/>
  <c r="AI47" i="22"/>
  <c r="B47" i="22"/>
  <c r="AK46" i="22"/>
  <c r="AI46" i="22"/>
  <c r="B46" i="22"/>
  <c r="AK45" i="22"/>
  <c r="AI45" i="22"/>
  <c r="B45" i="22"/>
  <c r="AI44" i="22"/>
  <c r="AH44" i="22"/>
  <c r="AI43" i="22"/>
  <c r="B43" i="22"/>
  <c r="AK42" i="22"/>
  <c r="AI42" i="22"/>
  <c r="B42" i="22"/>
  <c r="AK40" i="22"/>
  <c r="AI40" i="22"/>
  <c r="B40" i="22"/>
  <c r="AK39" i="22"/>
  <c r="AI39" i="22"/>
  <c r="AH39" i="22"/>
  <c r="AK36" i="22"/>
  <c r="AI36" i="22"/>
  <c r="B36" i="22"/>
  <c r="AK35" i="22"/>
  <c r="AI35" i="22"/>
  <c r="B35" i="22"/>
  <c r="AI34" i="22"/>
  <c r="B34" i="22"/>
  <c r="AK33" i="22"/>
  <c r="AI33" i="22"/>
  <c r="AK30" i="22"/>
  <c r="AI30" i="22"/>
  <c r="AK29" i="22"/>
  <c r="AK27" i="22"/>
  <c r="AI27" i="22"/>
  <c r="AJ26" i="22"/>
  <c r="AI26" i="22"/>
  <c r="B26" i="22"/>
  <c r="AI25" i="22"/>
  <c r="B25" i="22"/>
  <c r="AI24" i="22"/>
  <c r="AK21" i="22"/>
  <c r="AI21" i="22"/>
  <c r="B21" i="22"/>
  <c r="AK20" i="22"/>
  <c r="AI20" i="22"/>
  <c r="B20" i="22"/>
  <c r="AK19" i="22"/>
  <c r="AI19" i="22"/>
  <c r="AH19" i="22"/>
  <c r="B19" i="22"/>
  <c r="AK18" i="22"/>
  <c r="AI18" i="22"/>
  <c r="B18" i="22"/>
  <c r="AC194" i="19"/>
  <c r="AB187" i="19"/>
  <c r="AA187" i="19"/>
  <c r="Z187" i="19"/>
  <c r="S187" i="19"/>
  <c r="R187" i="19"/>
  <c r="Q187" i="19"/>
  <c r="D28" i="23"/>
  <c r="AK186" i="19"/>
  <c r="AI186" i="19"/>
  <c r="B186" i="19"/>
  <c r="AK185" i="19"/>
  <c r="AI185" i="19"/>
  <c r="B185" i="19"/>
  <c r="AK184" i="19"/>
  <c r="AI184" i="19"/>
  <c r="B184" i="19"/>
  <c r="AK183" i="19"/>
  <c r="AI183" i="19"/>
  <c r="B183" i="19"/>
  <c r="AK182" i="19"/>
  <c r="AI182" i="19"/>
  <c r="B182" i="19"/>
  <c r="AJ181" i="19"/>
  <c r="AI181" i="19"/>
  <c r="N181" i="19"/>
  <c r="V187" i="19"/>
  <c r="B181" i="19"/>
  <c r="AK180" i="19"/>
  <c r="AI180" i="19"/>
  <c r="B180" i="19"/>
  <c r="B179" i="19"/>
  <c r="B28" i="23" s="1"/>
  <c r="AJ178" i="19"/>
  <c r="AL178" i="19" s="1"/>
  <c r="AE178" i="19"/>
  <c r="AB178" i="19"/>
  <c r="AA178" i="19"/>
  <c r="Z178" i="19"/>
  <c r="Y178" i="19"/>
  <c r="X178" i="19"/>
  <c r="W178" i="19"/>
  <c r="V178" i="19"/>
  <c r="U178" i="19"/>
  <c r="T178" i="19"/>
  <c r="S178" i="19"/>
  <c r="R178" i="19"/>
  <c r="Q178" i="19"/>
  <c r="O178" i="19"/>
  <c r="E207" i="19" s="1"/>
  <c r="AK177" i="19"/>
  <c r="AK178" i="19" s="1"/>
  <c r="AI177" i="19"/>
  <c r="AC177" i="19"/>
  <c r="AD177" i="19" s="1"/>
  <c r="AD178" i="19" s="1"/>
  <c r="B177" i="19"/>
  <c r="B178" i="19" s="1"/>
  <c r="AC176" i="19"/>
  <c r="AD176" i="19" s="1"/>
  <c r="AE175" i="19"/>
  <c r="AK169" i="19"/>
  <c r="AI169" i="19"/>
  <c r="B169" i="19"/>
  <c r="AK168" i="19"/>
  <c r="AI168" i="19"/>
  <c r="B168" i="19"/>
  <c r="AK167" i="19"/>
  <c r="AI167" i="19"/>
  <c r="B167" i="19"/>
  <c r="AK166" i="19"/>
  <c r="AI166" i="19"/>
  <c r="B166" i="19"/>
  <c r="AK164" i="19"/>
  <c r="AI164" i="19"/>
  <c r="B164" i="19"/>
  <c r="AK162" i="19"/>
  <c r="AI162" i="19"/>
  <c r="B162" i="19"/>
  <c r="AK161" i="19"/>
  <c r="AI161" i="19"/>
  <c r="N161" i="19"/>
  <c r="B161" i="19"/>
  <c r="AK160" i="19"/>
  <c r="AI160" i="19"/>
  <c r="B160" i="19"/>
  <c r="AK159" i="19"/>
  <c r="AI159" i="19"/>
  <c r="B159" i="19"/>
  <c r="AK158" i="19"/>
  <c r="AI158" i="19"/>
  <c r="B158" i="19"/>
  <c r="AK157" i="19"/>
  <c r="AI157" i="19"/>
  <c r="B157" i="19"/>
  <c r="AI156" i="19"/>
  <c r="B156" i="19"/>
  <c r="AK155" i="19"/>
  <c r="AI155" i="19"/>
  <c r="B155" i="19"/>
  <c r="AK154" i="19"/>
  <c r="AI154" i="19"/>
  <c r="B154" i="19"/>
  <c r="AK153" i="19"/>
  <c r="AI153" i="19"/>
  <c r="B153" i="19"/>
  <c r="AK152" i="19"/>
  <c r="AI152" i="19"/>
  <c r="B152" i="19"/>
  <c r="AJ151" i="19"/>
  <c r="AI151" i="19"/>
  <c r="B151" i="19"/>
  <c r="AJ150" i="19"/>
  <c r="AI150" i="19"/>
  <c r="B150" i="19"/>
  <c r="AK149" i="19"/>
  <c r="AI149" i="19"/>
  <c r="N149" i="19"/>
  <c r="B149" i="19"/>
  <c r="AK148" i="19"/>
  <c r="AI148" i="19"/>
  <c r="B148" i="19"/>
  <c r="AK147" i="19"/>
  <c r="AI147" i="19"/>
  <c r="B147" i="19"/>
  <c r="AK146" i="19"/>
  <c r="AI146" i="19"/>
  <c r="B146" i="19"/>
  <c r="AK145" i="19"/>
  <c r="AI145" i="19"/>
  <c r="B145" i="19"/>
  <c r="AK144" i="19"/>
  <c r="AI144" i="19"/>
  <c r="B144" i="19"/>
  <c r="AK143" i="19"/>
  <c r="AI143" i="19"/>
  <c r="B143" i="19"/>
  <c r="AK142" i="19"/>
  <c r="AI142" i="19"/>
  <c r="B142" i="19"/>
  <c r="AJ141" i="19"/>
  <c r="AM141" i="19" s="1"/>
  <c r="AI141" i="19"/>
  <c r="B141" i="19"/>
  <c r="AK140" i="19"/>
  <c r="AI140" i="19"/>
  <c r="B140" i="19"/>
  <c r="AK139" i="19"/>
  <c r="AI139" i="19"/>
  <c r="N139" i="19"/>
  <c r="B139" i="19"/>
  <c r="AK138" i="19"/>
  <c r="AI138" i="19"/>
  <c r="B138" i="19"/>
  <c r="AJ137" i="19"/>
  <c r="AM137" i="19" s="1"/>
  <c r="AI137" i="19"/>
  <c r="B137" i="19"/>
  <c r="AK136" i="19"/>
  <c r="AI136" i="19"/>
  <c r="B136" i="19"/>
  <c r="AJ135" i="19"/>
  <c r="AI135" i="19"/>
  <c r="B135" i="19"/>
  <c r="AK134" i="19"/>
  <c r="AI134" i="19"/>
  <c r="B134" i="19"/>
  <c r="AK133" i="19"/>
  <c r="AI133" i="19"/>
  <c r="B133" i="19"/>
  <c r="AK132" i="19"/>
  <c r="AI132" i="19"/>
  <c r="B132" i="19"/>
  <c r="AK131" i="19"/>
  <c r="AI131" i="19"/>
  <c r="B131" i="19"/>
  <c r="AJ130" i="19"/>
  <c r="AI130" i="19"/>
  <c r="B130" i="19"/>
  <c r="AK129" i="19"/>
  <c r="AI129" i="19"/>
  <c r="B129" i="19"/>
  <c r="AK128" i="19"/>
  <c r="AI128" i="19"/>
  <c r="B128" i="19"/>
  <c r="AJ127" i="19"/>
  <c r="AI127" i="19"/>
  <c r="B127" i="19"/>
  <c r="AJ126" i="19"/>
  <c r="AI126" i="19"/>
  <c r="B126" i="19"/>
  <c r="AK125" i="19"/>
  <c r="AI125" i="19"/>
  <c r="B125" i="19"/>
  <c r="AK124" i="19"/>
  <c r="AI124" i="19"/>
  <c r="B124" i="19"/>
  <c r="AK123" i="19"/>
  <c r="AI123" i="19"/>
  <c r="B123" i="19"/>
  <c r="AK122" i="19"/>
  <c r="AI122" i="19"/>
  <c r="B122" i="19"/>
  <c r="AK121" i="19"/>
  <c r="AI121" i="19"/>
  <c r="B121" i="19"/>
  <c r="AK120" i="19"/>
  <c r="AI120" i="19"/>
  <c r="S120" i="19"/>
  <c r="S175" i="19" s="1"/>
  <c r="AK118" i="19"/>
  <c r="AI118" i="19"/>
  <c r="B118" i="19"/>
  <c r="AK117" i="19"/>
  <c r="AI117" i="19"/>
  <c r="B117" i="19"/>
  <c r="AK116" i="19"/>
  <c r="AI116" i="19"/>
  <c r="B116" i="19"/>
  <c r="AK115" i="19"/>
  <c r="AI115" i="19"/>
  <c r="B115" i="19"/>
  <c r="AK114" i="19"/>
  <c r="AI114" i="19"/>
  <c r="B114" i="19"/>
  <c r="AJ113" i="19"/>
  <c r="AI113" i="19"/>
  <c r="B113" i="19"/>
  <c r="AK112" i="19"/>
  <c r="AI112" i="19"/>
  <c r="B112" i="19"/>
  <c r="AK111" i="19"/>
  <c r="AI111" i="19"/>
  <c r="B111" i="19"/>
  <c r="AK110" i="19"/>
  <c r="AI110" i="19"/>
  <c r="B110" i="19"/>
  <c r="AJ109" i="19"/>
  <c r="AM109" i="19" s="1"/>
  <c r="AI109" i="19"/>
  <c r="B109" i="19"/>
  <c r="AJ108" i="19"/>
  <c r="AK108" i="19" s="1"/>
  <c r="AI108" i="19"/>
  <c r="B108" i="19"/>
  <c r="AK107" i="19"/>
  <c r="AI107" i="19"/>
  <c r="B107" i="19"/>
  <c r="AC106" i="19"/>
  <c r="AD106" i="19" s="1"/>
  <c r="B106" i="19"/>
  <c r="B105" i="19" s="1"/>
  <c r="AB104" i="19"/>
  <c r="AA104" i="19"/>
  <c r="Z104" i="19"/>
  <c r="Y104" i="19"/>
  <c r="X104" i="19"/>
  <c r="W104" i="19"/>
  <c r="V104" i="19"/>
  <c r="S104" i="19"/>
  <c r="R104" i="19"/>
  <c r="Q104" i="19"/>
  <c r="B103" i="19"/>
  <c r="AK99" i="19"/>
  <c r="AI99" i="19"/>
  <c r="B99" i="19"/>
  <c r="AK98" i="19"/>
  <c r="AI98" i="19"/>
  <c r="B98" i="19"/>
  <c r="AK97" i="19"/>
  <c r="AI97" i="19"/>
  <c r="B97" i="19"/>
  <c r="AK96" i="19"/>
  <c r="AI96" i="19"/>
  <c r="B96" i="19"/>
  <c r="AK95" i="19"/>
  <c r="AI95" i="19"/>
  <c r="B95" i="19"/>
  <c r="AK94" i="19"/>
  <c r="AI94" i="19"/>
  <c r="B94" i="19"/>
  <c r="AK93" i="19"/>
  <c r="AI93" i="19"/>
  <c r="B93" i="19"/>
  <c r="AK92" i="19"/>
  <c r="AI92" i="19"/>
  <c r="B92" i="19"/>
  <c r="AK91" i="19"/>
  <c r="AI91" i="19"/>
  <c r="B91" i="19"/>
  <c r="AK90" i="19"/>
  <c r="AI90" i="19"/>
  <c r="B90" i="19"/>
  <c r="AJ89" i="19"/>
  <c r="AI89" i="19"/>
  <c r="B89" i="19"/>
  <c r="AI88" i="19"/>
  <c r="B88" i="19"/>
  <c r="AK87" i="19"/>
  <c r="AI87" i="19"/>
  <c r="B87" i="19"/>
  <c r="AK86" i="19"/>
  <c r="AI86" i="19"/>
  <c r="B86" i="19"/>
  <c r="AK85" i="19"/>
  <c r="AI85" i="19"/>
  <c r="B85" i="19"/>
  <c r="AK84" i="19"/>
  <c r="AI84" i="19"/>
  <c r="B84" i="19"/>
  <c r="B83" i="19"/>
  <c r="C204" i="19" s="1"/>
  <c r="AB82" i="19"/>
  <c r="AA82" i="19"/>
  <c r="Z82" i="19"/>
  <c r="Y82" i="19"/>
  <c r="X82" i="19"/>
  <c r="W82" i="19"/>
  <c r="V82" i="19"/>
  <c r="U82" i="19"/>
  <c r="S82" i="19"/>
  <c r="R82" i="19"/>
  <c r="Q82" i="19"/>
  <c r="D29" i="23"/>
  <c r="AI81" i="19"/>
  <c r="B81" i="19"/>
  <c r="AK80" i="19"/>
  <c r="AI80" i="19"/>
  <c r="B80" i="19"/>
  <c r="AK79" i="19"/>
  <c r="AI79" i="19"/>
  <c r="B79" i="19"/>
  <c r="AK78" i="19"/>
  <c r="AI78" i="19"/>
  <c r="B78" i="19"/>
  <c r="AK77" i="19"/>
  <c r="AI77" i="19"/>
  <c r="B77" i="19"/>
  <c r="AK76" i="19"/>
  <c r="AI76" i="19"/>
  <c r="B76" i="19"/>
  <c r="AM75" i="19"/>
  <c r="AI75" i="19"/>
  <c r="B75" i="19"/>
  <c r="AB73" i="19"/>
  <c r="AA73" i="19"/>
  <c r="Z73" i="19"/>
  <c r="Y73" i="19"/>
  <c r="X73" i="19"/>
  <c r="W73" i="19"/>
  <c r="V73" i="19"/>
  <c r="U73" i="19"/>
  <c r="T73" i="19"/>
  <c r="S73" i="19"/>
  <c r="R73" i="19"/>
  <c r="Q73" i="19"/>
  <c r="E205" i="19"/>
  <c r="AK72" i="19"/>
  <c r="AI72" i="19"/>
  <c r="B72" i="19"/>
  <c r="AK71" i="19"/>
  <c r="AI71" i="19"/>
  <c r="B71" i="19"/>
  <c r="AI70" i="19"/>
  <c r="B70" i="19"/>
  <c r="AK69" i="19"/>
  <c r="AI69" i="19"/>
  <c r="B69" i="19"/>
  <c r="AK68" i="19"/>
  <c r="AI68" i="19"/>
  <c r="B68" i="19"/>
  <c r="AK67" i="19"/>
  <c r="AI67" i="19"/>
  <c r="AC67" i="19"/>
  <c r="AD67" i="19" s="1"/>
  <c r="B67" i="19"/>
  <c r="AB65" i="19"/>
  <c r="AA65" i="19"/>
  <c r="Z65" i="19"/>
  <c r="X65" i="19"/>
  <c r="W65" i="19"/>
  <c r="V65" i="19"/>
  <c r="U65" i="19"/>
  <c r="S65" i="19"/>
  <c r="R65" i="19"/>
  <c r="Q65" i="19"/>
  <c r="AI64" i="19"/>
  <c r="AK55" i="19"/>
  <c r="AI55" i="19"/>
  <c r="AJ54" i="19"/>
  <c r="AM54" i="19" s="1"/>
  <c r="AI54" i="19"/>
  <c r="AK53" i="19"/>
  <c r="AI53" i="19"/>
  <c r="AK51" i="19"/>
  <c r="AI51" i="19"/>
  <c r="AK50" i="19"/>
  <c r="AI50" i="19"/>
  <c r="AJ49" i="19"/>
  <c r="AK49" i="19" s="1"/>
  <c r="AI49" i="19"/>
  <c r="AK48" i="19"/>
  <c r="AI48" i="19"/>
  <c r="AK47" i="19"/>
  <c r="AI47" i="19"/>
  <c r="AK46" i="19"/>
  <c r="AI46" i="19"/>
  <c r="AC46" i="19"/>
  <c r="AD46" i="19" s="1"/>
  <c r="AC45" i="19"/>
  <c r="AD45" i="19" s="1"/>
  <c r="B45" i="19"/>
  <c r="C203" i="19" s="1"/>
  <c r="AL43" i="19"/>
  <c r="E208" i="19"/>
  <c r="D208" i="19"/>
  <c r="AK40" i="19"/>
  <c r="AK43" i="19" s="1"/>
  <c r="AI40" i="19"/>
  <c r="AC40" i="19"/>
  <c r="B43" i="19"/>
  <c r="AC39" i="19"/>
  <c r="AD39" i="19" s="1"/>
  <c r="AL38" i="19"/>
  <c r="E206" i="19"/>
  <c r="D206" i="19"/>
  <c r="AK35" i="19"/>
  <c r="AK38" i="19" s="1"/>
  <c r="AI35" i="19"/>
  <c r="AC35" i="19"/>
  <c r="AB33" i="19"/>
  <c r="AA33" i="19"/>
  <c r="Z33" i="19"/>
  <c r="Y33" i="19"/>
  <c r="X33" i="19"/>
  <c r="W33" i="19"/>
  <c r="V33" i="19"/>
  <c r="U33" i="19"/>
  <c r="S33" i="19"/>
  <c r="R33" i="19"/>
  <c r="Q33" i="19"/>
  <c r="AK32" i="19"/>
  <c r="AI32" i="19"/>
  <c r="B32" i="19"/>
  <c r="AK28" i="19"/>
  <c r="AI28" i="19"/>
  <c r="B28" i="19"/>
  <c r="AK27" i="19"/>
  <c r="AI27" i="19"/>
  <c r="B27" i="19"/>
  <c r="AK26" i="19"/>
  <c r="AI26" i="19"/>
  <c r="B26" i="19"/>
  <c r="AK25" i="19"/>
  <c r="AI25" i="19"/>
  <c r="AH25" i="19"/>
  <c r="B25" i="19"/>
  <c r="AI23" i="19"/>
  <c r="AK21" i="19"/>
  <c r="AI21" i="19"/>
  <c r="AI19" i="19"/>
  <c r="AC19" i="19"/>
  <c r="AD19" i="19" s="1"/>
  <c r="B19" i="19"/>
  <c r="C202" i="19"/>
  <c r="B293" i="17"/>
  <c r="AJ262" i="17"/>
  <c r="U262" i="17"/>
  <c r="T262" i="17"/>
  <c r="S262" i="17"/>
  <c r="R262" i="17"/>
  <c r="Q262" i="17"/>
  <c r="O262" i="17"/>
  <c r="AI261" i="17"/>
  <c r="AC261" i="17"/>
  <c r="AD261" i="17" s="1"/>
  <c r="AK260" i="17"/>
  <c r="AK262" i="17" s="1"/>
  <c r="AI260" i="17"/>
  <c r="AC260" i="17"/>
  <c r="AD260" i="17" s="1"/>
  <c r="AK244" i="17"/>
  <c r="AI244" i="17"/>
  <c r="AK243" i="17"/>
  <c r="AI243" i="17"/>
  <c r="AK242" i="17"/>
  <c r="AI242" i="17"/>
  <c r="AH242" i="17"/>
  <c r="AK241" i="17"/>
  <c r="AI241" i="17"/>
  <c r="AH241" i="17"/>
  <c r="AI240" i="17"/>
  <c r="T240" i="17"/>
  <c r="AC240" i="17" s="1"/>
  <c r="AD240" i="17" s="1"/>
  <c r="AK239" i="17"/>
  <c r="AI239" i="17"/>
  <c r="T239" i="17"/>
  <c r="AC239" i="17" s="1"/>
  <c r="AD239" i="17" s="1"/>
  <c r="AJ237" i="17"/>
  <c r="AI237" i="17"/>
  <c r="AJ236" i="17"/>
  <c r="AI236" i="17"/>
  <c r="AJ235" i="17"/>
  <c r="AI235" i="17"/>
  <c r="AK234" i="17"/>
  <c r="AI234" i="17"/>
  <c r="T234" i="17"/>
  <c r="AC234" i="17" s="1"/>
  <c r="AD234" i="17" s="1"/>
  <c r="AK233" i="17"/>
  <c r="AI233" i="17"/>
  <c r="AK232" i="17"/>
  <c r="AI232" i="17"/>
  <c r="AK231" i="17"/>
  <c r="AI231" i="17"/>
  <c r="AK230" i="17"/>
  <c r="AI230" i="17"/>
  <c r="AK229" i="17"/>
  <c r="AI229" i="17"/>
  <c r="AK228" i="17"/>
  <c r="AI228" i="17"/>
  <c r="AK227" i="17"/>
  <c r="AI227" i="17"/>
  <c r="AK226" i="17"/>
  <c r="AI226" i="17"/>
  <c r="AK225" i="17"/>
  <c r="AI225" i="17"/>
  <c r="AK224" i="17"/>
  <c r="AI224" i="17"/>
  <c r="AH224" i="17"/>
  <c r="AI223" i="17"/>
  <c r="AK222" i="17"/>
  <c r="AI222" i="17"/>
  <c r="AH222" i="17"/>
  <c r="AK221" i="17"/>
  <c r="AI221" i="17"/>
  <c r="AK220" i="17"/>
  <c r="AI220" i="17"/>
  <c r="AK219" i="17"/>
  <c r="AI219" i="17"/>
  <c r="AK218" i="17"/>
  <c r="AI218" i="17"/>
  <c r="AH218" i="17"/>
  <c r="AJ217" i="17"/>
  <c r="AM217" i="17" s="1"/>
  <c r="AI217" i="17"/>
  <c r="AH217" i="17"/>
  <c r="AK216" i="17"/>
  <c r="AI216" i="17"/>
  <c r="AH216" i="17"/>
  <c r="AK215" i="17"/>
  <c r="AI215" i="17"/>
  <c r="AK214" i="17"/>
  <c r="AI214" i="17"/>
  <c r="AH214" i="17"/>
  <c r="AK213" i="17"/>
  <c r="AI213" i="17"/>
  <c r="AH213" i="17"/>
  <c r="AK212" i="17"/>
  <c r="AI212" i="17"/>
  <c r="AK211" i="17"/>
  <c r="AI211" i="17"/>
  <c r="AK210" i="17"/>
  <c r="AI210" i="17"/>
  <c r="AK209" i="17"/>
  <c r="AI209" i="17"/>
  <c r="N209" i="17"/>
  <c r="AK208" i="17"/>
  <c r="AI208" i="17"/>
  <c r="AH208" i="17"/>
  <c r="AI207" i="17"/>
  <c r="O207" i="17"/>
  <c r="AK206" i="17"/>
  <c r="AI206" i="17"/>
  <c r="AK205" i="17"/>
  <c r="AI205" i="17"/>
  <c r="AH205" i="17"/>
  <c r="AK204" i="17"/>
  <c r="AI204" i="17"/>
  <c r="AH204" i="17"/>
  <c r="AK203" i="17"/>
  <c r="AI203" i="17"/>
  <c r="AH203" i="17"/>
  <c r="AK201" i="17"/>
  <c r="AI201" i="17"/>
  <c r="AI200" i="17"/>
  <c r="N200" i="17"/>
  <c r="AK199" i="17"/>
  <c r="AI199" i="17"/>
  <c r="AH199" i="17"/>
  <c r="AK198" i="17"/>
  <c r="AI198" i="17"/>
  <c r="AH198" i="17"/>
  <c r="AK197" i="17"/>
  <c r="AI197" i="17"/>
  <c r="AH197" i="17"/>
  <c r="AK195" i="17"/>
  <c r="AI195" i="17"/>
  <c r="AK194" i="17"/>
  <c r="AI194" i="17"/>
  <c r="N194" i="17"/>
  <c r="AK193" i="17"/>
  <c r="AI193" i="17"/>
  <c r="AH193" i="17"/>
  <c r="AK192" i="17"/>
  <c r="AI192" i="17"/>
  <c r="AC192" i="17"/>
  <c r="AD192" i="17" s="1"/>
  <c r="AC191" i="17"/>
  <c r="U189" i="17"/>
  <c r="S189" i="17"/>
  <c r="R189" i="17"/>
  <c r="AK181" i="17"/>
  <c r="AI181" i="17"/>
  <c r="AI180" i="17"/>
  <c r="AK140" i="17"/>
  <c r="AK139" i="17"/>
  <c r="AK138" i="17"/>
  <c r="AK137" i="17"/>
  <c r="AK136" i="17"/>
  <c r="AK135" i="17"/>
  <c r="AK134" i="17"/>
  <c r="AK132" i="17"/>
  <c r="AI132" i="17"/>
  <c r="AK131" i="17"/>
  <c r="AI131" i="17"/>
  <c r="AH131" i="17"/>
  <c r="AC131" i="17"/>
  <c r="AD131" i="17" s="1"/>
  <c r="AK126" i="17"/>
  <c r="AI126" i="17"/>
  <c r="AI125" i="17"/>
  <c r="AC125" i="17"/>
  <c r="AD125" i="17" s="1"/>
  <c r="AC124" i="17"/>
  <c r="AD124" i="17" s="1"/>
  <c r="U119" i="17"/>
  <c r="T119" i="17"/>
  <c r="S119" i="17"/>
  <c r="R119" i="17"/>
  <c r="Q119" i="17"/>
  <c r="O119" i="17"/>
  <c r="E283" i="17" s="1"/>
  <c r="AK118" i="17"/>
  <c r="AI118" i="17"/>
  <c r="AC118" i="17"/>
  <c r="AD118" i="17" s="1"/>
  <c r="AJ117" i="17"/>
  <c r="AI117" i="17"/>
  <c r="AC117" i="17"/>
  <c r="AK72" i="17"/>
  <c r="AI72" i="17"/>
  <c r="AK71" i="17"/>
  <c r="AI71" i="17"/>
  <c r="AK70" i="17"/>
  <c r="AI70" i="17"/>
  <c r="AK69" i="17"/>
  <c r="AI69" i="17"/>
  <c r="AK68" i="17"/>
  <c r="AI68" i="17"/>
  <c r="AI67" i="17"/>
  <c r="AK64" i="17"/>
  <c r="AI64" i="17"/>
  <c r="AK63" i="17"/>
  <c r="AI63" i="17"/>
  <c r="AK62" i="17"/>
  <c r="AI62" i="17"/>
  <c r="AK61" i="17"/>
  <c r="AI61" i="17"/>
  <c r="AK60" i="17"/>
  <c r="AI60" i="17"/>
  <c r="AH60" i="17"/>
  <c r="AJ59" i="17"/>
  <c r="AI59" i="17"/>
  <c r="AI58" i="17"/>
  <c r="AH58" i="17"/>
  <c r="AK57" i="17"/>
  <c r="AI57" i="17"/>
  <c r="AI56" i="17"/>
  <c r="AI55" i="17"/>
  <c r="AI54" i="17"/>
  <c r="O54" i="17"/>
  <c r="AK53" i="17"/>
  <c r="AI53" i="17"/>
  <c r="AK52" i="17"/>
  <c r="AI52" i="17"/>
  <c r="AK51" i="17"/>
  <c r="AI51" i="17"/>
  <c r="AI50" i="17"/>
  <c r="O50" i="17"/>
  <c r="AJ49" i="17"/>
  <c r="AI49" i="17"/>
  <c r="AI48" i="17"/>
  <c r="O48" i="17"/>
  <c r="AI47" i="17"/>
  <c r="O47" i="17"/>
  <c r="AK46" i="17"/>
  <c r="AI46" i="17"/>
  <c r="AI45" i="17"/>
  <c r="O45" i="17"/>
  <c r="AK45" i="17" s="1"/>
  <c r="AK44" i="17"/>
  <c r="AI44" i="17"/>
  <c r="AH44" i="17"/>
  <c r="AI43" i="17"/>
  <c r="O43" i="17"/>
  <c r="AK43" i="17" s="1"/>
  <c r="AK42" i="17"/>
  <c r="AI42" i="17"/>
  <c r="AH42" i="17"/>
  <c r="AI41" i="17"/>
  <c r="AI40" i="17"/>
  <c r="AI39" i="17"/>
  <c r="AK38" i="17"/>
  <c r="AI38" i="17"/>
  <c r="AH38" i="17"/>
  <c r="AK37" i="17"/>
  <c r="AI37" i="17"/>
  <c r="AJ36" i="17"/>
  <c r="AI36" i="17"/>
  <c r="AI35" i="17"/>
  <c r="AI34" i="17"/>
  <c r="AH34" i="17"/>
  <c r="AI33" i="17"/>
  <c r="AJ32" i="17"/>
  <c r="AM32" i="17" s="1"/>
  <c r="AI32" i="17"/>
  <c r="AK31" i="17"/>
  <c r="AI31" i="17"/>
  <c r="AK30" i="17"/>
  <c r="AI30" i="17"/>
  <c r="AK29" i="17"/>
  <c r="AI29" i="17"/>
  <c r="AK26" i="17"/>
  <c r="AI26" i="17"/>
  <c r="AK25" i="17"/>
  <c r="AI25" i="17"/>
  <c r="AH25" i="17"/>
  <c r="AI24" i="17"/>
  <c r="AI23" i="17"/>
  <c r="AJ22" i="17"/>
  <c r="AI22" i="17"/>
  <c r="AJ21" i="17"/>
  <c r="AI21" i="17"/>
  <c r="AJ20" i="17"/>
  <c r="AI20" i="17"/>
  <c r="AK19" i="17"/>
  <c r="AI19" i="17"/>
  <c r="AH19" i="17"/>
  <c r="AC54" i="1"/>
  <c r="D8" i="23"/>
  <c r="C8" i="23"/>
  <c r="AK47" i="1"/>
  <c r="AC47" i="1"/>
  <c r="AD47" i="1" s="1"/>
  <c r="AK46" i="1"/>
  <c r="AC46" i="1"/>
  <c r="AD46" i="1" s="1"/>
  <c r="AJ45" i="1"/>
  <c r="AJ48" i="1"/>
  <c r="AL48" i="1" s="1"/>
  <c r="AC45" i="1"/>
  <c r="AC48" i="1" s="1"/>
  <c r="E8" i="23" s="1"/>
  <c r="B44" i="1"/>
  <c r="B8" i="23"/>
  <c r="AJ43" i="1"/>
  <c r="AB43" i="1"/>
  <c r="AB50" i="1" s="1"/>
  <c r="AA43" i="1"/>
  <c r="AA50" i="1" s="1"/>
  <c r="Z43" i="1"/>
  <c r="Z50" i="1" s="1"/>
  <c r="Y43" i="1"/>
  <c r="X43" i="1"/>
  <c r="X56" i="1" s="1"/>
  <c r="W43" i="1"/>
  <c r="V43" i="1"/>
  <c r="V56" i="1" s="1"/>
  <c r="T43" i="1"/>
  <c r="R43" i="1"/>
  <c r="R50" i="1" s="1"/>
  <c r="Q43" i="1"/>
  <c r="O43" i="1"/>
  <c r="D7" i="23" s="1"/>
  <c r="M43" i="1"/>
  <c r="C7" i="23" s="1"/>
  <c r="AK42" i="1"/>
  <c r="AI42" i="1"/>
  <c r="AC42" i="1"/>
  <c r="AK41" i="1"/>
  <c r="AI41" i="1"/>
  <c r="AC41" i="1"/>
  <c r="AD41" i="1" s="1"/>
  <c r="AK40" i="1"/>
  <c r="AI40" i="1"/>
  <c r="S40" i="1"/>
  <c r="S43" i="1" s="1"/>
  <c r="AK39" i="1"/>
  <c r="AK43" i="1" s="1"/>
  <c r="AI39" i="1"/>
  <c r="AC39" i="1"/>
  <c r="AD39" i="1" s="1"/>
  <c r="B43" i="1"/>
  <c r="B38" i="1"/>
  <c r="B7" i="23"/>
  <c r="Y50" i="1"/>
  <c r="Y55" i="1" s="1"/>
  <c r="D6" i="23"/>
  <c r="C6" i="23"/>
  <c r="AK35" i="1"/>
  <c r="AI35" i="1"/>
  <c r="S35" i="1"/>
  <c r="AC35" i="1" s="1"/>
  <c r="AD35" i="1" s="1"/>
  <c r="AK34" i="1"/>
  <c r="AI34" i="1"/>
  <c r="S34" i="1"/>
  <c r="AC34" i="1" s="1"/>
  <c r="AD34" i="1" s="1"/>
  <c r="AK33" i="1"/>
  <c r="AI33" i="1"/>
  <c r="S33" i="1"/>
  <c r="AC33" i="1" s="1"/>
  <c r="AD33" i="1" s="1"/>
  <c r="AK32" i="1"/>
  <c r="AI32" i="1"/>
  <c r="S32" i="1"/>
  <c r="AC32" i="1" s="1"/>
  <c r="AD32" i="1" s="1"/>
  <c r="AK31" i="1"/>
  <c r="AI31" i="1"/>
  <c r="AC31" i="1"/>
  <c r="AD31" i="1" s="1"/>
  <c r="AK30" i="1"/>
  <c r="AI30" i="1"/>
  <c r="S30" i="1"/>
  <c r="AC30" i="1" s="1"/>
  <c r="AD30" i="1" s="1"/>
  <c r="AK29" i="1"/>
  <c r="AJ29" i="1"/>
  <c r="AL37" i="1"/>
  <c r="AI29" i="1"/>
  <c r="AC29" i="1"/>
  <c r="AD29" i="1" s="1"/>
  <c r="AK28" i="1"/>
  <c r="AI28" i="1"/>
  <c r="S28" i="1"/>
  <c r="AC28" i="1" s="1"/>
  <c r="AD28" i="1" s="1"/>
  <c r="AK27" i="1"/>
  <c r="AI27" i="1"/>
  <c r="S27" i="1"/>
  <c r="AC27" i="1" s="1"/>
  <c r="AD27" i="1" s="1"/>
  <c r="AK26" i="1"/>
  <c r="AI26" i="1"/>
  <c r="S26" i="1"/>
  <c r="AC26" i="1" s="1"/>
  <c r="AD26" i="1" s="1"/>
  <c r="AK25" i="1"/>
  <c r="AI25" i="1"/>
  <c r="S25" i="1"/>
  <c r="AC25" i="1" s="1"/>
  <c r="AD25" i="1" s="1"/>
  <c r="AK24" i="1"/>
  <c r="AI24" i="1"/>
  <c r="AC24" i="1"/>
  <c r="AD24" i="1" s="1"/>
  <c r="AK23" i="1"/>
  <c r="AI23" i="1"/>
  <c r="AC23" i="1"/>
  <c r="AD23" i="1" s="1"/>
  <c r="AK22" i="1"/>
  <c r="AI22" i="1"/>
  <c r="AC22" i="1"/>
  <c r="AD22" i="1" s="1"/>
  <c r="AK21" i="1"/>
  <c r="AI21" i="1"/>
  <c r="S21" i="1"/>
  <c r="AC21" i="1" s="1"/>
  <c r="AD21" i="1" s="1"/>
  <c r="AK20" i="1"/>
  <c r="AI20" i="1"/>
  <c r="AC20" i="1"/>
  <c r="AD20" i="1" s="1"/>
  <c r="AK19" i="1"/>
  <c r="AI19" i="1"/>
  <c r="S19" i="1"/>
  <c r="AC19" i="1" s="1"/>
  <c r="AD19" i="1" s="1"/>
  <c r="AK18" i="1"/>
  <c r="AI18" i="1"/>
  <c r="S18" i="1"/>
  <c r="B17" i="1"/>
  <c r="B6" i="23"/>
  <c r="AK89" i="19"/>
  <c r="AK45" i="1"/>
  <c r="B50" i="1"/>
  <c r="B84" i="23" s="1"/>
  <c r="B55" i="1"/>
  <c r="B11" i="23" s="1"/>
  <c r="AL43" i="1"/>
  <c r="B26" i="23"/>
  <c r="B29" i="23"/>
  <c r="V175" i="19"/>
  <c r="Q50" i="1"/>
  <c r="AB56" i="1"/>
  <c r="U187" i="19"/>
  <c r="T126" i="19"/>
  <c r="AC126" i="19" s="1"/>
  <c r="AD126" i="19" s="1"/>
  <c r="T127" i="19"/>
  <c r="AC127" i="19" s="1"/>
  <c r="AD127" i="19" s="1"/>
  <c r="B39" i="23"/>
  <c r="AK25" i="22"/>
  <c r="B40" i="23"/>
  <c r="E203" i="19"/>
  <c r="AK54" i="19"/>
  <c r="O33" i="17"/>
  <c r="AK33" i="17" s="1"/>
  <c r="T33" i="17"/>
  <c r="AC33" i="17" s="1"/>
  <c r="O39" i="17"/>
  <c r="T39" i="17"/>
  <c r="AC39" i="17" s="1"/>
  <c r="Y56" i="1"/>
  <c r="T50" i="1"/>
  <c r="T59" i="1" s="1"/>
  <c r="AJ73" i="19"/>
  <c r="AL73" i="19" s="1"/>
  <c r="B194" i="19"/>
  <c r="B34" i="23" s="1"/>
  <c r="AK19" i="19"/>
  <c r="B44" i="19"/>
  <c r="B30" i="23" s="1"/>
  <c r="AK228" i="18"/>
  <c r="AK96" i="18"/>
  <c r="AK97" i="18" s="1"/>
  <c r="AK218" i="18"/>
  <c r="AK330" i="18"/>
  <c r="B97" i="18"/>
  <c r="AK176" i="18"/>
  <c r="B337" i="18" l="1"/>
  <c r="B64" i="23"/>
  <c r="B204" i="18"/>
  <c r="O343" i="18"/>
  <c r="B33" i="19"/>
  <c r="O104" i="19"/>
  <c r="D26" i="23" s="1"/>
  <c r="T65" i="19"/>
  <c r="AM20" i="17"/>
  <c r="AJ115" i="17"/>
  <c r="AL115" i="17" s="1"/>
  <c r="B23" i="17"/>
  <c r="M115" i="17"/>
  <c r="AM200" i="17"/>
  <c r="AJ258" i="17"/>
  <c r="B251" i="18"/>
  <c r="AJ326" i="18"/>
  <c r="O337" i="18"/>
  <c r="B131" i="22"/>
  <c r="B125" i="22"/>
  <c r="B87" i="23" s="1"/>
  <c r="B194" i="18"/>
  <c r="AK34" i="22"/>
  <c r="B41" i="23"/>
  <c r="B43" i="23" s="1"/>
  <c r="S125" i="22"/>
  <c r="S133" i="22" s="1"/>
  <c r="AC26" i="22"/>
  <c r="AD26" i="22" s="1"/>
  <c r="B24" i="18"/>
  <c r="Q125" i="22"/>
  <c r="Y125" i="22"/>
  <c r="Y133" i="22" s="1"/>
  <c r="AC209" i="17"/>
  <c r="AD209" i="17" s="1"/>
  <c r="AD45" i="1"/>
  <c r="B175" i="19"/>
  <c r="X187" i="19"/>
  <c r="Y187" i="19"/>
  <c r="X175" i="19"/>
  <c r="Y175" i="19"/>
  <c r="AJ203" i="18"/>
  <c r="AL203" i="18" s="1"/>
  <c r="AK80" i="18"/>
  <c r="AK206" i="18"/>
  <c r="AJ84" i="18"/>
  <c r="AL84" i="18" s="1"/>
  <c r="AK256" i="18"/>
  <c r="AK235" i="18"/>
  <c r="AM224" i="18"/>
  <c r="AK233" i="18"/>
  <c r="AK146" i="18"/>
  <c r="AK318" i="18"/>
  <c r="B224" i="18"/>
  <c r="B245" i="18" s="1"/>
  <c r="C351" i="18"/>
  <c r="AK232" i="18"/>
  <c r="AK110" i="18"/>
  <c r="AK319" i="18"/>
  <c r="AK127" i="18"/>
  <c r="AD326" i="18"/>
  <c r="AK109" i="19"/>
  <c r="AK317" i="18"/>
  <c r="AM317" i="18"/>
  <c r="AK202" i="18"/>
  <c r="AM202" i="18"/>
  <c r="AK247" i="18"/>
  <c r="AK251" i="18" s="1"/>
  <c r="AM247" i="18"/>
  <c r="AJ251" i="18"/>
  <c r="AL251" i="18" s="1"/>
  <c r="AK253" i="18"/>
  <c r="AM253" i="18"/>
  <c r="AJ257" i="18"/>
  <c r="AL257" i="18" s="1"/>
  <c r="AK133" i="18"/>
  <c r="AM133" i="18"/>
  <c r="AM210" i="18"/>
  <c r="AJ245" i="18"/>
  <c r="AK234" i="18"/>
  <c r="AM234" i="18"/>
  <c r="AK109" i="18"/>
  <c r="AM109" i="18"/>
  <c r="AK311" i="18"/>
  <c r="AM311" i="18"/>
  <c r="AK259" i="18"/>
  <c r="AK260" i="18" s="1"/>
  <c r="AM259" i="18"/>
  <c r="AK36" i="18"/>
  <c r="AM36" i="18"/>
  <c r="AK129" i="18"/>
  <c r="AM129" i="18"/>
  <c r="AK266" i="18"/>
  <c r="AM266" i="18"/>
  <c r="AK308" i="18"/>
  <c r="AM308" i="18"/>
  <c r="AK325" i="18"/>
  <c r="AM325" i="18"/>
  <c r="AK238" i="18"/>
  <c r="AM238" i="18"/>
  <c r="AK77" i="18"/>
  <c r="AM77" i="18"/>
  <c r="AK221" i="18"/>
  <c r="AK224" i="18"/>
  <c r="AM156" i="18"/>
  <c r="AJ194" i="18"/>
  <c r="AL194" i="18" s="1"/>
  <c r="M208" i="18"/>
  <c r="C64" i="23" s="1"/>
  <c r="AK207" i="18"/>
  <c r="AM207" i="18"/>
  <c r="AK31" i="18"/>
  <c r="AM31" i="18"/>
  <c r="AK138" i="18"/>
  <c r="AM138" i="18"/>
  <c r="AK270" i="18"/>
  <c r="AM270" i="18"/>
  <c r="AK301" i="18"/>
  <c r="AM301" i="18"/>
  <c r="M152" i="18"/>
  <c r="C62" i="23" s="1"/>
  <c r="G62" i="23" s="1"/>
  <c r="AK201" i="18"/>
  <c r="AM201" i="18"/>
  <c r="AK139" i="18"/>
  <c r="AM139" i="18"/>
  <c r="C350" i="18"/>
  <c r="B342" i="18"/>
  <c r="B76" i="23" s="1"/>
  <c r="AK56" i="17"/>
  <c r="AM23" i="17"/>
  <c r="M189" i="17"/>
  <c r="C18" i="23" s="1"/>
  <c r="H18" i="23" s="1"/>
  <c r="AK20" i="17"/>
  <c r="AK32" i="17"/>
  <c r="B136" i="17"/>
  <c r="B189" i="17" s="1"/>
  <c r="AK95" i="22"/>
  <c r="AM95" i="22"/>
  <c r="AK43" i="22"/>
  <c r="AM43" i="22"/>
  <c r="B24" i="22"/>
  <c r="M81" i="22"/>
  <c r="M125" i="22" s="1"/>
  <c r="M131" i="22" s="1"/>
  <c r="AK67" i="22"/>
  <c r="AM67" i="22"/>
  <c r="AK94" i="22"/>
  <c r="AM94" i="22"/>
  <c r="AK26" i="22"/>
  <c r="AM26" i="22"/>
  <c r="AK93" i="22"/>
  <c r="AM93" i="22"/>
  <c r="AK92" i="22"/>
  <c r="AM92" i="22"/>
  <c r="AK122" i="22"/>
  <c r="AM122" i="22"/>
  <c r="AK48" i="22"/>
  <c r="AM48" i="22"/>
  <c r="AK72" i="22"/>
  <c r="AM72" i="22"/>
  <c r="AM119" i="22"/>
  <c r="AM44" i="22"/>
  <c r="AK66" i="22"/>
  <c r="AM66" i="22"/>
  <c r="AK68" i="22"/>
  <c r="AM68" i="22"/>
  <c r="AK47" i="22"/>
  <c r="AM47" i="22"/>
  <c r="AK24" i="22"/>
  <c r="AM24" i="22"/>
  <c r="AM57" i="22"/>
  <c r="AM77" i="22"/>
  <c r="AK77" i="22"/>
  <c r="AK114" i="22"/>
  <c r="AM114" i="22"/>
  <c r="B86" i="17"/>
  <c r="AM86" i="17"/>
  <c r="AK36" i="17"/>
  <c r="AM36" i="17"/>
  <c r="AK147" i="17"/>
  <c r="AK236" i="17"/>
  <c r="AM236" i="17"/>
  <c r="AM207" i="17"/>
  <c r="AK240" i="17"/>
  <c r="AM240" i="17"/>
  <c r="B93" i="17"/>
  <c r="AM93" i="17"/>
  <c r="AJ129" i="17"/>
  <c r="AL129" i="17" s="1"/>
  <c r="AM125" i="17"/>
  <c r="AK22" i="17"/>
  <c r="AM22" i="17"/>
  <c r="AK41" i="17"/>
  <c r="AK40" i="17"/>
  <c r="AM40" i="17"/>
  <c r="AK49" i="17"/>
  <c r="AM49" i="17"/>
  <c r="AJ119" i="17"/>
  <c r="AL119" i="17" s="1"/>
  <c r="AM117" i="17"/>
  <c r="AK217" i="17"/>
  <c r="AK39" i="17"/>
  <c r="AK21" i="17"/>
  <c r="AM21" i="17"/>
  <c r="AK23" i="17"/>
  <c r="AK35" i="17"/>
  <c r="AK59" i="17"/>
  <c r="AM59" i="17"/>
  <c r="AJ189" i="17"/>
  <c r="AL189" i="17" s="1"/>
  <c r="AM180" i="17"/>
  <c r="AM189" i="17" s="1"/>
  <c r="AK235" i="17"/>
  <c r="AM235" i="17"/>
  <c r="AK237" i="17"/>
  <c r="AM237" i="17"/>
  <c r="AK34" i="17"/>
  <c r="AM34" i="17"/>
  <c r="AK58" i="17"/>
  <c r="AM58" i="17"/>
  <c r="AK223" i="17"/>
  <c r="AM223" i="17"/>
  <c r="AK67" i="17"/>
  <c r="AM67" i="17"/>
  <c r="AD23" i="17"/>
  <c r="B85" i="17"/>
  <c r="AM85" i="17"/>
  <c r="AK119" i="19"/>
  <c r="AK75" i="19"/>
  <c r="AK88" i="19"/>
  <c r="AK104" i="19" s="1"/>
  <c r="AD88" i="19"/>
  <c r="AD54" i="19"/>
  <c r="AD65" i="19" s="1"/>
  <c r="U175" i="19"/>
  <c r="U189" i="19" s="1"/>
  <c r="U199" i="19" s="1"/>
  <c r="AJ104" i="19"/>
  <c r="AL104" i="19" s="1"/>
  <c r="AM89" i="19"/>
  <c r="AK137" i="19"/>
  <c r="AC120" i="19"/>
  <c r="AD120" i="19" s="1"/>
  <c r="M33" i="19"/>
  <c r="C31" i="23" s="1"/>
  <c r="AJ187" i="19"/>
  <c r="AL187" i="19" s="1"/>
  <c r="AM181" i="19"/>
  <c r="O175" i="19"/>
  <c r="D27" i="23" s="1"/>
  <c r="AD108" i="19"/>
  <c r="AJ33" i="19"/>
  <c r="AL33" i="19" s="1"/>
  <c r="AM19" i="19"/>
  <c r="AK181" i="19"/>
  <c r="AK187" i="19" s="1"/>
  <c r="AJ65" i="19"/>
  <c r="AL65" i="19" s="1"/>
  <c r="AM49" i="19"/>
  <c r="AM108" i="19"/>
  <c r="AJ175" i="19"/>
  <c r="AL175" i="19" s="1"/>
  <c r="AK113" i="19"/>
  <c r="AM113" i="19"/>
  <c r="AK127" i="19"/>
  <c r="AM127" i="19"/>
  <c r="AK135" i="19"/>
  <c r="AM135" i="19"/>
  <c r="AK141" i="19"/>
  <c r="AK151" i="19"/>
  <c r="AM151" i="19"/>
  <c r="AC184" i="19"/>
  <c r="AD184" i="19" s="1"/>
  <c r="B53" i="19"/>
  <c r="B65" i="19" s="1"/>
  <c r="AM53" i="19"/>
  <c r="AM23" i="19"/>
  <c r="M65" i="19"/>
  <c r="D203" i="19" s="1"/>
  <c r="AK126" i="19"/>
  <c r="AM126" i="19"/>
  <c r="AK130" i="19"/>
  <c r="AM130" i="19"/>
  <c r="AK150" i="19"/>
  <c r="AM150" i="19"/>
  <c r="B48" i="1"/>
  <c r="AK37" i="1"/>
  <c r="AD48" i="1"/>
  <c r="E350" i="18"/>
  <c r="D73" i="23"/>
  <c r="Q132" i="22"/>
  <c r="AD48" i="17"/>
  <c r="AD54" i="17"/>
  <c r="AD207" i="17"/>
  <c r="E352" i="18"/>
  <c r="X337" i="18"/>
  <c r="X344" i="18" s="1"/>
  <c r="Q337" i="18"/>
  <c r="U337" i="18"/>
  <c r="U344" i="18" s="1"/>
  <c r="Y337" i="18"/>
  <c r="Y344" i="18" s="1"/>
  <c r="R337" i="18"/>
  <c r="V337" i="18"/>
  <c r="V344" i="18" s="1"/>
  <c r="W337" i="18"/>
  <c r="W344" i="18" s="1"/>
  <c r="AA337" i="18"/>
  <c r="C73" i="23"/>
  <c r="Z337" i="18"/>
  <c r="T337" i="18"/>
  <c r="T344" i="18" s="1"/>
  <c r="AB337" i="18"/>
  <c r="C27" i="23"/>
  <c r="AD50" i="17"/>
  <c r="E358" i="18"/>
  <c r="C52" i="23"/>
  <c r="H52" i="23" s="1"/>
  <c r="AD45" i="17"/>
  <c r="AD33" i="17"/>
  <c r="AK44" i="22"/>
  <c r="AA133" i="22"/>
  <c r="B44" i="22"/>
  <c r="U132" i="22"/>
  <c r="AJ123" i="22"/>
  <c r="R132" i="22"/>
  <c r="Z133" i="22"/>
  <c r="AD90" i="22"/>
  <c r="AD115" i="22" s="1"/>
  <c r="AJ81" i="22"/>
  <c r="B45" i="23"/>
  <c r="AA132" i="22"/>
  <c r="AK119" i="22"/>
  <c r="AD44" i="22"/>
  <c r="O81" i="22"/>
  <c r="AC25" i="22"/>
  <c r="AD25" i="22" s="1"/>
  <c r="AK91" i="22"/>
  <c r="AJ115" i="22"/>
  <c r="AL115" i="22" s="1"/>
  <c r="AC70" i="22"/>
  <c r="AD70" i="22" s="1"/>
  <c r="AD119" i="22"/>
  <c r="AD43" i="17"/>
  <c r="AD39" i="17"/>
  <c r="AD47" i="17"/>
  <c r="S245" i="18"/>
  <c r="AC212" i="18"/>
  <c r="AD107" i="19"/>
  <c r="AC18" i="1"/>
  <c r="S37" i="1"/>
  <c r="B294" i="17"/>
  <c r="AK117" i="17"/>
  <c r="AK119" i="17" s="1"/>
  <c r="B115" i="22"/>
  <c r="AB132" i="22"/>
  <c r="X133" i="22"/>
  <c r="B292" i="17"/>
  <c r="AC119" i="17"/>
  <c r="F283" i="17" s="1"/>
  <c r="B207" i="17"/>
  <c r="B258" i="17" s="1"/>
  <c r="AK123" i="17"/>
  <c r="V189" i="17"/>
  <c r="V271" i="17" s="1"/>
  <c r="AK180" i="17"/>
  <c r="AK207" i="17"/>
  <c r="B55" i="17"/>
  <c r="AL262" i="17"/>
  <c r="AL258" i="17"/>
  <c r="J8" i="23"/>
  <c r="B9" i="23"/>
  <c r="D282" i="17"/>
  <c r="B203" i="18"/>
  <c r="D357" i="18"/>
  <c r="Q343" i="18"/>
  <c r="U343" i="18"/>
  <c r="Y343" i="18"/>
  <c r="R343" i="18"/>
  <c r="V343" i="18"/>
  <c r="Z343" i="18"/>
  <c r="W343" i="18"/>
  <c r="AA343" i="18"/>
  <c r="T343" i="18"/>
  <c r="X343" i="18"/>
  <c r="AB343" i="18"/>
  <c r="H40" i="23"/>
  <c r="D51" i="23"/>
  <c r="AJ208" i="18"/>
  <c r="AL208" i="18" s="1"/>
  <c r="AJ114" i="18"/>
  <c r="AL114" i="18" s="1"/>
  <c r="AJ152" i="18"/>
  <c r="AL152" i="18" s="1"/>
  <c r="D354" i="18"/>
  <c r="B122" i="18"/>
  <c r="B152" i="18" s="1"/>
  <c r="AJ37" i="18"/>
  <c r="AL37" i="18" s="1"/>
  <c r="AK117" i="18"/>
  <c r="E354" i="18"/>
  <c r="AL24" i="18"/>
  <c r="B65" i="23"/>
  <c r="B63" i="23" s="1"/>
  <c r="C51" i="23"/>
  <c r="F51" i="23" s="1"/>
  <c r="I8" i="23"/>
  <c r="K8" i="23"/>
  <c r="F41" i="23"/>
  <c r="S332" i="18"/>
  <c r="AC329" i="18"/>
  <c r="AD329" i="18" s="1"/>
  <c r="AD332" i="18" s="1"/>
  <c r="C60" i="23"/>
  <c r="F60" i="23" s="1"/>
  <c r="AC208" i="18"/>
  <c r="E64" i="23" s="1"/>
  <c r="M64" i="23" s="1"/>
  <c r="AK52" i="18"/>
  <c r="AD96" i="18"/>
  <c r="AD97" i="18" s="1"/>
  <c r="AK67" i="18"/>
  <c r="E360" i="18"/>
  <c r="S132" i="22"/>
  <c r="AB133" i="22"/>
  <c r="G40" i="23"/>
  <c r="X132" i="22"/>
  <c r="B123" i="22"/>
  <c r="AL123" i="22"/>
  <c r="H41" i="23"/>
  <c r="Z132" i="22"/>
  <c r="V133" i="22"/>
  <c r="Y132" i="22"/>
  <c r="U133" i="22"/>
  <c r="J40" i="23"/>
  <c r="I40" i="23"/>
  <c r="K40" i="23"/>
  <c r="I41" i="23"/>
  <c r="J41" i="23"/>
  <c r="K41" i="23"/>
  <c r="F40" i="23"/>
  <c r="G41" i="23"/>
  <c r="V132" i="22"/>
  <c r="E40" i="23"/>
  <c r="N40" i="23" s="1"/>
  <c r="W133" i="22"/>
  <c r="W132" i="22"/>
  <c r="B73" i="19"/>
  <c r="AA189" i="19"/>
  <c r="R189" i="19"/>
  <c r="T181" i="19"/>
  <c r="AC181" i="19" s="1"/>
  <c r="AD181" i="19" s="1"/>
  <c r="W187" i="19"/>
  <c r="T139" i="19"/>
  <c r="T149" i="19"/>
  <c r="AC149" i="19" s="1"/>
  <c r="AD149" i="19" s="1"/>
  <c r="T161" i="19"/>
  <c r="AC161" i="19" s="1"/>
  <c r="AD161" i="19" s="1"/>
  <c r="B119" i="17"/>
  <c r="W271" i="17"/>
  <c r="O200" i="17"/>
  <c r="O258" i="17" s="1"/>
  <c r="G7" i="23"/>
  <c r="F7" i="23"/>
  <c r="H7" i="23"/>
  <c r="M8" i="23"/>
  <c r="L8" i="23"/>
  <c r="M55" i="1"/>
  <c r="M59" i="1" s="1"/>
  <c r="AJ50" i="1"/>
  <c r="I7" i="23"/>
  <c r="T56" i="1"/>
  <c r="R56" i="1"/>
  <c r="X50" i="1"/>
  <c r="K7" i="23"/>
  <c r="U56" i="1"/>
  <c r="U50" i="1"/>
  <c r="U59" i="1" s="1"/>
  <c r="M50" i="1"/>
  <c r="C11" i="23" s="1"/>
  <c r="H11" i="23" s="1"/>
  <c r="AA56" i="1"/>
  <c r="Z56" i="1"/>
  <c r="V50" i="1"/>
  <c r="V59" i="1" s="1"/>
  <c r="J7" i="23"/>
  <c r="AL50" i="1"/>
  <c r="AK48" i="1"/>
  <c r="AK50" i="1" s="1"/>
  <c r="W50" i="1"/>
  <c r="W56" i="1"/>
  <c r="N8" i="23"/>
  <c r="AC203" i="18"/>
  <c r="B67" i="18"/>
  <c r="F57" i="23"/>
  <c r="H58" i="23"/>
  <c r="AD54" i="18"/>
  <c r="AD55" i="18" s="1"/>
  <c r="F70" i="23"/>
  <c r="F58" i="23"/>
  <c r="AC335" i="18"/>
  <c r="E72" i="23" s="1"/>
  <c r="L72" i="23" s="1"/>
  <c r="D352" i="18"/>
  <c r="AD45" i="18"/>
  <c r="AD46" i="18" s="1"/>
  <c r="B332" i="18"/>
  <c r="AD48" i="18"/>
  <c r="AD49" i="18" s="1"/>
  <c r="N58" i="23"/>
  <c r="J58" i="23"/>
  <c r="E282" i="17"/>
  <c r="I6" i="23"/>
  <c r="K6" i="23"/>
  <c r="D9" i="23"/>
  <c r="J6" i="23"/>
  <c r="O50" i="1"/>
  <c r="N55" i="1"/>
  <c r="N59" i="1" s="1"/>
  <c r="K57" i="23"/>
  <c r="I57" i="23"/>
  <c r="AC251" i="18"/>
  <c r="E66" i="23" s="1"/>
  <c r="L66" i="23" s="1"/>
  <c r="B69" i="23"/>
  <c r="J68" i="23"/>
  <c r="G68" i="23"/>
  <c r="AD86" i="18"/>
  <c r="AD89" i="18" s="1"/>
  <c r="E357" i="18"/>
  <c r="B28" i="18"/>
  <c r="AI75" i="18"/>
  <c r="AC199" i="18"/>
  <c r="E71" i="23" s="1"/>
  <c r="AD57" i="18"/>
  <c r="AD58" i="18" s="1"/>
  <c r="AC43" i="18"/>
  <c r="F355" i="18" s="1"/>
  <c r="B326" i="18"/>
  <c r="G58" i="23"/>
  <c r="D60" i="23"/>
  <c r="I60" i="23" s="1"/>
  <c r="B75" i="18"/>
  <c r="H66" i="23"/>
  <c r="K61" i="23"/>
  <c r="I66" i="23"/>
  <c r="S189" i="19"/>
  <c r="S199" i="19" s="1"/>
  <c r="AD40" i="19"/>
  <c r="AD43" i="19" s="1"/>
  <c r="AC43" i="19"/>
  <c r="F208" i="19" s="1"/>
  <c r="AC38" i="19"/>
  <c r="F206" i="19" s="1"/>
  <c r="Q264" i="17"/>
  <c r="G6" i="23"/>
  <c r="H6" i="23"/>
  <c r="F6" i="23"/>
  <c r="F54" i="23"/>
  <c r="G54" i="23"/>
  <c r="H54" i="23"/>
  <c r="F67" i="23"/>
  <c r="H67" i="23"/>
  <c r="G67" i="23"/>
  <c r="J54" i="23"/>
  <c r="I54" i="23"/>
  <c r="I67" i="23"/>
  <c r="K67" i="23"/>
  <c r="AD39" i="18"/>
  <c r="AD40" i="18" s="1"/>
  <c r="AC24" i="18"/>
  <c r="E51" i="23" s="1"/>
  <c r="M51" i="23" s="1"/>
  <c r="J64" i="23"/>
  <c r="H57" i="23"/>
  <c r="B257" i="18"/>
  <c r="H56" i="23"/>
  <c r="M68" i="23"/>
  <c r="AD206" i="18"/>
  <c r="AD208" i="18" s="1"/>
  <c r="AC67" i="18"/>
  <c r="E55" i="23" s="1"/>
  <c r="N55" i="23" s="1"/>
  <c r="AK194" i="18"/>
  <c r="AK332" i="18"/>
  <c r="B53" i="23"/>
  <c r="B50" i="23" s="1"/>
  <c r="AI84" i="18"/>
  <c r="AI245" i="18"/>
  <c r="E351" i="18"/>
  <c r="F61" i="23"/>
  <c r="G61" i="23"/>
  <c r="AD257" i="18"/>
  <c r="AD60" i="18"/>
  <c r="AD61" i="18" s="1"/>
  <c r="AC75" i="18"/>
  <c r="G56" i="23"/>
  <c r="D360" i="18"/>
  <c r="B73" i="23"/>
  <c r="I61" i="23"/>
  <c r="AC107" i="18"/>
  <c r="AD259" i="18"/>
  <c r="AD260" i="18" s="1"/>
  <c r="H72" i="23"/>
  <c r="J61" i="23"/>
  <c r="H68" i="23"/>
  <c r="F56" i="23"/>
  <c r="AC257" i="18"/>
  <c r="E67" i="23" s="1"/>
  <c r="L67" i="23" s="1"/>
  <c r="AK75" i="18"/>
  <c r="B208" i="18"/>
  <c r="B102" i="18"/>
  <c r="AK199" i="18"/>
  <c r="AC40" i="1"/>
  <c r="AC43" i="1" s="1"/>
  <c r="E7" i="23" s="1"/>
  <c r="M7" i="23" s="1"/>
  <c r="J52" i="23"/>
  <c r="I52" i="23"/>
  <c r="AD251" i="18"/>
  <c r="AD199" i="18"/>
  <c r="B199" i="18"/>
  <c r="K52" i="23"/>
  <c r="AK24" i="18"/>
  <c r="AD67" i="18"/>
  <c r="AL326" i="18"/>
  <c r="AD24" i="18"/>
  <c r="D62" i="23"/>
  <c r="J62" i="23" s="1"/>
  <c r="L54" i="23"/>
  <c r="N54" i="23"/>
  <c r="AD203" i="18"/>
  <c r="AD75" i="18"/>
  <c r="C17" i="18"/>
  <c r="D53" i="23"/>
  <c r="AK102" i="18"/>
  <c r="AK288" i="18"/>
  <c r="D69" i="23"/>
  <c r="AK28" i="18"/>
  <c r="AD28" i="18"/>
  <c r="G55" i="23"/>
  <c r="G70" i="23"/>
  <c r="AD102" i="18"/>
  <c r="J70" i="23"/>
  <c r="I56" i="23"/>
  <c r="H61" i="23"/>
  <c r="F72" i="23"/>
  <c r="B107" i="18"/>
  <c r="AD107" i="18"/>
  <c r="H70" i="23"/>
  <c r="K64" i="23"/>
  <c r="K70" i="23"/>
  <c r="K55" i="23"/>
  <c r="H55" i="23"/>
  <c r="B114" i="18"/>
  <c r="AC114" i="18"/>
  <c r="I55" i="23"/>
  <c r="AC102" i="18"/>
  <c r="AD114" i="18"/>
  <c r="B84" i="18"/>
  <c r="I64" i="23"/>
  <c r="K66" i="23"/>
  <c r="J66" i="23"/>
  <c r="G57" i="23"/>
  <c r="M54" i="23"/>
  <c r="F55" i="23"/>
  <c r="K54" i="23"/>
  <c r="J56" i="23"/>
  <c r="AC28" i="18"/>
  <c r="E52" i="23" s="1"/>
  <c r="L52" i="23" s="1"/>
  <c r="L68" i="23"/>
  <c r="G72" i="23"/>
  <c r="G66" i="23"/>
  <c r="I72" i="23"/>
  <c r="K72" i="23"/>
  <c r="C69" i="23"/>
  <c r="T189" i="17"/>
  <c r="H28" i="23"/>
  <c r="F29" i="23"/>
  <c r="AD35" i="19"/>
  <c r="AD38" i="19" s="1"/>
  <c r="Q189" i="19"/>
  <c r="U196" i="19"/>
  <c r="AK65" i="19"/>
  <c r="R196" i="19"/>
  <c r="R199" i="19" s="1"/>
  <c r="AA196" i="19"/>
  <c r="K29" i="23"/>
  <c r="B187" i="19"/>
  <c r="Z189" i="19"/>
  <c r="S196" i="19"/>
  <c r="AB189" i="19"/>
  <c r="V189" i="19"/>
  <c r="V199" i="19" s="1"/>
  <c r="Z196" i="19"/>
  <c r="AK73" i="19"/>
  <c r="B104" i="19"/>
  <c r="AC178" i="19"/>
  <c r="F207" i="19" s="1"/>
  <c r="B82" i="19"/>
  <c r="AC73" i="19"/>
  <c r="F205" i="19" s="1"/>
  <c r="Q196" i="19"/>
  <c r="K28" i="23"/>
  <c r="D30" i="23"/>
  <c r="I30" i="23" s="1"/>
  <c r="AB196" i="19"/>
  <c r="E204" i="19"/>
  <c r="V196" i="19"/>
  <c r="AD73" i="19"/>
  <c r="H29" i="23"/>
  <c r="F28" i="23"/>
  <c r="C26" i="23"/>
  <c r="D204" i="19"/>
  <c r="B27" i="23"/>
  <c r="C209" i="19"/>
  <c r="B17" i="19"/>
  <c r="D31" i="23"/>
  <c r="G28" i="23"/>
  <c r="I28" i="23"/>
  <c r="AC65" i="19"/>
  <c r="G29" i="23"/>
  <c r="I29" i="23"/>
  <c r="J28" i="23"/>
  <c r="J29" i="23"/>
  <c r="AK33" i="19"/>
  <c r="AD33" i="19"/>
  <c r="K58" i="23"/>
  <c r="AD52" i="18"/>
  <c r="B37" i="18"/>
  <c r="N68" i="23"/>
  <c r="F68" i="23"/>
  <c r="J57" i="23"/>
  <c r="K56" i="23"/>
  <c r="I70" i="23"/>
  <c r="M58" i="23"/>
  <c r="F66" i="23"/>
  <c r="J55" i="23"/>
  <c r="AC52" i="18"/>
  <c r="F357" i="18" s="1"/>
  <c r="D63" i="23"/>
  <c r="J72" i="23"/>
  <c r="I58" i="23"/>
  <c r="L58" i="23"/>
  <c r="J67" i="23"/>
  <c r="K68" i="23"/>
  <c r="I68" i="23"/>
  <c r="T33" i="19"/>
  <c r="T123" i="22"/>
  <c r="S37" i="18"/>
  <c r="AC33" i="19"/>
  <c r="T104" i="19"/>
  <c r="I18" i="23"/>
  <c r="R264" i="17"/>
  <c r="X264" i="17"/>
  <c r="X278" i="17" s="1"/>
  <c r="B262" i="17"/>
  <c r="Q271" i="17"/>
  <c r="C17" i="23"/>
  <c r="Z264" i="17"/>
  <c r="Z278" i="17" s="1"/>
  <c r="R271" i="17"/>
  <c r="AA271" i="17"/>
  <c r="W278" i="17"/>
  <c r="C286" i="17"/>
  <c r="AB264" i="17"/>
  <c r="AB278" i="17" s="1"/>
  <c r="X271" i="17"/>
  <c r="K18" i="23"/>
  <c r="AD123" i="17"/>
  <c r="AK129" i="17"/>
  <c r="AA264" i="17"/>
  <c r="AA278" i="17" s="1"/>
  <c r="D284" i="17"/>
  <c r="AB271" i="17"/>
  <c r="Z271" i="17"/>
  <c r="AD262" i="17"/>
  <c r="B129" i="17"/>
  <c r="AD117" i="17"/>
  <c r="AD119" i="17" s="1"/>
  <c r="AC262" i="17"/>
  <c r="AD129" i="17"/>
  <c r="U271" i="17"/>
  <c r="AC129" i="17"/>
  <c r="F285" i="17" s="1"/>
  <c r="J18" i="23"/>
  <c r="S264" i="17"/>
  <c r="S278" i="17" s="1"/>
  <c r="B123" i="17"/>
  <c r="AC123" i="17"/>
  <c r="F284" i="17" s="1"/>
  <c r="S271" i="17"/>
  <c r="U264" i="17"/>
  <c r="U278" i="17" s="1"/>
  <c r="AK50" i="17"/>
  <c r="AD194" i="18"/>
  <c r="T200" i="17"/>
  <c r="AC200" i="17" s="1"/>
  <c r="AK54" i="17"/>
  <c r="AC117" i="22"/>
  <c r="S194" i="18"/>
  <c r="AD82" i="19"/>
  <c r="AK48" i="17"/>
  <c r="AD37" i="18"/>
  <c r="AC37" i="18"/>
  <c r="AK107" i="18"/>
  <c r="E202" i="19"/>
  <c r="C53" i="23"/>
  <c r="G8" i="23"/>
  <c r="F8" i="23"/>
  <c r="H8" i="23"/>
  <c r="C9" i="23"/>
  <c r="AD152" i="18"/>
  <c r="AC115" i="17"/>
  <c r="AC82" i="19"/>
  <c r="T82" i="19"/>
  <c r="O115" i="17"/>
  <c r="C292" i="17" s="1"/>
  <c r="AC152" i="18"/>
  <c r="E62" i="23" s="1"/>
  <c r="AC18" i="22"/>
  <c r="T81" i="22"/>
  <c r="AC194" i="18"/>
  <c r="E70" i="23" s="1"/>
  <c r="T115" i="17"/>
  <c r="S326" i="18"/>
  <c r="AK47" i="17"/>
  <c r="S84" i="18"/>
  <c r="S152" i="18"/>
  <c r="AC326" i="18"/>
  <c r="J26" i="23" l="1"/>
  <c r="K26" i="23"/>
  <c r="I26" i="23"/>
  <c r="X196" i="19"/>
  <c r="D17" i="23"/>
  <c r="C294" i="17"/>
  <c r="C295" i="17" s="1"/>
  <c r="N342" i="18"/>
  <c r="B115" i="17"/>
  <c r="AK257" i="18"/>
  <c r="C39" i="23"/>
  <c r="AK81" i="22"/>
  <c r="C361" i="18"/>
  <c r="AK114" i="18"/>
  <c r="D351" i="18"/>
  <c r="T125" i="22"/>
  <c r="B81" i="22"/>
  <c r="AK115" i="22"/>
  <c r="AK123" i="22"/>
  <c r="AL81" i="22"/>
  <c r="AL125" i="22" s="1"/>
  <c r="AJ125" i="22"/>
  <c r="AC194" i="17"/>
  <c r="AD194" i="17" s="1"/>
  <c r="Y258" i="17"/>
  <c r="B17" i="23"/>
  <c r="G17" i="23" s="1"/>
  <c r="Y196" i="19"/>
  <c r="Y189" i="19"/>
  <c r="Y199" i="19" s="1"/>
  <c r="O189" i="19"/>
  <c r="D34" i="23" s="1"/>
  <c r="X189" i="19"/>
  <c r="X199" i="19" s="1"/>
  <c r="M264" i="17"/>
  <c r="C21" i="23" s="1"/>
  <c r="AK208" i="18"/>
  <c r="AK84" i="18"/>
  <c r="K73" i="23"/>
  <c r="M337" i="18"/>
  <c r="M342" i="18" s="1"/>
  <c r="M346" i="18" s="1"/>
  <c r="AK245" i="18"/>
  <c r="AK203" i="18"/>
  <c r="G18" i="23"/>
  <c r="F18" i="23"/>
  <c r="F64" i="23"/>
  <c r="G64" i="23"/>
  <c r="AK152" i="18"/>
  <c r="AK37" i="18"/>
  <c r="C63" i="23"/>
  <c r="H63" i="23" s="1"/>
  <c r="H64" i="23"/>
  <c r="AK326" i="18"/>
  <c r="G52" i="23"/>
  <c r="D350" i="18"/>
  <c r="D202" i="19"/>
  <c r="AK189" i="17"/>
  <c r="M189" i="19"/>
  <c r="C34" i="23" s="1"/>
  <c r="F34" i="23" s="1"/>
  <c r="C30" i="23"/>
  <c r="G30" i="23" s="1"/>
  <c r="AK175" i="19"/>
  <c r="V264" i="17"/>
  <c r="V278" i="17" s="1"/>
  <c r="H51" i="23"/>
  <c r="S337" i="18"/>
  <c r="S344" i="18" s="1"/>
  <c r="AJ337" i="18"/>
  <c r="F52" i="23"/>
  <c r="E56" i="23"/>
  <c r="M56" i="23" s="1"/>
  <c r="AD200" i="17"/>
  <c r="F62" i="23"/>
  <c r="M137" i="22"/>
  <c r="D39" i="23"/>
  <c r="D43" i="23" s="1"/>
  <c r="AC81" i="22"/>
  <c r="AD212" i="18"/>
  <c r="AD245" i="18" s="1"/>
  <c r="AC245" i="18"/>
  <c r="E65" i="23" s="1"/>
  <c r="L65" i="23" s="1"/>
  <c r="E209" i="19"/>
  <c r="F65" i="23"/>
  <c r="H62" i="23"/>
  <c r="G51" i="23"/>
  <c r="AD18" i="1"/>
  <c r="AD37" i="1" s="1"/>
  <c r="AC37" i="1"/>
  <c r="AC56" i="1" s="1"/>
  <c r="AC189" i="17"/>
  <c r="F282" i="17" s="1"/>
  <c r="AD189" i="17"/>
  <c r="B264" i="17"/>
  <c r="B85" i="23" s="1"/>
  <c r="B271" i="17"/>
  <c r="B21" i="23" s="1"/>
  <c r="B106" i="23" s="1"/>
  <c r="B16" i="23"/>
  <c r="B295" i="17"/>
  <c r="AJ264" i="17"/>
  <c r="AL264" i="17"/>
  <c r="C16" i="23"/>
  <c r="D281" i="17"/>
  <c r="S343" i="18"/>
  <c r="F11" i="23"/>
  <c r="G11" i="23"/>
  <c r="H60" i="23"/>
  <c r="G60" i="23"/>
  <c r="B74" i="23"/>
  <c r="D50" i="23"/>
  <c r="K50" i="23" s="1"/>
  <c r="J51" i="23"/>
  <c r="I51" i="23"/>
  <c r="H65" i="23"/>
  <c r="I65" i="23"/>
  <c r="G65" i="23"/>
  <c r="K51" i="23"/>
  <c r="K65" i="23"/>
  <c r="J65" i="23"/>
  <c r="C50" i="23"/>
  <c r="L7" i="23"/>
  <c r="L64" i="23"/>
  <c r="T187" i="19"/>
  <c r="T175" i="19"/>
  <c r="AC139" i="19"/>
  <c r="N64" i="23"/>
  <c r="K53" i="23"/>
  <c r="L51" i="23"/>
  <c r="N51" i="23"/>
  <c r="J60" i="23"/>
  <c r="M72" i="23"/>
  <c r="N66" i="23"/>
  <c r="K60" i="23"/>
  <c r="AC332" i="18"/>
  <c r="E73" i="23" s="1"/>
  <c r="M66" i="23"/>
  <c r="M67" i="23"/>
  <c r="N67" i="23"/>
  <c r="E53" i="23"/>
  <c r="L40" i="23"/>
  <c r="M40" i="23"/>
  <c r="AC187" i="19"/>
  <c r="E28" i="23" s="1"/>
  <c r="W175" i="19"/>
  <c r="AK200" i="17"/>
  <c r="AK258" i="17" s="1"/>
  <c r="AD40" i="1"/>
  <c r="AD43" i="1" s="1"/>
  <c r="N7" i="23"/>
  <c r="H69" i="23"/>
  <c r="N72" i="23"/>
  <c r="F354" i="18"/>
  <c r="I69" i="23"/>
  <c r="F73" i="23"/>
  <c r="K69" i="23"/>
  <c r="I9" i="23"/>
  <c r="K9" i="23"/>
  <c r="J9" i="23"/>
  <c r="C84" i="23"/>
  <c r="D84" i="23" s="1"/>
  <c r="D11" i="23"/>
  <c r="O56" i="1"/>
  <c r="AD54" i="1"/>
  <c r="N52" i="23"/>
  <c r="L55" i="23"/>
  <c r="M55" i="23"/>
  <c r="K62" i="23"/>
  <c r="G73" i="23"/>
  <c r="I27" i="23"/>
  <c r="I62" i="23"/>
  <c r="E361" i="18"/>
  <c r="I73" i="23"/>
  <c r="J69" i="23"/>
  <c r="H73" i="23"/>
  <c r="J73" i="23"/>
  <c r="D76" i="23"/>
  <c r="C88" i="23"/>
  <c r="AD341" i="18"/>
  <c r="N346" i="18"/>
  <c r="J53" i="23"/>
  <c r="I53" i="23"/>
  <c r="E60" i="23"/>
  <c r="F358" i="18"/>
  <c r="G69" i="23"/>
  <c r="F360" i="18"/>
  <c r="E61" i="23"/>
  <c r="M52" i="23"/>
  <c r="F69" i="23"/>
  <c r="K27" i="23"/>
  <c r="J30" i="23"/>
  <c r="F27" i="23"/>
  <c r="D32" i="23"/>
  <c r="K30" i="23"/>
  <c r="J27" i="23"/>
  <c r="H27" i="23"/>
  <c r="G27" i="23"/>
  <c r="B31" i="23"/>
  <c r="B189" i="19"/>
  <c r="B86" i="23" s="1"/>
  <c r="F26" i="23"/>
  <c r="H26" i="23"/>
  <c r="G26" i="23"/>
  <c r="D209" i="19"/>
  <c r="E30" i="23"/>
  <c r="F203" i="19"/>
  <c r="J63" i="23"/>
  <c r="K63" i="23"/>
  <c r="I63" i="23"/>
  <c r="F202" i="19"/>
  <c r="E31" i="23"/>
  <c r="T258" i="17"/>
  <c r="T264" i="17" s="1"/>
  <c r="T278" i="17" s="1"/>
  <c r="H17" i="23"/>
  <c r="AD115" i="17"/>
  <c r="AK115" i="17"/>
  <c r="AC123" i="22"/>
  <c r="E41" i="23" s="1"/>
  <c r="AD117" i="22"/>
  <c r="AD123" i="22" s="1"/>
  <c r="F53" i="23"/>
  <c r="G53" i="23"/>
  <c r="H53" i="23"/>
  <c r="H9" i="23"/>
  <c r="G9" i="23"/>
  <c r="F9" i="23"/>
  <c r="T132" i="22"/>
  <c r="AC132" i="22" s="1"/>
  <c r="T133" i="22"/>
  <c r="S56" i="1"/>
  <c r="S50" i="1"/>
  <c r="S55" i="1" s="1"/>
  <c r="AD18" i="22"/>
  <c r="AD81" i="22" s="1"/>
  <c r="E16" i="23"/>
  <c r="L62" i="23"/>
  <c r="N62" i="23"/>
  <c r="M62" i="23"/>
  <c r="D16" i="23"/>
  <c r="E281" i="17"/>
  <c r="E286" i="17" s="1"/>
  <c r="O264" i="17"/>
  <c r="O271" i="17"/>
  <c r="AD104" i="19"/>
  <c r="AC104" i="19"/>
  <c r="E26" i="23" s="1"/>
  <c r="E69" i="23"/>
  <c r="M70" i="23"/>
  <c r="L70" i="23"/>
  <c r="N70" i="23"/>
  <c r="AC84" i="18"/>
  <c r="F350" i="18" s="1"/>
  <c r="AD84" i="18"/>
  <c r="E29" i="23"/>
  <c r="AD187" i="19"/>
  <c r="F63" i="23" l="1"/>
  <c r="G63" i="23"/>
  <c r="I43" i="23"/>
  <c r="J43" i="23"/>
  <c r="AK125" i="22"/>
  <c r="O196" i="19"/>
  <c r="N195" i="19"/>
  <c r="N200" i="19" s="1"/>
  <c r="C86" i="23"/>
  <c r="G39" i="23"/>
  <c r="C43" i="23"/>
  <c r="D361" i="18"/>
  <c r="AD194" i="19"/>
  <c r="M270" i="17"/>
  <c r="M276" i="17" s="1"/>
  <c r="AC258" i="17"/>
  <c r="E17" i="23" s="1"/>
  <c r="L17" i="23" s="1"/>
  <c r="G34" i="23"/>
  <c r="C76" i="23"/>
  <c r="H76" i="23" s="1"/>
  <c r="F39" i="23"/>
  <c r="H39" i="23"/>
  <c r="AC125" i="22"/>
  <c r="AD125" i="22"/>
  <c r="AD258" i="17"/>
  <c r="AD264" i="17" s="1"/>
  <c r="Y264" i="17"/>
  <c r="Y278" i="17" s="1"/>
  <c r="Y271" i="17"/>
  <c r="I17" i="23"/>
  <c r="J17" i="23"/>
  <c r="F17" i="23"/>
  <c r="B19" i="23"/>
  <c r="K17" i="23"/>
  <c r="C74" i="23"/>
  <c r="AK337" i="18"/>
  <c r="M195" i="19"/>
  <c r="M200" i="19" s="1"/>
  <c r="H34" i="23"/>
  <c r="C32" i="23"/>
  <c r="F30" i="23"/>
  <c r="H30" i="23"/>
  <c r="AD343" i="18"/>
  <c r="C45" i="23"/>
  <c r="G45" i="23" s="1"/>
  <c r="N56" i="23"/>
  <c r="L56" i="23"/>
  <c r="F351" i="18"/>
  <c r="AD337" i="18"/>
  <c r="AC337" i="18"/>
  <c r="O342" i="18" s="1"/>
  <c r="F16" i="23"/>
  <c r="H16" i="23"/>
  <c r="E18" i="23"/>
  <c r="N18" i="23" s="1"/>
  <c r="J39" i="23"/>
  <c r="K39" i="23"/>
  <c r="I39" i="23"/>
  <c r="N131" i="22"/>
  <c r="N137" i="22" s="1"/>
  <c r="C87" i="23"/>
  <c r="D87" i="23" s="1"/>
  <c r="AD130" i="22"/>
  <c r="O132" i="22"/>
  <c r="AD132" i="22" s="1"/>
  <c r="D45" i="23"/>
  <c r="O55" i="1"/>
  <c r="O58" i="1" s="1"/>
  <c r="O59" i="1" s="1"/>
  <c r="E6" i="23"/>
  <c r="M6" i="23" s="1"/>
  <c r="AC50" i="1"/>
  <c r="E11" i="23" s="1"/>
  <c r="L11" i="23" s="1"/>
  <c r="T189" i="19"/>
  <c r="T199" i="19" s="1"/>
  <c r="AD139" i="19"/>
  <c r="AD175" i="19" s="1"/>
  <c r="AD189" i="19" s="1"/>
  <c r="AC175" i="19"/>
  <c r="E27" i="23" s="1"/>
  <c r="M27" i="23" s="1"/>
  <c r="AD56" i="1"/>
  <c r="G21" i="23"/>
  <c r="F21" i="23"/>
  <c r="B103" i="23"/>
  <c r="AJ268" i="17"/>
  <c r="D286" i="17"/>
  <c r="C19" i="23"/>
  <c r="H21" i="23"/>
  <c r="G16" i="23"/>
  <c r="AK264" i="17"/>
  <c r="T196" i="19"/>
  <c r="AD50" i="1"/>
  <c r="AC343" i="18"/>
  <c r="B338" i="18"/>
  <c r="L53" i="23"/>
  <c r="F352" i="18"/>
  <c r="M53" i="23"/>
  <c r="N53" i="23"/>
  <c r="D74" i="23"/>
  <c r="I74" i="23" s="1"/>
  <c r="J50" i="23"/>
  <c r="I50" i="23"/>
  <c r="W189" i="19"/>
  <c r="W199" i="19" s="1"/>
  <c r="W196" i="19"/>
  <c r="T271" i="17"/>
  <c r="I11" i="23"/>
  <c r="J11" i="23"/>
  <c r="K11" i="23"/>
  <c r="B88" i="23"/>
  <c r="D88" i="23" s="1"/>
  <c r="E63" i="23"/>
  <c r="L63" i="23" s="1"/>
  <c r="M65" i="23"/>
  <c r="K76" i="23"/>
  <c r="I76" i="23"/>
  <c r="J76" i="23"/>
  <c r="N61" i="23"/>
  <c r="L61" i="23"/>
  <c r="M61" i="23"/>
  <c r="N60" i="23"/>
  <c r="M60" i="23"/>
  <c r="L60" i="23"/>
  <c r="N65" i="23"/>
  <c r="D86" i="23"/>
  <c r="G31" i="23"/>
  <c r="F31" i="23"/>
  <c r="H31" i="23"/>
  <c r="J31" i="23"/>
  <c r="K31" i="23"/>
  <c r="I31" i="23"/>
  <c r="B32" i="23"/>
  <c r="N30" i="23"/>
  <c r="L30" i="23"/>
  <c r="M30" i="23"/>
  <c r="M31" i="23"/>
  <c r="N31" i="23"/>
  <c r="L31" i="23"/>
  <c r="N41" i="23"/>
  <c r="M41" i="23"/>
  <c r="L41" i="23"/>
  <c r="I34" i="23"/>
  <c r="J34" i="23"/>
  <c r="K34" i="23"/>
  <c r="G50" i="23"/>
  <c r="H50" i="23"/>
  <c r="F50" i="23"/>
  <c r="M69" i="23"/>
  <c r="N69" i="23"/>
  <c r="L69" i="23"/>
  <c r="N73" i="23"/>
  <c r="L73" i="23"/>
  <c r="M73" i="23"/>
  <c r="L26" i="23"/>
  <c r="N26" i="23"/>
  <c r="M26" i="23"/>
  <c r="D19" i="23"/>
  <c r="I16" i="23"/>
  <c r="K16" i="23"/>
  <c r="J16" i="23"/>
  <c r="N16" i="23"/>
  <c r="M16" i="23"/>
  <c r="L16" i="23"/>
  <c r="E57" i="23"/>
  <c r="E50" i="23" s="1"/>
  <c r="N28" i="23"/>
  <c r="L28" i="23"/>
  <c r="M28" i="23"/>
  <c r="M29" i="23"/>
  <c r="L29" i="23"/>
  <c r="N29" i="23"/>
  <c r="D21" i="23"/>
  <c r="C85" i="23"/>
  <c r="N270" i="17"/>
  <c r="N276" i="17" s="1"/>
  <c r="AD269" i="17"/>
  <c r="E39" i="23"/>
  <c r="E43" i="23" s="1"/>
  <c r="G76" i="23" l="1"/>
  <c r="AC264" i="17"/>
  <c r="E21" i="23" s="1"/>
  <c r="L21" i="23" s="1"/>
  <c r="H43" i="23"/>
  <c r="F43" i="23"/>
  <c r="G43" i="23"/>
  <c r="M17" i="23"/>
  <c r="AC271" i="17"/>
  <c r="AD271" i="17" s="1"/>
  <c r="AD273" i="17" s="1"/>
  <c r="N17" i="23"/>
  <c r="F281" i="17"/>
  <c r="F286" i="17" s="1"/>
  <c r="F76" i="23"/>
  <c r="F19" i="23"/>
  <c r="F45" i="23"/>
  <c r="C103" i="23"/>
  <c r="D103" i="23" s="1"/>
  <c r="H45" i="23"/>
  <c r="M11" i="23"/>
  <c r="N11" i="23"/>
  <c r="M18" i="23"/>
  <c r="N6" i="23"/>
  <c r="L6" i="23"/>
  <c r="E9" i="23"/>
  <c r="L9" i="23" s="1"/>
  <c r="E19" i="23"/>
  <c r="M19" i="23" s="1"/>
  <c r="L18" i="23"/>
  <c r="K43" i="23"/>
  <c r="K45" i="23"/>
  <c r="I45" i="23"/>
  <c r="J45" i="23"/>
  <c r="F204" i="19"/>
  <c r="F209" i="19" s="1"/>
  <c r="G19" i="23"/>
  <c r="H19" i="23"/>
  <c r="AC189" i="19"/>
  <c r="E34" i="23" s="1"/>
  <c r="M34" i="23" s="1"/>
  <c r="E32" i="23"/>
  <c r="N32" i="23" s="1"/>
  <c r="F361" i="18"/>
  <c r="AC196" i="19"/>
  <c r="AD196" i="19" s="1"/>
  <c r="L27" i="23"/>
  <c r="K74" i="23"/>
  <c r="J74" i="23"/>
  <c r="N27" i="23"/>
  <c r="N63" i="23"/>
  <c r="M63" i="23"/>
  <c r="B89" i="23"/>
  <c r="B100" i="23" s="1"/>
  <c r="F32" i="23"/>
  <c r="G32" i="23"/>
  <c r="J32" i="23"/>
  <c r="I32" i="23"/>
  <c r="H32" i="23"/>
  <c r="K32" i="23"/>
  <c r="O270" i="17"/>
  <c r="O275" i="17" s="1"/>
  <c r="O276" i="17" s="1"/>
  <c r="G74" i="23"/>
  <c r="H74" i="23"/>
  <c r="F74" i="23"/>
  <c r="L57" i="23"/>
  <c r="N57" i="23"/>
  <c r="M57" i="23"/>
  <c r="J19" i="23"/>
  <c r="K19" i="23"/>
  <c r="I19" i="23"/>
  <c r="L39" i="23"/>
  <c r="M39" i="23"/>
  <c r="N39" i="23"/>
  <c r="D85" i="23"/>
  <c r="C89" i="23"/>
  <c r="E76" i="23"/>
  <c r="O345" i="18"/>
  <c r="O346" i="18" s="1"/>
  <c r="E45" i="23"/>
  <c r="O131" i="22"/>
  <c r="O136" i="22" s="1"/>
  <c r="O137" i="22" s="1"/>
  <c r="M21" i="23"/>
  <c r="N21" i="23"/>
  <c r="I21" i="23"/>
  <c r="J21" i="23"/>
  <c r="K21" i="23"/>
  <c r="M9" i="23" l="1"/>
  <c r="G84" i="23"/>
  <c r="H84" i="23" s="1"/>
  <c r="G85" i="23"/>
  <c r="H85" i="23" s="1"/>
  <c r="N9" i="23"/>
  <c r="N19" i="23"/>
  <c r="L19" i="23"/>
  <c r="L34" i="23"/>
  <c r="N34" i="23"/>
  <c r="L32" i="23"/>
  <c r="M32" i="23"/>
  <c r="G86" i="23"/>
  <c r="H86" i="23" s="1"/>
  <c r="O195" i="19"/>
  <c r="O199" i="19" s="1"/>
  <c r="O200" i="19" s="1"/>
  <c r="AC198" i="19"/>
  <c r="L43" i="23"/>
  <c r="G87" i="23"/>
  <c r="H87" i="23" s="1"/>
  <c r="M43" i="23"/>
  <c r="N43" i="23"/>
  <c r="N76" i="23"/>
  <c r="M76" i="23"/>
  <c r="L76" i="23"/>
  <c r="N45" i="23"/>
  <c r="M45" i="23"/>
  <c r="L45" i="23"/>
  <c r="C106" i="23"/>
  <c r="D106" i="23" s="1"/>
  <c r="N50" i="23"/>
  <c r="E74" i="23"/>
  <c r="L50" i="23"/>
  <c r="M50" i="23"/>
  <c r="D89" i="23"/>
  <c r="C100" i="23"/>
  <c r="D100" i="23" s="1"/>
  <c r="N74" i="23" l="1"/>
  <c r="M74" i="23"/>
  <c r="G88" i="23"/>
  <c r="L74" i="23"/>
  <c r="H88" i="23" l="1"/>
  <c r="G89" i="23"/>
  <c r="H89" i="23" l="1"/>
  <c r="G100" i="23"/>
  <c r="H100" i="23" s="1"/>
  <c r="AJ338" i="18" l="1"/>
  <c r="AL245" i="18"/>
  <c r="AL337" i="18" s="1"/>
  <c r="AM81" i="19"/>
  <c r="AJ82" i="19"/>
  <c r="AJ189" i="19" s="1"/>
  <c r="AK81" i="19"/>
  <c r="AK82" i="19" s="1"/>
  <c r="AK189" i="19" s="1"/>
  <c r="AL82" i="19" l="1"/>
  <c r="AL189" i="19" l="1"/>
</calcChain>
</file>

<file path=xl/comments1.xml><?xml version="1.0" encoding="utf-8"?>
<comments xmlns="http://schemas.openxmlformats.org/spreadsheetml/2006/main">
  <authors>
    <author>Orlando Arias</author>
  </authors>
  <commentList>
    <comment ref="B50" authorId="0" shapeId="0">
      <text>
        <r>
          <rPr>
            <b/>
            <sz val="9"/>
            <color indexed="81"/>
            <rFont val="Tahoma"/>
            <family val="2"/>
          </rPr>
          <t>Orlando Arias:</t>
        </r>
        <r>
          <rPr>
            <sz val="9"/>
            <color indexed="81"/>
            <rFont val="Tahoma"/>
            <family val="2"/>
          </rPr>
          <t xml:space="preserve">
Estos recursos no fueron recaudados por tal motivo no se pueden utilizar. Se actualizan según correo del 26-04-2019, informada por Francisco Rodriguez</t>
        </r>
      </text>
    </comment>
  </commentList>
</comments>
</file>

<file path=xl/sharedStrings.xml><?xml version="1.0" encoding="utf-8"?>
<sst xmlns="http://schemas.openxmlformats.org/spreadsheetml/2006/main" count="8219" uniqueCount="1390">
  <si>
    <t>Plan de Desarrollo Bogotá Mejor Para Todos</t>
  </si>
  <si>
    <t>Proyecto Entidad: 1024  Formación en patrimonio cultural</t>
  </si>
  <si>
    <t xml:space="preserve">RESPONSABLE: </t>
  </si>
  <si>
    <t>Subdirectora de Divulgación</t>
  </si>
  <si>
    <t xml:space="preserve">OBJETIVO: </t>
  </si>
  <si>
    <t>Formar estudiantes y docentes que apropien, valoren, conserven y divulguen el patrimonio cultural de la ciudad.</t>
  </si>
  <si>
    <t xml:space="preserve">ESTRATEGIA: </t>
  </si>
  <si>
    <t>Permitir a la ciudadanía de las zonas urbanas y rurales, mejores oportunidades para su desarrollo en condiciones de igualdad.</t>
  </si>
  <si>
    <t xml:space="preserve">Fecha de Actualización:  </t>
  </si>
  <si>
    <t xml:space="preserve">Modificaciones: </t>
  </si>
  <si>
    <t xml:space="preserve">3-3-1-15-1-11-1024-124 </t>
  </si>
  <si>
    <t xml:space="preserve">Componentes </t>
  </si>
  <si>
    <t>Presupuesto</t>
  </si>
  <si>
    <t>Fuente</t>
  </si>
  <si>
    <t>Concepto de Gasto</t>
  </si>
  <si>
    <t>Meta Plan de Desarrollo         2016-2020</t>
  </si>
  <si>
    <t>Producto PMR</t>
  </si>
  <si>
    <t>Valor CDP's</t>
  </si>
  <si>
    <t>Valor CRP's</t>
  </si>
  <si>
    <t>Valor total Giros</t>
  </si>
  <si>
    <t>01- Recursos del Distrito - 12 Otros Distrito</t>
  </si>
  <si>
    <t>4-01-0187 - Actividades De Formación En Arte, Cultura, Patrimonio, Recreación Y Deporte</t>
  </si>
  <si>
    <t>12. Formación en Cátedra de Patrimonio en colegios distritales</t>
  </si>
  <si>
    <t>Formación en catedra de patrimonio en colegios del distrito capital</t>
  </si>
  <si>
    <t>Saldo</t>
  </si>
  <si>
    <t>Atender 4.343 formadores en las áreas de patrimonio, artes, recreación y deporte</t>
  </si>
  <si>
    <t>Formación a docentes</t>
  </si>
  <si>
    <t>Realizar 20 procesos de investigación, sistematización y memoria</t>
  </si>
  <si>
    <t>Sistematizar 1 experiencias de la formación a niños/as, adolescentes y docentes en patrimonio cultural.</t>
  </si>
  <si>
    <t>Sistematización de la experiencia</t>
  </si>
  <si>
    <t>Programacion PMR</t>
  </si>
  <si>
    <t>Indique el PMR</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</si>
  <si>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</si>
  <si>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</si>
  <si>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</si>
  <si>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Museo de Bogotá en operación</t>
  </si>
  <si>
    <t>01-Recursos del Distrito 12-Otros Distrito</t>
  </si>
  <si>
    <t>Alcanzar 1.700.000 asistencias al Museo de Bogotá, a recorridos y rutas patrimoniales y a otras prácticas patrimoniales</t>
  </si>
  <si>
    <t xml:space="preserve">13. Oferta cultural para la valoración y divulgación del patrimonio material e  inmaterial de la ciudad </t>
  </si>
  <si>
    <t>03 - Recursos Administrados 20 - Administrados de Destinación Específica</t>
  </si>
  <si>
    <t>Estímulos a iniciativas de la ciudadanía en temas</t>
  </si>
  <si>
    <t>Activación del patrimonio</t>
  </si>
  <si>
    <t xml:space="preserve">Fuente </t>
  </si>
  <si>
    <t>Concepto</t>
  </si>
  <si>
    <t>´01-12</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</si>
  <si>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</si>
  <si>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</si>
  <si>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</si>
  <si>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</si>
  <si>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</si>
  <si>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</si>
  <si>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</si>
  <si>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3-3-1-15-7-42-1110-185</t>
  </si>
  <si>
    <t>Administración y mantenimiento de sedes misionales</t>
  </si>
  <si>
    <t>Incrementar a un 90% la sostenibilidad del sistema integrado de gestión, para prestar un mejor servicio en la atención a la ciudadanía.</t>
  </si>
  <si>
    <t>Mantener el 100% de las sedes misionales a cargo de la entidad.</t>
  </si>
  <si>
    <t>10. Procesos articulados dentro del sistema integrado de gestión.</t>
  </si>
  <si>
    <t>03-Recursos Administrados 21-Administrados de Libre Destinación</t>
  </si>
  <si>
    <t>Incrementar a un 70% la sostenibilidad del sistema integrado de gestión, para prestar un mejor servicio en la atención a la ciudadanía.</t>
  </si>
  <si>
    <t>Adquisición de equipos, materiales y suministros</t>
  </si>
  <si>
    <t>Desarrollar actividades de comunicación e información</t>
  </si>
  <si>
    <t>Personal de apoyo transversal a la gestión institucional</t>
  </si>
  <si>
    <t>Transparencia y atención a la ciudadanía</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</si>
  <si>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</si>
  <si>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</si>
  <si>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</si>
  <si>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</si>
  <si>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Subdirectora General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</si>
  <si>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</si>
  <si>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</si>
  <si>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3-3-1-15-2-17-1112-140</t>
  </si>
  <si>
    <t>Formular el Plan Especial de Manejo y Protección del Centro Historico</t>
  </si>
  <si>
    <t>15. Instrumentos técnicos de gestión para la preservación del patrimonio cultural</t>
  </si>
  <si>
    <t>Plan especial de manejo y protección del centro histórico</t>
  </si>
  <si>
    <t>Formular el 1,5 de planes urbanos en ambitos patrimoniales</t>
  </si>
  <si>
    <t>Planes y proyectos urbanos en ámbitos patrimoniales</t>
  </si>
  <si>
    <t>Instrumentos de gestión, financiación e incentivos</t>
  </si>
  <si>
    <t>Avanzar en la recuperación, conservación y protección de los bienes muebles e inmuebles que constituyen el patrimonio cultural construido de Bogotá, para su promoción y disfrute por parte de la ciudadanía.</t>
  </si>
  <si>
    <t>Recuperación para el uso adecuado y disfrute del espacio público, sostenibilidad del espacio público, generación del espacio público asociado al desarrollo y fortalecimiento de la infraestructura cultural, patrimonial, recreativa y deportiva de la ciudad</t>
  </si>
  <si>
    <t xml:space="preserve">3-3-1-15-2-17-1114-140 </t>
  </si>
  <si>
    <t>4. Obras de Intervención en Bienes muebles - inmuebles y sectores que conforman el patrimonio cultural del D.C.</t>
  </si>
  <si>
    <t>SALDO</t>
  </si>
  <si>
    <t>01-Recursos del Distrito 555-Impuesto al Consumo de Telefonía Móvil</t>
  </si>
  <si>
    <t>01-Recursos del Distrito 265-Recursos de Balance Plusvalía</t>
  </si>
  <si>
    <t>01-Recursos del Distrito 41-Plusvalía</t>
  </si>
  <si>
    <t>Programa Fachadas</t>
  </si>
  <si>
    <t>Actividades de seguimiento arqueológico en intervenciones y acciones sobre bienes de interés cultural</t>
  </si>
  <si>
    <t>Asesoría técnica para la protección y promoción del patrimonio cultural material del distrito capital</t>
  </si>
  <si>
    <t xml:space="preserve">Asesorar tecnicamente el 100% de las solicitudes para la protección del patrimonio cultural material del D.C. </t>
  </si>
  <si>
    <t>1-01-0525</t>
  </si>
  <si>
    <t>´01-555</t>
  </si>
  <si>
    <t>´01-41</t>
  </si>
  <si>
    <t>´01-265</t>
  </si>
  <si>
    <t>1-03-0103</t>
  </si>
  <si>
    <t>3-04-0316</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</si>
  <si>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</si>
  <si>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</si>
  <si>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</si>
  <si>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</si>
  <si>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</si>
  <si>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</si>
  <si>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</si>
  <si>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</si>
  <si>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</si>
  <si>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</si>
  <si>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</si>
  <si>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</si>
  <si>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</si>
  <si>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</si>
  <si>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</si>
  <si>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</si>
  <si>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</si>
  <si>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</si>
  <si>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 xml:space="preserve"> Formación a docentes</t>
  </si>
  <si>
    <t>Objeto</t>
  </si>
  <si>
    <t>Beneficiario</t>
  </si>
  <si>
    <t>Valor RP's</t>
  </si>
  <si>
    <t xml:space="preserve"> Adquisición de equipos, materiales y suministros</t>
  </si>
  <si>
    <t xml:space="preserve"> Desarrollar actividades de comunicación e información</t>
  </si>
  <si>
    <t>Nº contrato</t>
  </si>
  <si>
    <t xml:space="preserve">Personal de apoyo transversal </t>
  </si>
  <si>
    <t xml:space="preserve">3-3-1-15-3-25-1107-158 </t>
  </si>
  <si>
    <t>Valor PAA</t>
  </si>
  <si>
    <t>Còd. Control</t>
  </si>
  <si>
    <t>Total</t>
  </si>
  <si>
    <t>CDP</t>
  </si>
  <si>
    <t>RP</t>
  </si>
  <si>
    <t>OP</t>
  </si>
  <si>
    <t>TOTALES</t>
  </si>
  <si>
    <t>Saldo Apropiacion</t>
  </si>
  <si>
    <t>Valor Viabilidad</t>
  </si>
  <si>
    <t>Valor Giros</t>
  </si>
  <si>
    <t>Proyecto Entidad: 1114. Intervención y conservación de los bienes muebles e inmuebles en sectores de interés cultural del Distrito Capital</t>
  </si>
  <si>
    <t>Subdirector de Intervención</t>
  </si>
  <si>
    <t>Cód.. Control</t>
  </si>
  <si>
    <t>Saldo Apropiación</t>
  </si>
  <si>
    <t>Inicial</t>
  </si>
  <si>
    <t>PREDIS</t>
  </si>
  <si>
    <t>Còdigo Control</t>
  </si>
  <si>
    <t>Programación PMR</t>
  </si>
  <si>
    <t>Realizar 634.250 atenciones a niños, niñas y adolescentes  en el marco del programa Jornada Única  y Tiempo Escolar durante el cuatrienio</t>
  </si>
  <si>
    <r>
      <rPr>
        <b/>
        <sz val="10"/>
        <rFont val="Arial"/>
        <family val="2"/>
      </rPr>
      <t>Proyecto estratégico:</t>
    </r>
    <r>
      <rPr>
        <sz val="10"/>
        <rFont val="Arial"/>
        <family val="2"/>
      </rPr>
      <t xml:space="preserve">  158 Valoración y apropiación social del patrimonio cultural</t>
    </r>
  </si>
  <si>
    <r>
      <rPr>
        <b/>
        <sz val="10"/>
        <rFont val="Arial"/>
        <family val="2"/>
      </rPr>
      <t>PROGRAMA:</t>
    </r>
    <r>
      <rPr>
        <sz val="10"/>
        <rFont val="Arial"/>
        <family val="2"/>
      </rPr>
      <t xml:space="preserve"> 25 Cambio cultural y construcción del tejido social para la vida</t>
    </r>
  </si>
  <si>
    <r>
      <rPr>
        <b/>
        <sz val="10"/>
        <rFont val="Arial"/>
        <family val="2"/>
      </rPr>
      <t>PILAR O EJE:</t>
    </r>
    <r>
      <rPr>
        <sz val="10"/>
        <rFont val="Arial"/>
        <family val="2"/>
      </rPr>
      <t xml:space="preserve"> 03 Construcción de comunidad y cultura ciudadana</t>
    </r>
  </si>
  <si>
    <r>
      <rPr>
        <b/>
        <sz val="10"/>
        <rFont val="Arial"/>
        <family val="2"/>
      </rPr>
      <t>Proyecto estratégico:</t>
    </r>
    <r>
      <rPr>
        <sz val="10"/>
        <rFont val="Arial"/>
        <family val="2"/>
      </rPr>
      <t xml:space="preserve">  124 Formación para la transformación del ser</t>
    </r>
  </si>
  <si>
    <r>
      <rPr>
        <b/>
        <sz val="10"/>
        <rFont val="Arial"/>
        <family val="2"/>
      </rPr>
      <t>PROGRAMA:</t>
    </r>
    <r>
      <rPr>
        <sz val="10"/>
        <rFont val="Arial"/>
        <family val="2"/>
      </rPr>
      <t xml:space="preserve"> 11 Mejores oportunidades para el desarrollo a través de la cultura, la recreación y el deporte</t>
    </r>
  </si>
  <si>
    <r>
      <rPr>
        <b/>
        <sz val="10"/>
        <rFont val="Arial"/>
        <family val="2"/>
      </rPr>
      <t>PILAR O EJE:</t>
    </r>
    <r>
      <rPr>
        <sz val="10"/>
        <rFont val="Arial"/>
        <family val="2"/>
      </rPr>
      <t xml:space="preserve"> 01 Igualdad de calidad de vida</t>
    </r>
  </si>
  <si>
    <t>1400 Bienes de Interés Cultural (BIC) intervenidos</t>
  </si>
  <si>
    <t>01-Recursos del Distrito 270-Recursos del Balance Reaforo Plusvalía</t>
  </si>
  <si>
    <t>NUEVO</t>
  </si>
  <si>
    <t>N.A.</t>
  </si>
  <si>
    <t>PASIVOS EXIGIBLES</t>
  </si>
  <si>
    <t>01-Recursos del Distrito 263- Recursos Pasivos Plusvalia</t>
  </si>
  <si>
    <t>Apropiación</t>
  </si>
  <si>
    <t>01-263</t>
  </si>
  <si>
    <t>01-270</t>
  </si>
  <si>
    <t>03-146</t>
  </si>
  <si>
    <t>03-Recursos Administrados 147-Otros Recursos del balance de destinación específica</t>
  </si>
  <si>
    <t>03- Recursos Administrados 146 Recursos del balance de libre distinaciòn</t>
  </si>
  <si>
    <t>03-147</t>
  </si>
  <si>
    <t>META 1</t>
  </si>
  <si>
    <t>META 2</t>
  </si>
  <si>
    <t>META 3</t>
  </si>
  <si>
    <t>Bienes de Interés Cultural de tipo inmueble intervenidos (Sede Casa Tito)</t>
  </si>
  <si>
    <t>Monumentos en espacio público</t>
  </si>
  <si>
    <t>Monumentos en espacio público (Estudios y diseños para la intervención integral de bienes muebles)</t>
  </si>
  <si>
    <t>Monumentos en espacio público (Intervención y Protección en Monumentos del Distrito)</t>
  </si>
  <si>
    <t>Monumentos en espacio público (Monumento a Los Héroes)</t>
  </si>
  <si>
    <t>Monumentos en espacio público (Monumento Banderas)</t>
  </si>
  <si>
    <t>Monumentos en espacio público 
(Estudios y diseños para la intervención integral de bienes muebles)</t>
  </si>
  <si>
    <t>Monumentos en espacio público
 (Intervención y Protección en Monumentos del Distrito)</t>
  </si>
  <si>
    <t>Monumentos en espacio público 
(Monumento a Los Héroes)</t>
  </si>
  <si>
    <t>Monumentos en espacio público 
(Monumento Banderas)</t>
  </si>
  <si>
    <t>Monumentos en espacio público 
( Simón Bolívar ubicado en la Plaza de Bolívar-Iluminación)</t>
  </si>
  <si>
    <t>Programa Fachadas 
(Intervención y mantenimiento de las Fachadas de las Iglesias San Francisco, Egipto y Candelaria )</t>
  </si>
  <si>
    <t>TOTAL INVERSION 2019</t>
  </si>
  <si>
    <t>TOTAL INVERSIÓN 2019</t>
  </si>
  <si>
    <t>Asesoría técnica</t>
  </si>
  <si>
    <t>-</t>
  </si>
  <si>
    <t>Ejecutar las obras por precios unitarios fijos para la restauración de las naves de la Basílica Menor del Sagrado Corazón de Jesús - Iglesia del Voto Nacional.</t>
  </si>
  <si>
    <t>Pago de trámites y documentación inherente al Proyecto de Intervención de la Iglesia del Voto Nacional del predio ubicado en la Carrera 15 N° 10-43 en la Ciudad de Bogotá, D. C.</t>
  </si>
  <si>
    <t>Prestar servicios profesionales al Instituto Distrital de Patrimonio Cultural  para apoyar la revisión y organización de los insumos técnicos y documentación inherente al proyecto de intervención de BIC Voto Nacional.</t>
  </si>
  <si>
    <t>Realizar la interventoría integral del contrato de obra que tiene por objeto: "Ejecutar las obras por precios unitarios fijos para la restauración de las naves de la Basílica Menor del Sagrado Corazón de Jesús - Iglesia del Voto Nacional."</t>
  </si>
  <si>
    <t>1401 Bienes de Interés Cultural (BIC) intervenidos</t>
  </si>
  <si>
    <t>1402 Bienes de Interés Cultural (BIC) intervenidos</t>
  </si>
  <si>
    <t>Prestar servicios profesionales al Instituto Distrital de Patrimonio Cultural para apoyar el desarrollo y seguimiento del manejo arqueológico en los proyectos de Intervención en los que el Instituto se vea involucrado.</t>
  </si>
  <si>
    <t>Prestar servicios profesionales al Instituto Distrital de Patrimonio Cultural para orientar el acompañamiento y seguimiento en el desarrollo del manejo arqueológico en los proyectos de Intervención en los que el Instituto se vea involucrado.</t>
  </si>
  <si>
    <t>Valor dirigido para reconocer la afiliación de riesgos laborales Nivel 5 de los contratistas de la Subdirección de Intervención.</t>
  </si>
  <si>
    <t>1403 Bienes de Interés Cultural (BIC) intervenidos</t>
  </si>
  <si>
    <t>1404 Bienes de Interés Cultural (BIC) intervenidos</t>
  </si>
  <si>
    <t>1405 Bienes de Interés Cultural (BIC) intervenidos</t>
  </si>
  <si>
    <t>1406 Bienes de Interés Cultural (BIC) intervenidos</t>
  </si>
  <si>
    <t>1407 Bienes de Interés Cultural (BIC) intervenidos</t>
  </si>
  <si>
    <t>1408 Bienes de Interés Cultural (BIC) intervenidos</t>
  </si>
  <si>
    <t>1409 Bienes de Interés Cultural (BIC) intervenidos</t>
  </si>
  <si>
    <t>1410 Bienes de Interés Cultural (BIC) intervenidos</t>
  </si>
  <si>
    <t>1411 Bienes de Interés Cultural (BIC) intervenidos</t>
  </si>
  <si>
    <t>1412 Bienes de Interés Cultural (BIC) intervenidos</t>
  </si>
  <si>
    <t>1413 Bienes de Interés Cultural (BIC) intervenidos</t>
  </si>
  <si>
    <t>1414 Bienes de Interés Cultural (BIC) intervenidos</t>
  </si>
  <si>
    <t>1415 Bienes de Interés Cultural (BIC) intervenidos</t>
  </si>
  <si>
    <t>1416 Bienes de Interés Cultural (BIC) intervenidos</t>
  </si>
  <si>
    <t>1417 Bienes de Interés Cultural (BIC) intervenidos</t>
  </si>
  <si>
    <t>1418 Bienes de Interés Cultural (BIC) intervenidos</t>
  </si>
  <si>
    <t>1419 Bienes de Interés Cultural (BIC) intervenidos</t>
  </si>
  <si>
    <t>1420 Bienes de Interés Cultural (BIC) intervenidos</t>
  </si>
  <si>
    <t>1421 Bienes de Interés Cultural (BIC) intervenidos</t>
  </si>
  <si>
    <t>1422 Bienes de Interés Cultural (BIC) intervenidos</t>
  </si>
  <si>
    <t>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</si>
  <si>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Prestar servicios de apoyo a la gestión al Instituto Distrital de Patrimonio Cultural para atención y notificación al usuario, y demás actividades administrativas de la Subdirección de Intervención.</t>
  </si>
  <si>
    <t>Prestar servicios profesionales al Instituto Distrital de Patrimonio Cultural para apoyar las actividades de gestión del Sistema de Información Geográfico para el inventario de bienes inmuebles del  Distrito Capital a cargo de la Subdirección de Intervención.</t>
  </si>
  <si>
    <t>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</si>
  <si>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</si>
  <si>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Prestar servicios profesionales al Instituto Distrital de Patrimonio Cultural para apoyar la revisión y acompañamiento del componente estructural y de ingeniería de las acciones y solicitudes de intervención en Bienes de Interés Cultural (BIC).</t>
  </si>
  <si>
    <t>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</si>
  <si>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</si>
  <si>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</si>
  <si>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profesionales al Instituto Distrital de Patrimonio Cultural para apoyar las actividades de soporte técnico y evaluación de las solicitudes y acciones de control urbano que se presenten sobre BIC y SIC del Distrito Capital.</t>
  </si>
  <si>
    <t>Prestar servicios profesionales al Instituto Distrital de Patrimonio Cultural para apoyar las actividades de soporte técnico y evaluación de las solicitudes de equiparación a estrato 1 y de control urbano de intervenciones en BIC.</t>
  </si>
  <si>
    <t>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</si>
  <si>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Prestar servicios profesionales al Instituto Distrital de Patrimonio Cultural, apoyando los tramites de evaluación de los proyectos de manejo y protección del patrimonio cultural, y solicitudes de intervención sobre Bienes y Sectores de Interés Cultural.</t>
  </si>
  <si>
    <t>Prestar servicios profesionales especializados al Instituto Distrital de Patrimonio Cultural, como apoyo jurídico a la evaluación de las solicitudes de intervención sobre Bienes y Sectores de Interés Cultural.</t>
  </si>
  <si>
    <t>Prestar servicios profesionales al Instituto Distrital de Patrimonio Cultural, como apoyo jurídico a la evaluación de las solicitudes de intervención sobre Bienes y Sectores de Interés Cultural.</t>
  </si>
  <si>
    <t>Prestar servicios al Instituto Distrital de Patrimonio Cultural para apoyar el seguimiento administrativo y jurídico de los procesos contractuales y proyectos de intervención a cargo de la Subdirección de Intervención.</t>
  </si>
  <si>
    <t>Prestar servicios de apoyo a la gestión al Instituto Distrital de Patrimonio Cultural en actividades técnicas y de seguimiento en los procesos de ejecución y terminación de proyectos de obra, interventoría o convenios ejecutados por el Instituto.</t>
  </si>
  <si>
    <t>Prestar servicios de apoyo a la gestión al Instituto Distrital de Patrimonio Cultural en la asistencia y desarrollo de actividades operativas de la Subdirección de Intervención.</t>
  </si>
  <si>
    <t>Prestar servicios de apoyo a la gestión al Instituto Distrital de Patrimonio Cultural para acompañar la recepción, registro de documentos y expedientes en el marco de los procesos adelantados por la Subdirección de Intervención.</t>
  </si>
  <si>
    <t>Prestar servicios de apoyo administrativo al Instituto Distrital de Patrimonio Cultural en los procesos contractuales de la Subdirección de Intervención.</t>
  </si>
  <si>
    <t>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</si>
  <si>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Prestar servicios profesionales al Instituto Distrital de Patrimonio Cultural apoyando la estructuración técnica de los procesos precontractuales para las acciones de gestión e intervención del patrimonio cultural del Distrito Capital.</t>
  </si>
  <si>
    <t>Prestar servicios profesionales al Instituto Distrital de Patrimonio Cultural en la planeación, seguimiento y control de la ejecución administrativa y de metas del proyecto de inversión de la Subdirección de Intervención.</t>
  </si>
  <si>
    <t>Prestar servicios profesionales al Instituto Distrital de Patrimonio Cultural en las actividades administrativas y de apoyo a la ejecución de los proyectos de inversión de la Subdirección de Intervención.</t>
  </si>
  <si>
    <t>Prestar servicios profesionales al Instituto Distrital de Patrimonio Cultural para apoyar el apoyo jurídico en las etapas de estructuración y ejecución de los contratos que requiera la subdirección de intervención de conformidad con las normas vigentes que rigen la contratación pública. </t>
  </si>
  <si>
    <t>Prestar servicios profesionales al Instituto Distrital de Patrimonio Cultural para apoyar la estructuración técnica y presupuestos de los procesos de selección que se desarrollan para la gestión e intervención del patrimonio cultural del Distrito Capital.</t>
  </si>
  <si>
    <t>Prestar servicios profesionales al Instituto Distrital de Patrimonio Cultural para apoyar la planeación y control administrativo y de la gestión financiera, en el desarrollo de las acciones de intervención y protección del patrimonio cultural del Distrito Capital.</t>
  </si>
  <si>
    <t>Prestar servicios profesionales al Instituto Distrital de Patrimonio Cultural para brindar asesoría técnica y seguimiento integral de los procesos y acciones de protección e intervención del patrimonio cultural a cargo de la Subdirección de Intervención.</t>
  </si>
  <si>
    <t>Prestar servicios profesionales al Instituto Distrital de Patrimonio Cultural para brindar soporte, seguimiento y apoyo a los procesos y proyectos de intervención y/o protección de patrimonio cultural, para garantizar su desarrollo y cumplimiento.</t>
  </si>
  <si>
    <t>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</si>
  <si>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Prestar servicios profesionales al Instituto Distrital de Patrimonio Cultural para realizar el acompañamiento de los contratos relacionados con la ejecución de la restauración integral de la Iglesia del Voto Nacional.</t>
  </si>
  <si>
    <t>Prestar servicios profesionales al Instituto Distrital de Patrimonio Cultural para realizar el monitoreo, seguimiento y apoyo a los procesos y proyectos de intervención y/o protección de patrimonio cultural, para garantizar su desarrollo y cumplimiento.</t>
  </si>
  <si>
    <t>Prestar servicios profesionales al Instituto Distrital de Patrimonio Cultural para realizar la planificación, programación y control de las acciones de intervención y protección a cargo de la Subdirección de Intervención.</t>
  </si>
  <si>
    <t>Prestar servicios profesionales al Instituto Distrital de Patrimonio Cultural, para acompañar la revisión de los estudios y emisión de conceptos de las obras de intervención que desarrolle la Entidad.</t>
  </si>
  <si>
    <t>Prestar servicios profesionales especializados para apoyar al Instituto Distrital de Patrimonio Cultural en los temas relacionados con estructuración y ejecución de obras en proyectos de conservación y restauración en bienes inmuebles de interés cultural.</t>
  </si>
  <si>
    <t>Prestar servicios profesionales para apoyar las actividades técnicas y operativas para el desarrollo de los proyectos de protección e intervención del patrimonio a cargo de la Subdirección de Intervención.</t>
  </si>
  <si>
    <t>Contratar insumos de ferretería, materiales y herramientas requeridas para la ejecución de intervenciones técnicas necesarias para el enlucimiento de fachadas, limpieza y mantenimiento de los Bienes de Interés Cultural muebles en espacio público e instalaciones que se utilizan para la prestación del servicio del Instituto Distrital de Patrimonio Cultural, en la ciudad de Bogotá D.C.</t>
  </si>
  <si>
    <t xml:space="preserve">Prestar servicios de apoyo a la gestión al Instituto Distrital de Patrimonio Cultural en áreas de seguridad industrial y acompañamiento en las labores de campo adelantadas por la Subdirección de Intervención. </t>
  </si>
  <si>
    <t xml:space="preserve">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</si>
  <si>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Prestar servicios de apoyo a la gestión al Instituto Distrital de Patrimonio Cultural para el monitoreo de las acciones de intervención adelantadas en el marco del Programa de enlucimiento de fachadas "El Patrimonio se Luce", de acuerdo con la programación establecida.</t>
  </si>
  <si>
    <t>Prestar servicios de apoyo a la gestión al Instituto Distrital de Patrimonio Cultural para la correcta ejecución de las intervenciones adelantadas por el Programa de enlucimiento de fachadas "El Patrimonio se Luce", de acuerdo con la programación establecida.</t>
  </si>
  <si>
    <t>Prestar servicios profesionales al Instituto Distrital de Patrimonio Cultural  para apoyar las actividades logísticas y técnicas orientadas a la sensibilización y apropiación de la cultura ciudadana como instrumento de gestión social en el marco del programa de enlucimiento de fachadas "El Patrimonio se Luce".</t>
  </si>
  <si>
    <t>Prestar servicios profesionales al Instituto Distrital de Patrimonio Cultural para apoyar el seguimiento en obra de las jornadas de enlucimiento que realice el programa de Fachadas y de las acciones de intervención sobre Bienes de Interés Cultural en espacio público.</t>
  </si>
  <si>
    <t>Prestar servicios profesionales al Instituto Distrital de Patrimonio Cultural para apoyar el seguimiento técnico y administrativo en sitio de las intervenciones adelantadas por el Programa de Enlucimiento de Fachadas.</t>
  </si>
  <si>
    <t>Prestar servicios profesionales al Instituto Distrital de Patrimonio Cultural para apoyar la gestión y seguimiento administrativo de las acciones de intevención en espacio público y fachadas que se adelantan en el marco del Programa Enlucimiento de Fachadas.</t>
  </si>
  <si>
    <t>Prestar servicios profesionales al Instituto Distrital de Patrimonio Cultural para apoyar las acciones de intervención sobre fachadas y espacio público.</t>
  </si>
  <si>
    <t>Prestar servicios profesionales al Instituto Distrital de Patrimonio Cultural para orientar y verificar la implementación de las acciones de intervención y protección del Programa El Patrimonio se Luce.</t>
  </si>
  <si>
    <t>Prestar servicios profesionales al Instituto Distrital de Patrimonio Cultural, apoyando las actividades preliminares de campo, en el marco de las acciones de intevención en espacio público y fachadas.</t>
  </si>
  <si>
    <t>Prestar servicios profesionales al Instituto Distrital de Patrimonio Cultural como apoyo a la gestión en los procesos editoriales y de investigación desarrollados por la Subdirección de Divulgación de los Valores del Patrimonio Cultural.</t>
  </si>
  <si>
    <t>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t>
  </si>
  <si>
    <t>Prestar servicios profesionales al Instituto Distrital de Patrimonio Cultural para acompañar la planeación y desarrollo de los procesos de contratación sin límite de cuantía, así como el impulso de los trámites jurídico/legales que se generen en el marco de las funciones de la Subdirección de Divulgación de los Valores del Patrimonio Cultural.</t>
  </si>
  <si>
    <t>Prestar servicios profesionales  al Instituto Distrital de Patrimonio Cultural para llevar a cabo los procesos de corrección de estilo de los textos y publicaciones adelantadas por la Subdirección de Divulgación de los Valores del Patrimonio Cultural.</t>
  </si>
  <si>
    <t>Prestar servicios profesionales al Instituto Distrital de Patrimonio Cultural para realizar el registro fotográfico y audiovisual requerido para la ejecución de la estrategia de apropiación social del patrimonio cultural.</t>
  </si>
  <si>
    <t>Prestar servicios profesionales al Instituto Distrital de Patrimonio Cultural para orientar las actividades periodísticas y de prensa requeridas en la estrategia de apropiación social del patrimonio cultural.</t>
  </si>
  <si>
    <t>Prestar servicios profesionales al Instituto Distrital de Patrimonio Cultural para orientar las estrategias encaminados a la salvaguardia y apropiación social del patrimonio cultural inmaterial.</t>
  </si>
  <si>
    <t>Prestar servicios profesionales al Instituto Distrital de Patrimonio Cultural para apoyar las actividades de comunicación y generación de contenidos requeridos para el desarrollo de la estrategia de apropiación social del patrimonio cultural.</t>
  </si>
  <si>
    <t>Adquisición de equipos de cómputo y periféricos requeridos para el desarrollo administrativo y misional del Instituto Distrital de Patrimonio Cultural</t>
  </si>
  <si>
    <t>Prestar servicios profesionales al Instituto Distrital del Patrimonio Cultural para apoyar la ejecucón de los trámites y procesos requeridos para la producción de los eventos generados en el marco de la estrategia de apropiación social del patrimonio cultural.</t>
  </si>
  <si>
    <t>Prestar servicios profesionales al Instituto Distrital de Patrimonio Cultural para apoyar el desarrollo de estrategias orientadas a la apropiación social y salvaguardia del Patrimonio Cultural Inmaterial.</t>
  </si>
  <si>
    <t>Prestar servicios profesionales al Instituto Distrital de Patrimonio Cultural para acompañar la producción audiovisual y multimedial requerida para el desarrollo de la estrategia de apropiación social del patrimonio cultural.</t>
  </si>
  <si>
    <t>Prestar servicios profesionales al Instituto Distrital de Patrimonio Cultural para orientar el diseño gráfico y diagramación de los productos de divulgación en el marco del proyecto de apropiación social del Patrimonio Cultural Inmaterial "Patrimonios Locales".</t>
  </si>
  <si>
    <t>Prestar servicios profesionales al Instituto Distrital de Patrimonio Cultural para apoyar los procesos documentales del Centro de Documentación.</t>
  </si>
  <si>
    <t>Prestar servicios profesionales al Instituto Distrital de Patrimonio Cultural en las actividades de producción de contenidos audiovisuales requeridos para el desarrollo de la estrategia de apropiación social del patrimonio cultural.</t>
  </si>
  <si>
    <t>Prestar servicios profesionales al Instituto Distrital de Patrimonio Cultural para apoyar los procesos de control presupuestal, seguimiento a indicadores y sistema integrado de gestión, requerido en el marco de las funciones de la Subdirección de Divulgación de los Valores del Patrimonio Cultural.</t>
  </si>
  <si>
    <t>Prestar servicios profesionales al Instituto Distrital de Patrimonio Cultural para apoyar el desarrollo de los contenidos requeridos para la publicación sobre la Iglesia San Ignacio de Bogotá.</t>
  </si>
  <si>
    <t>Prestar servicios profesionales al Instituto Distrital de Patrimonio Cultural para apoyar la planificación y ejecución del programa de recorridos urbanos en el marco de la estrategia de apropiación social del patrimonio cultural.</t>
  </si>
  <si>
    <t>Prestar servicios de apoyo a la gestión al Instituto Distrital de Patrimonio Cultural en la ejecución de recorridos naturales realizados en el marco de la estrategia de apropiación social del patrimonio cultural.</t>
  </si>
  <si>
    <t>Prestar servicios de apoyo a la gestión al Instituto Distrital de Patrimonio Cultural en las actividades administrativas y operativas desarrollados por la Subdirección de Divulgación de los Valores del Patrimonio Cultural.</t>
  </si>
  <si>
    <t>Prestar servicios profesionales al Instituto Distrital de Patrimonio Cultural para realizar el registro fotográfico y audiovisual requerido para la ejecución de la estrategia de comunicaciones de la entidad.</t>
  </si>
  <si>
    <t>Prestar servicios profesionales al Instituto Distrital de Patrimonio Cultural para apoyar el desarrollo de los contenidos requeridos para la publicación sobre inmuebles de valor patrimonial en Bogotá.</t>
  </si>
  <si>
    <t>Prestar servicios profesionales al Instituto Distrital de Patrimonio Cultural para apoyar las estrategias relacionadas con la apropiación social del patrimonio cultural inmaterial de la ciudad, así como otras actividades y proyectos de la Subdirección de Divulgación de los Valores del Patrimonio Cultural.</t>
  </si>
  <si>
    <t>Prestar servicios profesionales al Instituto Distrital de Patrimonio Cultural para orientar la estrategia de apropiación social del patrimonio cultural.</t>
  </si>
  <si>
    <t xml:space="preserve">Prestar servicios profesionales al Instituto Distrital de Patrimonio Cultural para apoyar los procesos de inventario, catalogación y organización de los fondos documentales que conforman el Centro de Documentación. </t>
  </si>
  <si>
    <t>Prestar servicios profesionales al Instituto Distrital de Patrimonio Cultural para apoyar el diseño de piezas gráficas y de comunicación requeridas para la ejecución de la estrategia de comunicaciones de la entidad y de apropiación social del patrimonio cultural.</t>
  </si>
  <si>
    <t>Adquisición de material bibliográfico requerido para el incremento de los fondos documentales del Centro de Dcumentación del Instituto Distrital de Patrimonio Cultural.</t>
  </si>
  <si>
    <t>Prestar servicios profesionales al Instituto Distrital de Patrimonio Cultural para acompañar el desarrollo del componente histórico de la estrategia de apropiación social del patrimonio cultural.</t>
  </si>
  <si>
    <t>Prestar servicios profesionales al Instituto Distrital de Patrimonio Cultural para apoyar las actividades de comunicación interna y organización de archivo fotográfico de la Subdirección de Divulgación de los Valores del Patrimonio Cultural.</t>
  </si>
  <si>
    <t xml:space="preserve">Prestar servicios profesionales al Instituto Distrital de Patrimonio Cultural para orientar el Programa de Patrimonios Locales y otras iniciativas que contribuyan a la salvaguardia y apropiación social del Patrimonio Cultural Inmaterial. </t>
  </si>
  <si>
    <t>Prestar servicios profesionales al Instituto Distrital de Patrimonio Cultural en el seguimiento a la ejecución de los procesos de planeación presupuestal y contractual, realizados en el marco de los proyectos a cargo de la Subdirección de Divulgación de los Valores del Patrimonio Cultural.</t>
  </si>
  <si>
    <t>Prestar servicios profesionales al Instituto Distrital de Patrimonio Cultural para apoyar el desarrollo de los contenidos requeridos para la publicación sobre monumentos en espacio público de Bogotá.</t>
  </si>
  <si>
    <t>Prestar servicios profesionales al Instituto Distrital de Patrimonio Cultural para apoyar el desarrollo de los contenidos requeridos para la publicación sobre el Plan Especial de Manejo y Protección PEMP del Centro Histórico de Bogotá.</t>
  </si>
  <si>
    <t>Prestar servicios profesionales al Instituto Distrital de Patrimonio Cultural para apoyar las acciones de diseño gráfico y diagramación de las publicaciones y proyectos editoriales adelantados en el marco de la estrategia de apropiación social del patrimonio cultural</t>
  </si>
  <si>
    <t>Prestar servicios profesionales al Instituto Distrital de Patrimonio Cultural para llevar a cabo las actividades periodísticas requeridas en la estrategia de apropiación social del patrimonio cultural.</t>
  </si>
  <si>
    <t>Prestar servicios profesionales al Instituto Distrital de Patrimonio Cultural para apoyar la gestión de prensa generada en el marco de la estrategia de comunicaciones del IDPC.</t>
  </si>
  <si>
    <t>Prestar servicios profesionales al Instituto Distrital de Patrimonio Cultural para apoyar el desarrollo de los contenidos requeridos para la publicación sobre los proyectos evaluados y aprobados por el IDPC en contextos patrimoniales.</t>
  </si>
  <si>
    <t>Contratar el proceso de impresión, encuadernación y acabados de los impresos y publicaciones requeridos para el desarrollo de los proyectos misionales adelantados por la Subdirección de Divulgación del Instituto Distrital de Patrimonio Cultural.</t>
  </si>
  <si>
    <t>Contratar el desarrollo y diseño de la página web, así como las herramientas digitales conexas requeridas por el Instituto Distrital de Patrimonio Cultural para la formación y divulgación del patrimonio cultural del Distrito Capital.</t>
  </si>
  <si>
    <t>Prestar servicios de apoyo a la gestión al Instituto Distrital de Patrimonio Cultural como guía de los recorridos urbanos realizados en el marco de la estrategia de apropiación social del patrimonio cultural.</t>
  </si>
  <si>
    <t xml:space="preserve">Prestar servicios profesionales al Instituto Distrital de Patrimonio Cultural para apoyar las actividades de implementación del proyecto de apropiación social del Patrimonio Cultural Inmaterial "Patrimonios Locales". </t>
  </si>
  <si>
    <t xml:space="preserve">Prestar servicios profesionales al Instituto Distrital de Patrimonio Cultural para apoyar las actividades de implementación del proyecto de apropiación social del Patrimonio Cultural Inmaterial "Patrimonios Locales".  </t>
  </si>
  <si>
    <t>Prestar servicios profesionales al Instituto Distrital de Patrimonio Cultural para orientar la ejecución de los proyectos editoriales y de investigación desarrollados en el marco de la estrategia de apropiación social del patrimonio cultural.</t>
  </si>
  <si>
    <t>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</si>
  <si>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Prestar servicios profesionales al Instituto Distrital de Patrimonio Cultural para acompañar el desarrollo de publicaciones generadas en el marco de la estrategia de apropiación social del patrimonio cultural.</t>
  </si>
  <si>
    <t>Prestar servicios profesionales al Instituto Distrital de Patrimonio Cultural para orientar la estructuración e implementación de las acciones de fomento a las prácticas del patrimonio cultural.</t>
  </si>
  <si>
    <t>Prestar servicios profesionales al Instituto Distrital de Patrimonio Cultural para apoyar la implementación de las acciones de fomento a las prácticas del patrimonio cultural.</t>
  </si>
  <si>
    <t>Convocatoria dirigida a grupos étnicos</t>
  </si>
  <si>
    <t>Programa Distrital de Apoyos Concertados - 2019</t>
  </si>
  <si>
    <t>Prestar servicios profesionales al Instituto Distrital de Patrimonio Cultural para apoyar en la implementación en aula del programa de formación en patrimonio cultural CIVINAUTAS, dirigido a estudiantes de colegios distritales.</t>
  </si>
  <si>
    <t>Prestar servicios profesionales al Instituto Distrital de Patrimonio Cultural para acompañar el componente de apropiación social del patrimonio de los procesos de formación en patrimonio cultural, en el marco del proyecto de inversión 1024 - Formación en patrimonio cultural.</t>
  </si>
  <si>
    <t>Valor correspondiente para reconocer el pago de la planilla integrada de aportes a riesgos laborales con tarifa tipo V de los contratistas de la Subdirección de Divulgación.</t>
  </si>
  <si>
    <t>Prestar los servicios requeridos por el Instituto Distrital de Patrimonio Cultural para atender las actividades y proyectos relacionados con la formación y divulgación del patrimonio cultural del Distrito Capital.</t>
  </si>
  <si>
    <t xml:space="preserve"> Prestar servicios profesionales al Instituto Distrital de Patrimonio Cultural para apoyar las actividades administrativas del programa de formación en patrimonio cultural CIVINAUTAS, dirigido a estudiantes de colegios distritales.</t>
  </si>
  <si>
    <t>Contratar la impresión del material divulgativo requerido para la ejecución de los procesos misionales de la Subdirección de Divulgación del Instituto Distrital de Patrimonio Cultural.</t>
  </si>
  <si>
    <t>Suministro de papelería, elementos de oficina, útiles escolares y material fungible requeridos para el desarrollo administrativo y misional del Instituto Distrital de Patrimonio Cultural.</t>
  </si>
  <si>
    <t>Prestar servicios profesionales al Instituto Distrital de Patrimonio Cultural para acompañar el componente pedagógico de los procesos de formación en patrimonio cultural, en el marco del proyecto de inversión 1024 - Formación en patrimonio cultural.</t>
  </si>
  <si>
    <t>Prestar servicios profesionales al Instituto Distrital de Patrimonio Cultural como apoyo en la gestión territorial de los procesos de formación, en el marco del proyecto de inversión 1024 - Formación en patrimonio cultural.</t>
  </si>
  <si>
    <t>Prestar servicios profesionales al Instituto Distrital de Patrimonio Cultural para orientar los procesos de formación en patrimonio cultural, en el marco del proyecto de inversión 1024 - Formación en patrimonio cultural.</t>
  </si>
  <si>
    <t>Adquisición de equipos de cómputo y periféricos requeridos para el desarrollo administrativo y misional del Instituto Distrital de Patrimonio Cultural.</t>
  </si>
  <si>
    <t>Prestar servicios profesionales al Instituto Distrital de Patrimonio Cultural para apoyar las acciones de diseño gráfico del Museo de Bogotá.</t>
  </si>
  <si>
    <t>Prestar servicios profesionales al Instituto Distrital de Patrimonio Cultural para orientar la planificación de las líneas de acción del Museo de Bogotá.</t>
  </si>
  <si>
    <t>Gastos de TI MdB</t>
  </si>
  <si>
    <t>Adquisición de equipos de comunicación, audio, video y conexos requeridos para el desarrollo de las actividades misionales adelantadas por la Subdirección de Divulgación de los Valores del Patrimonio Cultural.</t>
  </si>
  <si>
    <t>Prestar servicios profesionales al Instituto Distrital de Patrimonio Cultural para apoyar el diseño museográfico de los proyectos adelantados por el Museo de Bogotá.</t>
  </si>
  <si>
    <t>Prestar servicios profesionales al Instituto Distrital de Patrimonio Cultural en las actividades relacionadas con el desarrollo del guion curatorial para la exposición temporal del Museo de Bogotá sobre el Bicentenario de la ciudad.</t>
  </si>
  <si>
    <t>Prestar servicios profesionales al Instituto Distrital de Patrimonio Cultural en el desarrollo del guion curatorial para la exposición temporal del Museo de Bogotá sobre Bogotá, en medios impresos.</t>
  </si>
  <si>
    <t>Prestar servicios profesionales al Instituto Distrital de Patrimonio Cultural en el desarrollo del guion curatorial para la exposición temporal del Museo de Bogotá sobre la obra fotográfica "Germán Téllez".</t>
  </si>
  <si>
    <t>Adquisición de equipos de control ambiental para las salas de exposición del Museo de Bogotá y para el archivo de gestión del Instituto Distrital de Patrimonio Cultural.</t>
  </si>
  <si>
    <t>Prestar servicios al Instituto Distrital de Patrimonio Cultural como apoyo a la gestión en la planificación y ejecución del portafolio de servicios educativos y culturales del Museo de Bogotá.</t>
  </si>
  <si>
    <t>Prestar servicios profesionales al Instituto Distrital de Patrimonio Cultural para orientar las actividades de curaduría y museología del Museo de Bogotá.</t>
  </si>
  <si>
    <t>Prestar servicios profesionales al Instituto Distrital de Patrimonio Cultural para apoyar los procesos de investigación, estructuración y redacción de guiones museológicos requeridos por el Museo de Bogotá.</t>
  </si>
  <si>
    <t>Prestar servicios de apoyo a la gestión al Instituto Distrital de Patrimonio Cultural en los trámites administrativos y operativos generados en la operación del Museo de Bogotá.</t>
  </si>
  <si>
    <t>Contratar la iluminación museográfica requerida para las salas de exposición del Museo de Bogotá del Instituto Distrital de Patrimonio Cultural.</t>
  </si>
  <si>
    <t>Prestar servicios profesionales al Instituto Distrital de Patrimonio Cultural para orientar los procesos museográficos requeridos por el Museo de Bogotá.</t>
  </si>
  <si>
    <t>Prestar servicios profesionales al Instituto Distrital de Patrimonio Cultural para acompañar el componente pedagógico y didáctico del portafolio de servicios educativos y culturales del Museo de Bogotá.</t>
  </si>
  <si>
    <t>Prestar servicios profesionales al Instituto Distrital de Patrimonio Cultural en la ejecución de los procesos de mediación y generación de contenidos pedagógicos del portafolio de servicios educativos y culturales del Museo de Bogotá.</t>
  </si>
  <si>
    <t xml:space="preserve"> Prestar servicios profesionales al Instituto Distrital de Patrimonio Cultural para apoyar las acciones de diseño gráfico del Museo de Bogotá .</t>
  </si>
  <si>
    <t>Contratar la adquisición de licencias de software para los equipos de cómputo de Instituto Distrital de Patrimonio Cultural.</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</si>
  <si>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</si>
  <si>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llevar a cabo las actividades de registro y catalogación de la colección del Museo de Bogotá.</t>
  </si>
  <si>
    <t>Prestar servicios profesionales al Instituto Distrital de Patrimonio Cultural para acompañar el diseño, programación y desarrollo de las actividades del portafolio de servicios educativos y culturales del Museo de Bogotá.</t>
  </si>
  <si>
    <t>Contratar el  saneamiento ambiental requerido para las las sedes del Museo de Bogotá del Instituto Distrital de Patrimonio Cultural.</t>
  </si>
  <si>
    <t>Prestar servicios profesionales al Instituto Distrital de Patrimonio Cultural para orientar los procesos de gestión de la colección del Museo de Bogotá</t>
  </si>
  <si>
    <t>Prestar servicios de apoyo a la gestión al Instituto Distrital de Patrimonio Cultural en los procesos de montaje y actividades logísticas requeridas por el Museo de Bogotá.</t>
  </si>
  <si>
    <t>Prestar servicios profesionales al Instituto Distrital de Patrimonio Cultural para apoyar el desarrollo del plan de exposiciones temporales del Museo de Bogotá y los requerimientos asociados a los planes y proyectos especiales de la entidad.</t>
  </si>
  <si>
    <t>Museo de la ciudad autoconstruida</t>
  </si>
  <si>
    <t>Contratar la prestación del servicio integral de aseo, cafetería y fumigación, incluidos los insumos, para las sedes del Instituto Distrital de Patrimonio Cultural.</t>
  </si>
  <si>
    <t>Prestar servicios de apoyo a la gestión al Instituto Distrital de Patrimonio Cultural en los procesos de digitalización de la Colección del Museo de Bogotá.</t>
  </si>
  <si>
    <t xml:space="preserve">Prestar servicios profesionales al Instituto Distrital de Patrimonio Cultural para acompañar el componente histórico de los procesos curatoriales desarrollados por el Museo de Bogotá. </t>
  </si>
  <si>
    <t>Prestar servicios al Instituto Distrital de Patrimonio Cultural para llevar a cabo el proceso de desarme, traslado y armado del tranvía de mulas, pieza museográfica central de la sala: "Sobre rieles, el tranvía en Bogotá" del Museo de Bogotá.</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</si>
  <si>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</si>
  <si>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el mantenimiento de equipos de medición ambiental de propiedad del Instituto Distrital de Patrimonio Cultural.</t>
  </si>
  <si>
    <t>NA</t>
  </si>
  <si>
    <t>SALDO DEL COMPONENTE MUSEO EN OPERACIÓN</t>
  </si>
  <si>
    <t xml:space="preserve">Lograr 216.615 asistentes a la oferta generada por el Instituto en actividades de patrimonio cultural </t>
  </si>
  <si>
    <t>Apoyar 24 iniciativas de la ciudadanía en temas de patrimonio cultural.</t>
  </si>
  <si>
    <t>Ofrecer 410 actividades que contribuyan a activar el patrimonio cultural</t>
  </si>
  <si>
    <t>Contratar un programa de seguros que ampare los bienes e intereses patrimoniales del Instituto Distrital de Patrimonio Cultural y aquellos por los cuales sea o llegare a ser responsable.</t>
  </si>
  <si>
    <t>Adición y prórroga del contrato 305 de 2018 que tiene por objeto: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</si>
  <si>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la prestación del servicio de mantenimiento preventivo y correctivo de bienes inmuebles propiedad y a cargo del Instituto Distrital de Patrimonio Cultural.</t>
  </si>
  <si>
    <t>Servicios Públicos</t>
  </si>
  <si>
    <t>Compra de estantes rodantes para las cajas de archivo  requeridas para la organización del archivo de gestión  del Instituto Distrital de Patrimonio Cultural</t>
  </si>
  <si>
    <t>Contratar el arrendamiento de equipos de impresión para el Instituto Distrital de Patrimonio Cultural, incluido el mantenimiento y soporte técnico preventivo y correctivo programado con suministro de tóner permanente, así como el soporte técnico extraordinario cada vez que se requiera.</t>
  </si>
  <si>
    <t>Adquisición de mobiliario para la sede administrativa del Instituto Distrital de Patrimonio Cultural.</t>
  </si>
  <si>
    <t>Contratar el alquiler e instalación de computadores de escritorio con su respectiva configuración y puesta en funcionamiento en las instalaciones del Instituto Distrital de Patrimonio Cultural.</t>
  </si>
  <si>
    <t>Adquisición de licencias de software especializados para los equipos de cómputo del IDPC</t>
  </si>
  <si>
    <t>Contratar la renovación y ampliación del almacenamiento de la solución de respaldo de información para el Instituto Distrital de Patrimonio Cultural.</t>
  </si>
  <si>
    <t>Prestar servicios profesionales al Instituto Distrital de Patrimonio Cultural en las actividades de soporte técnico y los trámites precontractuales para la adquisición de bienes y servicios relacionados con el sistema de información y tecnología de la entidad.</t>
  </si>
  <si>
    <t xml:space="preserve">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</si>
  <si>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Prestar servicios profesionales al Instituto Distrital de Patrimonio Cultural para apoyar las actividades técnicas requeridas en aplicación del Sistema de Información Geográfica -SIG_PC-.</t>
  </si>
  <si>
    <t>Prestar servicios de apoyo a la gestión al Instituto Distrital de Patrimonio Cultural en las actividades de soporte técnico del sistema de  información y tecnología de la entidad.</t>
  </si>
  <si>
    <t>Prestar servicios profesionales al Instituto Distrital de Patrimonio Cultural para realizar acciones relacionadas con la implementación y consolidación del Sistema de Información Geográfica -SIG_PC-.</t>
  </si>
  <si>
    <t>Prestar servicios de apoyo a la gestión  al Instituto Distrital de Patrimonio Cultural para ejecutar las actividades relacionadas con el Programa de gestión Documental - PGD  y el Plan Institucional de Archivos PINAR.</t>
  </si>
  <si>
    <t xml:space="preserve">Prestar servicios profesionales al Instituto de Patrimonio Cultural para realizar acciones de soporte relacionadas con la gestión documental de la entidad y el aplicativo ORFEO. </t>
  </si>
  <si>
    <t>Prestar servicios profesionales al Instituto Distrital de Patrimonio Cultural para apoyar la implementación de políticas y acciones para el mantenimiento y mejora del Sistema Integrado de Gestión en el marco del Modelo Integrado de Planeación y Gestión - MIPG.</t>
  </si>
  <si>
    <t>Prestar servicios profesionales al Instituto Distrital de Patrimonio Cultural para dar lineamientos y orientación en la implementación, sostenibilidad y mejora del Sistema Integrado de Gestión en el marco del Modelo Integrado de Planeación y Gestión - MIPG.</t>
  </si>
  <si>
    <t>Prestar servicios profesionales al Instituto Distrital de Patrimonio Cultural para la ejecución de las actividades relacionados con el Sistema Integrado de Conservación  en concordancia con la normatividad vigente.</t>
  </si>
  <si>
    <t>Prestar servicios profesionales al Instituto Distrital de Patrimonio Cultural para apoyar la formulación e implementación de políticas y acciones que promuevan la sostenibilidad del Sistema Integrado de Gestión en el marco del Modelo Integrado de Planeación y Gestión - MIPG.</t>
  </si>
  <si>
    <t xml:space="preserve">Prestar servicios de apoyo a la gestión al Instituto Distrital de Patrimonio Cultural para orientar las acciones de préstamos, consultas y organización de los archivos de la entidad. </t>
  </si>
  <si>
    <t>Prestar servicios profesionales al Instituto Distrital de Patrimonio Cultural para desarrollar actividades de apoyo al proceso de operación del Subsistema Interno de Gestión Documental y Archivos -SIGA.</t>
  </si>
  <si>
    <t>Prestar servicios asistenciales al Instituto Distrital de Patrimonio Cultural para apoyar la gestión requerida en la digitalización y organización de archivos relacionada con el Subsistema Interno de Gestión Documental y Archivos -SIGA.</t>
  </si>
  <si>
    <t>Prestar servicios profesionales al Instituto Distrital de Patrimonio Cultural para dar lineamientos, formular y orientar las acciones para la sostenibilidad del Subsistema Interno de Gestión Documental y Archivos -SIGA.</t>
  </si>
  <si>
    <t>Prestar servicios profesionales al Instituto Distrital de Patrimonio Cultural para orientar y formular acciones para el fortalecimiento y mantenimiento del Subsistema de Gestión Ambiental en el marco del Sistema Integrado de Gestión.</t>
  </si>
  <si>
    <t xml:space="preserve">Prestar servicios de apoyo a la gestión al Instituto Distrital de Patrimonio Cultural para la organización de los archivos de la Entidad. </t>
  </si>
  <si>
    <t>Prestar servicios profesionales jurídicos al Instituto Distrital de Patrimonio Cultural, para adelantar acciones jurídicas y de seguimiento contractual y administrativo relacionadas con los procesos liderados por la Subdirección General o quien haga sus veces.</t>
  </si>
  <si>
    <t>Prestar servicios de apoyo a la gestión al Instituto Distrital de Patrimonio Cultural en las actividades administrativas de la Dirección General de la entidad.</t>
  </si>
  <si>
    <t>Prestar servicios profesionales especializados a la Dirección General del Instituto Distrital de Patrimonio Cultural, relacionados con el acompañamiento de las acciones estratégicas de mejoramiento y seguimiento institucional, para el normal funcionamiento de la entidad.</t>
  </si>
  <si>
    <t xml:space="preserve">Prestar servicios de apoyo a la gestión al Instituto Distrital de Patrimonio Cultural para apoyar las actividades logisticas de divulgación, participación ciudadana y control social. </t>
  </si>
  <si>
    <t>Prestar servicios profesionales al Instituto Distrital de Patrimonio Cultural en el apoyo jurídico que requiera la entidad en las etapas precontractual, contractual y post-contractual.</t>
  </si>
  <si>
    <t>Prestar servicios de apoyo a la gestión al Instituto Distrital de Patrimonio Cultural, en el desarrollo de las actividades relacionadas con la liquidación de prestaciones sociales y demás temas de la gestión del talento humano de la entidad.</t>
  </si>
  <si>
    <t>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</si>
  <si>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Prestar servicios de profesionales al Instituto Distrital de Patrimonio Cultural en las actividades relacionadas con la publicación y seguimiento de la actividad contractual en los portales de contratación.</t>
  </si>
  <si>
    <t>Prestar servicios de apoyo a la gestión al Instituto Distrital de Patrimonio Cultural en la realización de las actividades de comunicación de la Subdirección de Gestión Corporativa.</t>
  </si>
  <si>
    <t>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</si>
  <si>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Prestar servicios profesionales al Instituto Distrital de Patrimonio Cultural para apoyar a la Asesoría Jurídica o quien haga sus veces, en los procesos de selección sin límite de cuantía, en las etapas precontractual, contractual y post-contractual.</t>
  </si>
  <si>
    <t>Prestar servicios de apoyo a la gestión al Instituto Distrital de Patrimonio Cultural en las actividades operativas relacionadas con la recepción, organización documental y de correspondencia de la entidad.</t>
  </si>
  <si>
    <t>Prestar servicios profesionales al Instituto Distrital de Patrimonio Cultural para el apoyo jurídico que requiera la entidad en las etapas precontractual, contractual y post-contractual.</t>
  </si>
  <si>
    <t>Prestar servicios profesionales al Instituto Distrital de Patrimonio Cultural para apoyar a la Asesoría Jurídica o quien haga sus veces, en las actividades propias de sus funciones, especialmente las relacionadas con la etapa post-contractual.</t>
  </si>
  <si>
    <t>Prestar servicios de apoyo a la gestión al Instituto Distrital de Patrimonio Cultural, en las actividades operativas y de mantenimiento requeridas por la entidad.</t>
  </si>
  <si>
    <t>Prestar servicios de apoyo a la gestión al Instituto Distrital de Patrimonio Cultural para apoyar a la Asesoría Jurídica o quien haga sus veces, en las actividades relacionadas con la organización y administración del archivo documental.</t>
  </si>
  <si>
    <t>Prestar servicios profesionales al Instituto Distrital de Patrimonio Cultural para apoyar el proceso de modernización del Instituto, repuesta a peticiones, requerimientos de entes de control, y demás temas relacionados con la Gestión del Talento Humano de la entidad.</t>
  </si>
  <si>
    <t>Prestar servicios de apoyo a la gestión al Instituto Distrital de Patrimonio Cultural en el seguimiento a los planes de mejoramiento, metas, indicadores y actividades relacionadas con los procesos de contratación de la Subdirección de Gestión Corporativa.</t>
  </si>
  <si>
    <t>Prestar servicios profesionales al Instituto Distrital de Patrimonio Cultural, en las actividades de la asesoría de Control Interno incluidas en el Plan Anual de Auditorias.</t>
  </si>
  <si>
    <t>Prestar servicios profesionales al Instituto Distrital de Patrimonio Cultural para apoyar jurídicamente la proyección y trámites de documentos precontractuales requeridos por la Subdirección de Gestión Corporativa.</t>
  </si>
  <si>
    <t>Prestar servicios profesionales al Instituto Distrital de Patrimonio Cultural en las actividades relacionadas con la gestión financiera y presupuestal de la entidad.</t>
  </si>
  <si>
    <t>Prestar servicios profesionales al Instituto Distrital de Patrimonio Cultural para realizar el soporte, mantenimiento, actualización y desarrollo de la plataforma del sistema de gestión ORFEO.</t>
  </si>
  <si>
    <t>Prestar servicios profesionales al Instituto Distrital de Patrimonio Cultural para brindar el apoyo jurídico requerido en las actuaciones disciplinarias que se adelanten dentro de los procesos de competencia de la entidad.</t>
  </si>
  <si>
    <t>Prestar servicios de apoyo a la gestión al Instituto Distrital de Patrimonio Cultural para acompañar a la Asesoría Jurídica o quien haga sus veces, en temas judiciales y de cartera de la entidad.</t>
  </si>
  <si>
    <t>Prestar servicios profesionales al Instituto Distrital de Patrimonio Cultural apoyando la proyección y trámite de los documentos precontractuales, seguimiento, control y modificaciones al plan de adquisiciones de la Subdirección de Gestión Corporativa.</t>
  </si>
  <si>
    <t>Prestar servicios profesionales al Instituto Distrital de Patrimonio Cultural para apoyar la Implementacion del modelo de participación ciudadana y control social.</t>
  </si>
  <si>
    <t>Prestar servicios profesionales al Instituto Distrital de Patrimonio Cultural para apoyar las actividades relacionadas con el proceso de Direccionamiento Estratégico.</t>
  </si>
  <si>
    <t>Prestar servicios de apoyo a la gestión al Instituto Distrital de Patrimonio Cultural en las actividades operativas requeridas en el área de almacén e inventarios.</t>
  </si>
  <si>
    <t>Prestar servicios profesionales al Instituto Distrital de Patrimonio Cultural para apoyar los procesos de planeación relacionados con los programas, planes y proyectos del Instituto.</t>
  </si>
  <si>
    <t xml:space="preserve">Prestar servicios de apoyo a la gestión al Instituto Distrital de Patrimonio Cultural para ejecutar actividades operativas requeridas por la Subdirección General o quien haga sus veces. </t>
  </si>
  <si>
    <t>Prestar servicios profesionales al Instituto Distrital de Patrimonio Cultural para orientar, consolidar e implementar el modelo de participación ciudadana y control social.</t>
  </si>
  <si>
    <t>Prestar servicios profesionales al Instituto Distrital de Patrimonio Cultural para asesorar a la Dirección General en el manejo de las relaciones interinstitucionales e internacionales, a través del acompañamiento y gestión de estrategias, planes y proyectos, para el fomento y apropiación del patrimonio cultural en el Distrito Capital.</t>
  </si>
  <si>
    <t xml:space="preserve">Prestar servicios profesionales al Instituto Distrital de Patrimonio Cultural para dar lineamientos en la Planeación Estratégica Institucional. </t>
  </si>
  <si>
    <t>Prestar servicios profesionales al Instituto Distrital de Patrimonio Cultural para apoyar jurídicamente en la realización de las actividades de la gestión del Talento Humano de la entidad.</t>
  </si>
  <si>
    <t>Prestar servicios de apoyo a la gestión al Instituto Distrital de Patrimonio Cultural en el desarrollo de actividades administrativas de la Subdirección de Gestión Corporativa.</t>
  </si>
  <si>
    <t>Prestar servicios profesionales al Instituto Distrital de Patrimonio Cultural en las actividades relacionadas con la vinculación, permanencia, retiro de los servidores públicos y demás temas relacionados con la gestión del talento humano de la entidad.</t>
  </si>
  <si>
    <t>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</si>
  <si>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 xml:space="preserve">Prestar servicios profesionales al Instituto Distrital de Patrimonio Cultural para apoyar los procesos   administrativos de la Subdirección General o quien haga sus veces. </t>
  </si>
  <si>
    <t xml:space="preserve">
Prestar servicios profesionales al Instituto Distrital de Patrimonio Cultural para apoyar las actividades requeridas en el seguimiento a la ejecución presupuestal de inversión y a las metas de los proyectos de inversión del Instituto.
</t>
  </si>
  <si>
    <t>Prestar servicios de apoyo a la gestión al Instituto Distrital de Patrimonio Cultural en las actividades relacionadas con los préstamos, consultas y organización de los archivos de la Asesoría Jurídica o quien haga sus veces, en el marco del Subsistema Interno de Gestión Documental y Archivos (SIGA).</t>
  </si>
  <si>
    <t>Prestar servicios profesionales al Instituto Distrital de Patrimonio Cultural para adelantar acciones relacionadas con los procesos de planeación, seguimiento y control de los programas, planes y proyectos del Instituto.</t>
  </si>
  <si>
    <t xml:space="preserve">Prestar servicios profesionales al Instituto Distrital de Patrimonio Cultural para apoyar el control y seguimiento a presupuesto, metas e indicadores y  Sistema Integrado de Gestión requerido. </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</si>
  <si>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</si>
  <si>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en las actividades relacionadas con el mantenimiento preventivo y correctivo de los bienes muebles e inmuebles propiedad de la entidad.</t>
  </si>
  <si>
    <t>Prestar servicios profesionales al Instituto Distrital de Patrimonio Cultural, acompañando jurídicamente los procesos contractuales, así como la revisión, seguimiento y control de la gestión administrativa a cargo de la Subdirección de Gestión Corporativa.</t>
  </si>
  <si>
    <t>Prestar servicios de apoyo a la gestión al Instituto Distrital de Patrimonio Cultural en las actividades relacionadas con la implementación del SECOP II.</t>
  </si>
  <si>
    <t>Prestar servicios de apoyo a la gestión al Instituto Distrital de Patrimonio Cultural, en las actividades asistenciales que requiera la Asesoría Jurídica o quien haga sus veces.</t>
  </si>
  <si>
    <t>planilla riesgo 5</t>
  </si>
  <si>
    <t>Prestar servicios profesionales especializados al Instituto Distrital de Patrimonio Cultural apoyando a la Asesoría Jurídica o quien haga sus veces, en la defensa judicial de los intereses patrimoniales de la entidad.</t>
  </si>
  <si>
    <t>Prestar servicios profesionales al Instituto Distrital de Patrimonio Cultural apoyando la aplicación de los lineamientos enmarcados en la Ley de Transparencia  y del Derecho de Acceso a la Información Pública.</t>
  </si>
  <si>
    <t>Prestar servicios de apoyo a la gestión al Instituto Distrital de Patrimonio Cultural brindando atención al público en temas relacionados con los trámites de solicitudes requeridas a la entidad.</t>
  </si>
  <si>
    <t>Prestar servicios profesionales al Instituto Distrital de Patrimonio Cultural apoyando la aplicación de la Política Pública Distrital de Servicio a la Ciudadanía y la implementación del Modelo de atención a la ciudadanía de la entidad.</t>
  </si>
  <si>
    <t>Prestar servicios profesionales al Instituto Distrital de Patrimonio Cultural orientando la implementación de la Ley de Transparencia y del Derecho de Acceso a la Información Pública y la Política Pública Distrital de Servicio a la Ciudadanía.</t>
  </si>
  <si>
    <t>Prestar servicios profesionales al Instituto Distrital de Patrimonio Cultural para apoyar las actividades relacionadas con el SDQS y la atención de PQRS de la entidad.</t>
  </si>
  <si>
    <t>PLAN DE ACCIÓN PRESUPUESTO DE INVERSIÓN 2019</t>
  </si>
  <si>
    <t>Meta Entidad 2019</t>
  </si>
  <si>
    <t>PLAN DE ACCION PRESUPUESTO DE INVERSION 2019</t>
  </si>
  <si>
    <t>Formular y adoptar 0,15 del Plan Especial de Manejo y Protección del Centro Histórico</t>
  </si>
  <si>
    <t>Formular y adoptar 1 instrumento de financiamiento para la recuperación y sostenibilidad del patrimonio
cultural.</t>
  </si>
  <si>
    <t xml:space="preserve">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</si>
  <si>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Prestar servicios profesionales al Instituto Distrital de Patrimonio Cultural en las actividades relacionadas con la propuesta de norma e instrumentos del Plan Especial de Manejo y Protección -PEMP- del Centro Histórico de Bogotá D.C.</t>
  </si>
  <si>
    <t>Prestar servicios profesionales al Instituto Distrital de Patrimonio Cultural para la consolidación de la propuesta de norma e instrumentos del Plan Especial de Manejo y Protección -PEMP- del Centro Histórico de Bogotá D.C., y otros proyectos asociados.</t>
  </si>
  <si>
    <t xml:space="preserve">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</si>
  <si>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orientar el direccionamiento estratégico del Plan Especial de Manejo y Protección -PEMP- del Centro Histórico de Bogotá D.C.</t>
  </si>
  <si>
    <t xml:space="preserve">Prestar servicios profesionales al Instituto Distrital de Patrimonio Cultural para apoyar la formulación de los aspectos administrativos y de gobernanza en el marco del modelo de gestión del Plan Especial de Manejo y Protección -PEMP- del Centro Histórico de Bogotá D.C. </t>
  </si>
  <si>
    <t>Prestar servicios profesionales al Instituto Distrital de Patrimonio Cultural para apoyar las acciones requeridas para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</si>
  <si>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</si>
  <si>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apoyar las acciones requeridas para el desarrollo de la propuesta de norma urbana e instrumentos del Plan Especial de Manejo y Protección -PEMP- del Centro Histórico de Bogotá D.C.</t>
  </si>
  <si>
    <t>Prestar servicios de apoyo a la gestión al Instituto Distrital de Patrimonio Cultural para apoyar las acciones requeridas en la consolidación de la propuesta normativa del Plan Especial de Manejo y Protección -PEMP- del Centro Histórico de Bogotá D.C.</t>
  </si>
  <si>
    <t xml:space="preserve">Prestar servicios profesionales al Instituto Distrital de Patrimonio Cultural para formular y desarrollar insumos relacionados con el direccionamiento estratégico del Plan Especial de Manejo y Protección -PEMP- del Centro Histórico de Bogotá D.C y otros proyectos asociados.  </t>
  </si>
  <si>
    <t>Prestar servicios profesionales al Instituto Distrital de Patrimonio Cultural para ejecutar insumos urbano arquitectónicos de proyectos y de las intervenciones integrales del Plan Especial de Manejo y Protección -PEMP- del Centro Histórico de Bogotá D.C. a partir de la consolidación de la formulación del mismo.</t>
  </si>
  <si>
    <t xml:space="preserve">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</si>
  <si>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Prestar servicios profesionales al Instituto Distrital de Patrimonio Cultural para ejecutar  insumos urbano-territoriales en la formulación de proyectos y del Plan Especial de Manejo y Protección -PEMP- del Centro Histórico de Bogotá D.C, a partir de la consolidación de la formulación del mismo. </t>
  </si>
  <si>
    <t>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t>
  </si>
  <si>
    <t>Prestar servicios profesionales al Instituto Distrital de Patrimonio Cultural para adelantar la modelación de escenarios de accesibilidad y movilidad para planes y proyectos del Instituto.</t>
  </si>
  <si>
    <t xml:space="preserve">Prestar servicios profesionales al Instituto Distrital de Patrimonio Cultural en la ejecución de insumos documentales para la consolidación de la valoración e inventario de los bienes del patrimonio cultural inmueble del Plan Especial de Manejo y Protección- PEMP- del Centro Histórico de Bogotá D.C.  </t>
  </si>
  <si>
    <t>Prestar servicios profesionales al Instituto Distrital de Patrimonio Cultural para apoyar las actividades de revisión, verificación y consolidación de las fichas del inventario y valoración del patrimonio cultural inmueble en el marco del Plan Especial de Manejo y Protección- PEMP- del Centro Histórico de Bogotá D.C.</t>
  </si>
  <si>
    <t>Prestar servicios profesionales al Instituto Distrital de Patrimonio Cultural en la orientación de la gestión de los programas, planes, proyectos e intervenciones integrales del Plan Especial de Manejo y Protección -PEMP- del Centro Histórico de Bogotá D.C., y otros proyectos.</t>
  </si>
  <si>
    <t>Prestar servicios profesionales al Instituto Distrital de Patrimonio Cultural en el direccionamiento de proyectos e intervenciones integrales   del Plan Especial de Manejo y Protección -PEMP- del Centro Histórico de Bogotá D.C.</t>
  </si>
  <si>
    <t xml:space="preserve">Prestar servicios profesionales al Instituto Distrital de Patrimonio Cultural para realizar una propuesta de estructura legal e institucional del modelo de gestión del Plan Especial de Manejo y Protección -PEMP- del Centro Histórico de Bogotá D.C. </t>
  </si>
  <si>
    <t>Prestar servicios profesionales al Instituto Distrital de Patrimonio Cultural en el direccionamiento de norma e instrumentos del Plan Especial de Manejo y Protección -PEMP- del Centro Histórico de Bogotá D.C.</t>
  </si>
  <si>
    <t xml:space="preserve"> Prestar servicios profesionales al Instituto Distrital de Patrimonio Cultural para realizar insumos arquitectonicos y de espacialización de proyectos en la formulación de proyectos y del Plan Especial de Manejo y Protección -PEMP- del Centro Histórico de Bogotá D.C, a partir de la consolidación de la formulación del mismo. </t>
  </si>
  <si>
    <t xml:space="preserve">Prestar servicios profesionales al Instituto Distrital de Patrimonio Cultural para apoyar la producción de insumos técnicos relacionados con el direccionamiento estratégico del Plan Especial de Manejo y Protección -PEMP- del Centro Histórico de Bogotá D.C y otros proyectos asociados.  </t>
  </si>
  <si>
    <t xml:space="preserve">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</si>
  <si>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t>
  </si>
  <si>
    <t>Prestar servicios profesionales al Instituto Distrital de Patrimonio Cultural para apoyar la consolidación de la propuesta normativa y de instrumentos derivados del Plan Especial de Manejo y Protección -PEMP- del Centro Histórico de Bogotá D.C., y otros proyectos.</t>
  </si>
  <si>
    <t>Prestar servicios profesionales al Instituto Distrital de Patrimonio Cultural para avanzar en el desarrollo normativo y de instrumentos del componente patrimonial del Plan Especial de Manejo y Protección -PEMP- del Centro Histórico de Bogotá D.C.</t>
  </si>
  <si>
    <t>Prestar servicios profesionales al Instituto Distrital de Patrimonio Cultural para la consolidación del desarrollo normativo y de instrumentos del componente patrimonial del Plan Especial de Manejo y Protección -PEMP- del Centro Histórico de Bogotá D.C., y otros proyectos.</t>
  </si>
  <si>
    <t xml:space="preserve">Prestar servicios profesionales al Instituto Distrital de Patrimonio Cultural para apoyar la orientación y desarrollo del proceso de participación ciudadana y divulgación del Plan Especial de Manejo y Protección (PEMP) del Centro Histórico de Bogotá D.C y otros proyectos. </t>
  </si>
  <si>
    <t xml:space="preserve">Prestar servicios profesionales al Instituto Distrital de Patrimonio Cultural para realizar  insumos en el componente ambiental en la formulación de proyectos del Instituto. </t>
  </si>
  <si>
    <t xml:space="preserve">Prestar servicios profesionales al Instituto Distrital de Patrimonio Cultural en el desarrollo de insumos urbano arquitectonicos para los planes, programas y proyectos del Instituto. </t>
  </si>
  <si>
    <t xml:space="preserve">Prestar servicios profesionales al Instituto Distrital de Patrimonio Cultural  para formular y desarrollar insumos relacionados con la gestión de los programas, planes, proyectos e intervenciones integrales del Instituto. </t>
  </si>
  <si>
    <t xml:space="preserve">Prestar servicios profesionales al Instituto Distrital de Patrimonio Cultural para elaborar insumos en el componente de innovación en la formulación de proyectos del Instituto. </t>
  </si>
  <si>
    <t>Prestar servicios de apoyo a la gestión del Instituto Distrital de Patrimonio Cultural en la producción de insumos documentales relacionados con los planes y proyectos del Instituto.</t>
  </si>
  <si>
    <t xml:space="preserve">Prestar servicios profesionales al Instituto Distrital de Patrimonio Cultural para desarrollar actividades técnicas y operativas de los planes, programas y proyectos del instituto. </t>
  </si>
  <si>
    <t xml:space="preserve">Prestar servicios profesionales al Instituto Distrital de Patrimonio Cultural para realizar insumos en el componente de accesibilidad y movilidad en la formulación  de proyectos del Instituto. </t>
  </si>
  <si>
    <t xml:space="preserve">Prestar servicios profesionales al Instituto Distrital de Patrimonio Cultural para apoyar las actividades técnicas y administrativas de los planes, programas y proyectos del Instituto. </t>
  </si>
  <si>
    <t>Prestar servicios profesionales al Instituto Distrital de Patrimonio Cultural en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</si>
  <si>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para elaborar insumos en el componente habitacional en la formulación  de proyectos del Instituto. </t>
  </si>
  <si>
    <t xml:space="preserve">Prestar servicios profesionales al Instituto Distrital de Patrimonio Cultural para orientar el direccionamiento estratégico de los planes, programas y proyectos del Instituto. </t>
  </si>
  <si>
    <t xml:space="preserve">Prestar servicios profesionales al Instituto Distrital de Patrimonio Cultural para orientar y desarrollar estrategias, programas y proyectos en el marco de la aplicación de instrumentos de financiación y gestión  para la recuperación de los sectores y Bienes de Interés Cultural en el Distrito Capital. </t>
  </si>
  <si>
    <t>Prestar servicios profesionales al Instituto Distrital de Patrimonio Cultural para apoyar el desarrollo de insumos y actividades relacionadas con las estrategias, programas y proyectos en el marco de la aplicación de instrumentos de financiación y gestión  para la recuperación de los sectores y Bienes de Interés Cultural en el Distrito Capital</t>
  </si>
  <si>
    <t xml:space="preserve">Prestar servicios profesionales al Instituto Distrital de Patrimonio Cultural para ejecutar  actividades relacionadas con las estrategias, programas y proyectos en el marco de la aplicación de instrumentos de financiación y gestión para la recuperación de los sectores y Bienes de Interés Cultural en el Distrito Capital. </t>
  </si>
  <si>
    <t>Meta Plan de Desarrollo 2016-2020</t>
  </si>
  <si>
    <t>Realizar la consultoría para elaborar los estudios técnicos, jurídicos, financieros y diseños definitivos para la construcción de las Galerías comerciales del edificio Liévano primera planta colindante con la carrera 8 entre calle 10 y calle 11.</t>
  </si>
  <si>
    <t>Ejecutar bajo la modalidad de precios unitarios los primeros auxilios del inmueble denominado Casa Cadel.</t>
  </si>
  <si>
    <t>Ejecutar bajo la modalidad de precios unitarios los primeros auxilios del inmueble ubicado en la Calle 12b N. 3 - 07, denominado "Casa Colorada".</t>
  </si>
  <si>
    <t>Prestar servicios profesionales de apoyo a la supervisión al proyecto de primeros auxilios del inmueble denominado Casa Colorada.</t>
  </si>
  <si>
    <t>Realizar los estudios y propuesta para los primeros auxilios, el apuntalamiento y sobre cubierta requerida para el inmueble ubicado en la Calle 12b N. 3 - 07, denominado "Casa Colorada".</t>
  </si>
  <si>
    <t>Pago de trámites y documentación inherente al Proyecto de Intervención en la fachada de la Plaza de Toros La Santamaría.</t>
  </si>
  <si>
    <t>Pago de expensas con cargo variable para la Licencia de Construcción del predio denominado Casa Tito</t>
  </si>
  <si>
    <t>Ejecutar bajo la modalidad de precios unitarios fijos las obras requeridas para el inmueble ubicado en la Calle 12B No. 2-58, denominado Casa Genoveva en la ciudad de Bogotá, D. C.</t>
  </si>
  <si>
    <t>Pago de expensas con cargo variable para la modificación de la Licencia de Construcción del predio Calle 12b N° 2-58, denominado Sede Principal o Casa Genoveva en la ciudad de Bogotá, D. C.</t>
  </si>
  <si>
    <t>Realizar la interventoría integral de la obra cuyo objeto es: "Ejecutar bajo la modalidad de precios unitarios fijos las obras requeridas para el inmueble ubicado en la Calle 12B No. 2-58, denominado Casa Genoveva en la ciudad de Bogotá, D. C."</t>
  </si>
  <si>
    <t>Valor presupuestado para adelantar un traslado presupuestal al rubro Pasivos Exigibles por concepto del saldo a favor del Convenio Interadministrativo No. 363 de 2017 suscrito con la Universidad Nacional.</t>
  </si>
  <si>
    <t>Realizar los estudios y diseños para la intervención integral de bienes muebles-inmuebles en el espacio público de la ciudad de Bogotá, D.C.</t>
  </si>
  <si>
    <t>Ejecución de obras requeridas en el monumento Banderas en la ciudad de Bogotá, D.C.</t>
  </si>
  <si>
    <t>Realizar el proyecto eléctrico y de iluminación para el monumento Simón Bolívar ubicado en la Plaza de Bolívar.</t>
  </si>
  <si>
    <t>Ejecución de obras de primeros auxilios requeridas en el monumento a Los Héroes en la ciudad de Bogotá, D.C.</t>
  </si>
  <si>
    <t>Prestar servicios de apoyo a la gestión al Instituto Distrital de Patrimonio Cultural para la correcta ejecución de las intervenciones adelantadas sobre bienes muebles en espacio público, de acuerdo con la programación establecida.</t>
  </si>
  <si>
    <t>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</si>
  <si>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Prestar servicios profesionales al Instituto Distrital de Patrimonio Cultural para acompañar el seguimiento a las acciones de intervención de los bienes muebles - inmuebles en el espacio público y colecciones públicas de la ciudad de Bogotá. D.C.</t>
  </si>
  <si>
    <t xml:space="preserve">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</si>
  <si>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Prestar servicios profesionales al Instituto Distrital de Patrimonio Cultural para apoyar el seguimiento técnico en sitio de las intervenciones adelantadas sobre bienes muebles en espacio público de Bogotá D.C.</t>
  </si>
  <si>
    <t>Prestar servicios profesionales al Instituto Distrital de Patrimonio Cultural para apoyar la gestión del Grupo de Bienes Muebles en las actividades relacionadas con la intervención y conservación de patrimonio mueble ubicado en el espación público de Bogotá, en especial bajo el Programa Adopta un Monumento de la entidad.</t>
  </si>
  <si>
    <t>Prestar servicios profesionales al Instituto Distrital de Patrimonio Cultural para orientar y realizar el fomento y seguimiento de las acciones de administración, mantenimiento, conservación y restauración de los bienes muebles de la ciudad de Bogotá. D.C.</t>
  </si>
  <si>
    <t>Prestar servicios profesionales al Instituto Distrital de Patrimonio Cultural para orientar, guiar y realizar el seguimiento técnico de las intervenciones adelantadas por la entidad en Bienes Muebles ubicados en el espacio público de Bogotá D.C.</t>
  </si>
  <si>
    <t>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</si>
  <si>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Suministro de productos químicos e insumos especiales requeridos para las intervenciones técnicas que se realizan sobre los Bienes de Interés Cultural muebles e inmuebles en la ciudad de Bogotá D.C.</t>
  </si>
  <si>
    <t>Realizar la intervención y mantenimiento de las Fachadas de las Iglesias Sanfrancisco, Egipto y Candelaria en la ciudad de Bogotá.</t>
  </si>
  <si>
    <t>Realizar la interventoría integral para la intervención y mantenimiento de las Fachadas de las Iglesias Sanfrancisco, Egipto y Candelaria en la ciudad de Bogotá.</t>
  </si>
  <si>
    <t>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t>
  </si>
  <si>
    <t>Prestar servicios profesionales al Instituto Distrital de Patrimonio Cultural para apoyar la elaboración de insumos cartográficos y alfanuméricos para el Sistema de Información Geográfica -SIG_PC-.</t>
  </si>
  <si>
    <t>Prestar servicios profesionales al Instituto Distrital de Patrimonio Cultural para apoyar la puesta en marcha del Modelo de Participación Ciudadana y Control Social de la entidad.</t>
  </si>
  <si>
    <t>Prestar servicios profesionales al Instituto Distrital de Patrimonio Cultural para la implementación  y el fortalecimiento del Sistema de Información Geográfica - SIGPC, en la entidad</t>
  </si>
  <si>
    <t>Prestar servicios profesionales al Instituto Distrital de Patrimonio Cultural apoyando el soporte técnico del Sistema de Información Geográfico relacionado con la evaluación de solicitudes de intervención en Bienes de Interés Cultural y el desarrollo de proyectos urbanos.</t>
  </si>
  <si>
    <t>Prestar servicios profesionales al IDPC, para apoyar  las actividades relacionadas con el componente urbano y de espacio público de los planes, programas y proyectos, de conformidad con las competencias del IDPC.</t>
  </si>
  <si>
    <t>Prestar servicios profesionales al Instituto Distrital de Patrimonio Cultural, IDPC, para desarrollar actividades de gestión, formulación, evaluación y seguimiento de los planes, programas y proyectos relacionados con los instrumentos normativos y de planeamiento territorial, así como aquellos dirigidos a la protección de los bienes o sectores de interés cultural de la ciudad de Bogotá (PEMP), de conformidad con sus competencias.</t>
  </si>
  <si>
    <t>Prestar servicios profesionales al IDPC apoyando la generación de insumos técnicos para el componente de espacio público, de conformidad con las competencias del IDPC.</t>
  </si>
  <si>
    <t>Saldo componente</t>
  </si>
  <si>
    <t>01-03 0020</t>
  </si>
  <si>
    <t>03-374</t>
  </si>
  <si>
    <t>05-02 0020</t>
  </si>
  <si>
    <t>Prestar sus servicios profesionales al Instituto Distrital de Patrimonio Cultural en la estructuración del componente administrativo y en particular de las condiciones de manejo jurídico normativo del Plan Especial de Manejo y Protección -PEMP- Centro Histórico de Bogotá D.C.</t>
  </si>
  <si>
    <t xml:space="preserve">Prestar servicios profesionales al Instituto Distrital de Patrimonio Cultural en la elaboración de los productos relacionados con los programas, planes, proyectos e intervenciones integrales del Instituto. </t>
  </si>
  <si>
    <t>Prestar servicios al Instituto Distrital de Patrimonio Cultural para apoyar en la elaboración de insumos técnicos para los proyectos de la entidad.</t>
  </si>
  <si>
    <t>Nº CÓD. CONTROL</t>
  </si>
  <si>
    <t>Nº Cód. Control</t>
  </si>
  <si>
    <t>PAULA ANDREA ÁVILA ESPINEL</t>
  </si>
  <si>
    <t>Servicios públicos</t>
  </si>
  <si>
    <t>CARLOS GUILLERMO VALENCIA MALDONADO</t>
  </si>
  <si>
    <t>FERNANDO  SANCHEZ SABOGAL</t>
  </si>
  <si>
    <t>JOSE NICOLAS MARTINEZ ARENAS</t>
  </si>
  <si>
    <t>ANGYE CATERYNN PEÑA VARON</t>
  </si>
  <si>
    <t>CESAR FERSEN ANDERY PADILLA RODRIGUEZ</t>
  </si>
  <si>
    <t>SANTIAGO  URREGO GARAY</t>
  </si>
  <si>
    <t>JOSE LUIS ORTIZ CARDENAS</t>
  </si>
  <si>
    <t>JORGE LEONARDO TORRES ROMERO</t>
  </si>
  <si>
    <t>giovanny francisco lopez perez</t>
  </si>
  <si>
    <t>HELENA MARIA FERNANDEZ SARMIENTO</t>
  </si>
  <si>
    <t>MARTHA LILIANA TRIGOS PICON</t>
  </si>
  <si>
    <t>JAIR ALEJANDRO ALVARADO SOTO</t>
  </si>
  <si>
    <t>DIEGO ANTONIO RODRIGUEZ CARRILLO</t>
  </si>
  <si>
    <t>RODOLFO ANTONIO PARRA RODRIGUEZ</t>
  </si>
  <si>
    <t>LAURA KATHERINE PEREZ ALMANZA</t>
  </si>
  <si>
    <t>GIOVANNY ANDRES CUBILLOS MORENO</t>
  </si>
  <si>
    <t>OSCAR JAVIER MARTINEZ REYES</t>
  </si>
  <si>
    <t>WILSON ORLANDO DAZA MONTAÑO</t>
  </si>
  <si>
    <t>NUBIA ALEXANDRA CORTES REINA</t>
  </si>
  <si>
    <t>LEONEL  SERRATO VASQUEZ</t>
  </si>
  <si>
    <t>LAURA RENNEE DEL PINO BUSTOS</t>
  </si>
  <si>
    <t>ANGELA MARIA RUIZ ARAQUE</t>
  </si>
  <si>
    <t>PABLO ANDRES ANGEL PEREZ</t>
  </si>
  <si>
    <t>JULIANA ANDREA SANCHEZ RODRIGUEZ</t>
  </si>
  <si>
    <t>ALVARO IVAN SALAZAR DAZA</t>
  </si>
  <si>
    <t>WINER ENRIQUE MARTINEZ CUADRADO</t>
  </si>
  <si>
    <t>JUAN PABLO LOPEZ PENAGOS</t>
  </si>
  <si>
    <t>EDGAR ANDRES FIGUEROA VICTORIA</t>
  </si>
  <si>
    <t>NATALIA  ORTEGA RENGIFO</t>
  </si>
  <si>
    <t>LIZETH PAOLA LOPEZ BARRERA</t>
  </si>
  <si>
    <t>PAULA ANDREA AYALA BARON</t>
  </si>
  <si>
    <t>CAROLINA  ORTIZ PEDRAZA</t>
  </si>
  <si>
    <t>Karem Lizette Cespedes Hernandez</t>
  </si>
  <si>
    <t>JULIETH GEORYANNA RODRIGUEZ JAIMES</t>
  </si>
  <si>
    <t>OSCAR JAVIER BECERRA MORA</t>
  </si>
  <si>
    <t>ANDRES JULIAN JIMENEZ DURAN</t>
  </si>
  <si>
    <t>ARMANDO  LOZANO REYES</t>
  </si>
  <si>
    <t>SANDRA JINNETH SABOGAL BERNAL</t>
  </si>
  <si>
    <t>LIDA CONSTANZA MEDRANO RINCON</t>
  </si>
  <si>
    <t>CHALOT  GAVIRIA VELANDIA</t>
  </si>
  <si>
    <t>MELVA SAHIDY PASTRANA MORALES</t>
  </si>
  <si>
    <t>FRANK ADRIANO AGUIRRE SALAMANCA</t>
  </si>
  <si>
    <t>SANDRA MILENA FORERO BALLESTEROS</t>
  </si>
  <si>
    <t>jhon edwin morales herrera</t>
  </si>
  <si>
    <t>ANDRES IVAN ALBARRACIN SALAMANCA</t>
  </si>
  <si>
    <t>ALEJANDRO  MENDOZA JARAMILLO</t>
  </si>
  <si>
    <t>MARILUZ  LOAIZA CANTOR</t>
  </si>
  <si>
    <t>JUAN SEBASTIAN ORTIZ ROJAS</t>
  </si>
  <si>
    <t>KAREN ROCIO FORERO GARAVITO</t>
  </si>
  <si>
    <t>SANDRA PATRICIA MENDOZA VARGAS</t>
  </si>
  <si>
    <t>JONATHAN  OLARTE GUANA</t>
  </si>
  <si>
    <t>JAVIER ENRIQUE MOTTA MORALES</t>
  </si>
  <si>
    <t>ANDREA VIVIANA BRITO</t>
  </si>
  <si>
    <t>INGRID JOHANA PARADA MENDIVELSO</t>
  </si>
  <si>
    <t>OSWALDO JAVIER URREGO VARGAS</t>
  </si>
  <si>
    <t>ARIEL RODRIGO FERNANDEZ BACA</t>
  </si>
  <si>
    <t>LUZ MERY BOLIVAR RINCON</t>
  </si>
  <si>
    <t>MARIBEL  CHARRY DIAZ</t>
  </si>
  <si>
    <t>ANA MARIA MONTOYA CORREA</t>
  </si>
  <si>
    <t>PAOLA RENATA BARRAGAN ZAMORA</t>
  </si>
  <si>
    <t>juan sebastian robayo castillo</t>
  </si>
  <si>
    <t>DIEGO JAVIER PARRA CORTES</t>
  </si>
  <si>
    <t>Angie Lizeth Murillo Pineda</t>
  </si>
  <si>
    <t>HELLEN  QUIROGA MORA</t>
  </si>
  <si>
    <t>207b</t>
  </si>
  <si>
    <t>Prestar servicios de apoyo a la gestión del Instituto Distrital de Patrimonio Cultural en la producción de insumos documentales relacionados con los planes y proyectos del Instituto, en particular del Plan Especial de Manejo y Protección -PEMP- del Centro Histórico de Bogotá D.C.</t>
  </si>
  <si>
    <t>PROYECTO1024 FORMACION EN CATEDRA DE PATRIMONIO CULTURAL</t>
  </si>
  <si>
    <t>COMPONENTE</t>
  </si>
  <si>
    <t>APROPIACION</t>
  </si>
  <si>
    <t>PAGOS</t>
  </si>
  <si>
    <t>AVANCE CDP</t>
  </si>
  <si>
    <t>AVANCE RP</t>
  </si>
  <si>
    <t>AVANCE PAGOS</t>
  </si>
  <si>
    <t>Formacion a docentes</t>
  </si>
  <si>
    <t>Sistematizacion de la experiencia</t>
  </si>
  <si>
    <t>TOTAL PROYECTO</t>
  </si>
  <si>
    <t>PMR</t>
  </si>
  <si>
    <t>PROYECTO 1107 DIVULGACION Y APROPIACION DEL PATRIMONIO CULTURAL DEL DISTRITO CAPITAL</t>
  </si>
  <si>
    <t>13. Oferta cultural para la valoración y divulgación del patrimonio material e  inmaterial de la ciud</t>
  </si>
  <si>
    <t>PROYECTO 1110 FORTALECIMIENTO Y DESARROLLO EN LA GESTION INSTITUCIONAL</t>
  </si>
  <si>
    <t>PROYECTO 1112 INSTRUMENTOS DE PLANEACIÓN Y GESTIÓN PARA LA PRESERVACIÓN Y SOSTENIBILIDAD DEL PATRIMONIO CULTURAL</t>
  </si>
  <si>
    <t>PROYECTO 1114 INTERVENCIÓN Y CONSERVACION DE LOS BIENES MUEBLES E INMUEBLES EN SECTORES DE INTERES CULTURAL DEL DISTRITO CAPITAL</t>
  </si>
  <si>
    <t>Plaza La Santamaría</t>
  </si>
  <si>
    <t>Plaza de Mercado de la Concordia</t>
  </si>
  <si>
    <t>PROYECTO</t>
  </si>
  <si>
    <t>COMPROMETIDO</t>
  </si>
  <si>
    <t>AVANCE</t>
  </si>
  <si>
    <t>TOTAL</t>
  </si>
  <si>
    <t>GASTOS DE FUNCIONAMIENTO</t>
  </si>
  <si>
    <t>NOMBRE</t>
  </si>
  <si>
    <t>TOTAL GASTOS DE FUNCIONAMIENTO</t>
  </si>
  <si>
    <t>Estímulos a iniciativas de la ciudadanía en temas de patrimonio cultural</t>
  </si>
  <si>
    <t>Personal de apoyo transversal en la gestión institucional</t>
  </si>
  <si>
    <t>Desarrollar actividades de comunicación e
información</t>
  </si>
  <si>
    <t>Adecuación y sostenibilidad del Sistema Integrado de Gestión Distrital, bajo el estándar del Modelo Integrado de Planeación y Gestión</t>
  </si>
  <si>
    <t>Instrumentos de gestión, financiación e incentivos para la recuperación y sostenibilidad del patrimonio cultural</t>
  </si>
  <si>
    <t>RESUMEN PRESUPUESTO 2019 COMPROMETIDO</t>
  </si>
  <si>
    <t>Basílica Menor Iglesia Voto Nacional</t>
  </si>
  <si>
    <t>Casa Cadel</t>
  </si>
  <si>
    <t>Casa Colorada</t>
  </si>
  <si>
    <t>Sede Principal o Casa Genoveva</t>
  </si>
  <si>
    <t>Sede Casa Tito</t>
  </si>
  <si>
    <t>Galerias Líevano</t>
  </si>
  <si>
    <t>Concejo de Bogotá</t>
  </si>
  <si>
    <t>Asesoría técnica para la protección y promoción del patrimonio cultural material del Distrito Capital</t>
  </si>
  <si>
    <t>Estudios y diseños para la intervención integral de bienes muebles</t>
  </si>
  <si>
    <t>Monumento a Los Héroes</t>
  </si>
  <si>
    <t>Monumento Banderas</t>
  </si>
  <si>
    <t>Simón Bolívar ubicado en la Plaza de Bolívar-Iluminación</t>
  </si>
  <si>
    <t>Intervención y Protección en Monumentos</t>
  </si>
  <si>
    <t>Pasivos Exigibles</t>
  </si>
  <si>
    <t>Intervención y mantenimiento de las Fachadas de las Iglesias San Francisco, Egipto y Candelaria</t>
  </si>
  <si>
    <t>GASTOS DE PERSONAL</t>
  </si>
  <si>
    <t>GASTOS GENERALES</t>
  </si>
  <si>
    <t xml:space="preserve">TOTAL GASTOS </t>
  </si>
  <si>
    <t>TABLERO DE CONTROL PROYECTOS DE INVERSION 2019</t>
  </si>
  <si>
    <t>ARL POSITIVA</t>
  </si>
  <si>
    <t>INSTITUTO DISTRITAL DE PATRIMONIO CULTURAL</t>
  </si>
  <si>
    <t>CAMILO  CASAS ABRIL</t>
  </si>
  <si>
    <t>Premio Dibujatón: Ilustra el patrimonio de Bogotá.</t>
  </si>
  <si>
    <t xml:space="preserve">Premio de Fotografía Ciudad de Bogotá </t>
  </si>
  <si>
    <t xml:space="preserve">Beca nuevas tecnologías para la apropiación del Patrimonio Cultural de Bogotá.               </t>
  </si>
  <si>
    <t xml:space="preserve">Beca para la visibilización de los saberes y prácticas de mujeres portadoras de Patrimonio Cultural Inmaterial en Bogotá    </t>
  </si>
  <si>
    <t>Beca de apropiación del Patrimonio Cultural para población con discapacidad sensorial.</t>
  </si>
  <si>
    <t xml:space="preserve">Beca de investigación sobre el comercio tradicional en el centro histórico de Bogotá          </t>
  </si>
  <si>
    <t xml:space="preserve">Beca de investigación histórica sobre un barrio de Bogotá                                          </t>
  </si>
  <si>
    <t xml:space="preserve">Beca de investigación y divulgación de una colección de bienes muebles en Bogotá                                         </t>
  </si>
  <si>
    <t xml:space="preserve">Beca Patrimonios Locales: salvaguardia del Patrimonio Cultural Inmaterial de Bogotá.                                         </t>
  </si>
  <si>
    <t>ANGIE MILENA MORALES MAURY</t>
  </si>
  <si>
    <t>BIBIANA  CASTRO RAMIREZ</t>
  </si>
  <si>
    <t>DIANA CAROLINA RUA RANGEL</t>
  </si>
  <si>
    <t>JORGE ELKIN BUITRAGO ARENAS</t>
  </si>
  <si>
    <t>XIMENA PAOLA BERNAL CASTILLO</t>
  </si>
  <si>
    <t>SONIA ESPERANZA CUARTAS BECERRA</t>
  </si>
  <si>
    <t>WILSON  PACHECO GUTIERREZ</t>
  </si>
  <si>
    <t>gustavo alfredo bueno rojas</t>
  </si>
  <si>
    <t>NUBIA NAYIBE VELASCO CALVO</t>
  </si>
  <si>
    <t>DIANA PAOLA GAITAN MARTINEZ</t>
  </si>
  <si>
    <t>LEONARDO  OCHICA SALAMANCA</t>
  </si>
  <si>
    <t>GIOVANY ANDRE ALFONSO FORERO</t>
  </si>
  <si>
    <t>EDGARD FRANCISCO GUERRERO GIRALDO</t>
  </si>
  <si>
    <t>FABIAN ELIECER CERVERA LINARES</t>
  </si>
  <si>
    <t>CLEMENT GUILLAUME ROUX</t>
  </si>
  <si>
    <t>MONICA ANGEL LASCAR</t>
  </si>
  <si>
    <t>MELISSA  SOLORZANO TORO</t>
  </si>
  <si>
    <t>MIGUEL ANTONIO RODRIGUEZ SILVA</t>
  </si>
  <si>
    <t>WALTER MAURICIO MARTINEZ ROSAS</t>
  </si>
  <si>
    <t>MARIA ANTONIETA GARCIA RESTREPO</t>
  </si>
  <si>
    <t>IRENE CAROLINA CORREDOR ROJAS</t>
  </si>
  <si>
    <t>JOSE LEONARDO CRISTANCHO CASTAÑO</t>
  </si>
  <si>
    <t>MARIA CLARA MENDEZ ALVAREZ</t>
  </si>
  <si>
    <t>GLORIA ISABEL CARRILLO BUITRAGO</t>
  </si>
  <si>
    <t>Diana Marcela Gomez Bernal</t>
  </si>
  <si>
    <t>ANGEL ENRIQUE MARTINEZ RUIZ</t>
  </si>
  <si>
    <t>JUAN SEBASTIAN CARRANZA MONROY</t>
  </si>
  <si>
    <t>MARIA FARIDE PARDO SHAKER</t>
  </si>
  <si>
    <t>BONILLA RODRIGUEZ NATHALY ANDREA</t>
  </si>
  <si>
    <t xml:space="preserve"> Prestar servicios profesionales al Instituto Distrital de Patrimonio Cultural en las actividades relacionadas con el seguimiento y control de los planes, metas e indicadores de la Subdirección de Gestión Corporativa.</t>
  </si>
  <si>
    <t>MARY ELIZABETH ROJAS MUÑOZ</t>
  </si>
  <si>
    <t>LUIS CARLOS YUSTY TRUJILLO</t>
  </si>
  <si>
    <t>DEBORATH LUCIA GASCON OLARTE</t>
  </si>
  <si>
    <t>JAIBER ALFONSO SARMIENTO RUIZ</t>
  </si>
  <si>
    <t>MARIA ISABEL VANEGAS SILVA</t>
  </si>
  <si>
    <t>EDGAR ANDRES MONCADA RUBIO</t>
  </si>
  <si>
    <t>ANGELICA ESPERANZA ACUÑA HERNANDEZ</t>
  </si>
  <si>
    <t>CARLOS HERNANDO SANDOVAL MORA</t>
  </si>
  <si>
    <t>CHARLY ALEXANDER ROCIASCO MENDEZ</t>
  </si>
  <si>
    <t>CRISTIAN STEPH VELASQUEZ ALEJO</t>
  </si>
  <si>
    <t>DARIO FERDEY YAIMA TOCANCIPA</t>
  </si>
  <si>
    <t>LUZ MARINA ZAPATA FLOREZ</t>
  </si>
  <si>
    <t>MILLER ALEJANDRO CASTRO PEREZ</t>
  </si>
  <si>
    <t>NANCY  ZAMORA</t>
  </si>
  <si>
    <t>OMAR ALEXANDER PATIÑO PINEDA</t>
  </si>
  <si>
    <t>Oscar Fabian Uyaban Dueñas</t>
  </si>
  <si>
    <t>ADRIANA  BERNAO GUTIERREZ</t>
  </si>
  <si>
    <t>YURY ALEJANDRA QUINTERO CASTAÑO</t>
  </si>
  <si>
    <t>ANDERSON  MARTINEZ VAHOS</t>
  </si>
  <si>
    <t>JHON  GUAQUE</t>
  </si>
  <si>
    <t>ANDRES  CARDENAS VILLAMIL</t>
  </si>
  <si>
    <t>YULY ALEJANDRA MORALES TREJOS</t>
  </si>
  <si>
    <t>camilo andres moreno malagon</t>
  </si>
  <si>
    <t>MARIA CRISTINA SALINAS RUIZ</t>
  </si>
  <si>
    <t>MONICA  PALACIOS OVIEDO</t>
  </si>
  <si>
    <t>DANILO  SANCHEZ SUARIQUE</t>
  </si>
  <si>
    <t>DAVID ALEXANDER WILCHES FLOREZ</t>
  </si>
  <si>
    <t>DANIEL YIDID GRANADOS GELVES</t>
  </si>
  <si>
    <t>JUAN ANDRES POVEDA RIAÑO</t>
  </si>
  <si>
    <t>edwin alexander leon gonzalez</t>
  </si>
  <si>
    <t>EDWIN ARTURO RUIZ MORENO</t>
  </si>
  <si>
    <t>VICTORIA ANDREA MUÑOZ ORDOÑEZ</t>
  </si>
  <si>
    <t>GIOVANNA  MORALES AGUIRRE</t>
  </si>
  <si>
    <t>HELBERT MAURICIO GUZMAN MATIAS</t>
  </si>
  <si>
    <t>HELBER AURELIO SILVA LEGUIZAMON</t>
  </si>
  <si>
    <t>IRMA  CASTAÑEDA RAMIREZ</t>
  </si>
  <si>
    <t>JEIMMY SOLEY QUIROGA RAMIREZ</t>
  </si>
  <si>
    <t>JENNY GISELL QUEVEDO QUEVEDO</t>
  </si>
  <si>
    <t>JOSE ANTONIO RAMIREZ OROZCO</t>
  </si>
  <si>
    <t>JUAN CARLOS ALVARADO PEÑA</t>
  </si>
  <si>
    <t>KRISTHIAM ANDRES CARRIZOSA TRUJILLO</t>
  </si>
  <si>
    <t>LAURA FLAVIE ZIMMERMANN</t>
  </si>
  <si>
    <t>MAGALLY SUSANA MOREA PEÑA</t>
  </si>
  <si>
    <t>DIANA MARCELA RAMIREZ CASTILLO</t>
  </si>
  <si>
    <t>MARIELA  CAJAMARCA DIAZ</t>
  </si>
  <si>
    <t>NATALIA  TORRES GARZON</t>
  </si>
  <si>
    <t>NUBIA STELLA LIZARAZO SIERRA</t>
  </si>
  <si>
    <t>OLGA LUCIA VERGARA ARENAS</t>
  </si>
  <si>
    <t>ORLANDO  ARIAS CAICEDO</t>
  </si>
  <si>
    <t>LINA MARIA MORENO MALAGON</t>
  </si>
  <si>
    <t>RONALD  MORERA ESTEVEZ</t>
  </si>
  <si>
    <t>SANDRA PATRICIA PALACIOS ARCE</t>
  </si>
  <si>
    <t>SANDRA YANETH ROMO BENAVIDES</t>
  </si>
  <si>
    <t>VICTOR MANUEL ALFONSO MEDINA</t>
  </si>
  <si>
    <t>LEYSI YURANI GIRALDO MEDINA</t>
  </si>
  <si>
    <t>ALBERTO ANDRES GOMEZ MOSQUERA</t>
  </si>
  <si>
    <t>RAMON EDUARDO VILLAMIZAR MALDONADO</t>
  </si>
  <si>
    <t>ANGELA MARIA CASTRO CEPEDA</t>
  </si>
  <si>
    <t>GINNA MICHELL SUAREZ ALARCON</t>
  </si>
  <si>
    <t>EDNA CAMILA DEL CONSUELO ACERO TINOCO</t>
  </si>
  <si>
    <t>CATALINA MARGARITA MO NAGY PATIÑO</t>
  </si>
  <si>
    <t>HERNAN DAVID ALDANA CARRASCO</t>
  </si>
  <si>
    <t>VALENTIN ALEJANDRO URBINA PALMERA</t>
  </si>
  <si>
    <t>LAURA CRISTINA BALCAZAR DIAZ</t>
  </si>
  <si>
    <t>MARIA DEL PILAR ZAMBRANO GOMEZ</t>
  </si>
  <si>
    <t>YOLANDA  OVIEDO ROJAS</t>
  </si>
  <si>
    <t>MARIA CLAUDIA CARRIZOSA RICAURTE</t>
  </si>
  <si>
    <t>ALICIA VICTORIA BELLO DURAN</t>
  </si>
  <si>
    <t>CLAUDIA PATRICIA SILVA YEPES</t>
  </si>
  <si>
    <t>DAVID HUMBERTO DELGADO RODRIGUEZ</t>
  </si>
  <si>
    <t>ANDRES FELIPE VILLAMIL VILLAMIL</t>
  </si>
  <si>
    <t>JULIAN  VALENCIA SANTOYO</t>
  </si>
  <si>
    <t>DAVID ERNESTO ARIAS SILVA</t>
  </si>
  <si>
    <t>ALEXANDER  VALLEJO</t>
  </si>
  <si>
    <t>ROMY ERVIN GANOA</t>
  </si>
  <si>
    <t>JHOAN SEBASTIAN SANCHEZ</t>
  </si>
  <si>
    <t>SIMON ANDRES ROJAS GUTIERREZ</t>
  </si>
  <si>
    <t>DIANA CAROLINA SHOOL MONTOYA</t>
  </si>
  <si>
    <t>MILDRED TATIANA MORENO CASTRO</t>
  </si>
  <si>
    <t>DIANA PAOLA BEDOYA GARCIA</t>
  </si>
  <si>
    <t>KATHERINE AURORA MEJIA LEAL</t>
  </si>
  <si>
    <t>DIEGO  MARTIN ACERO</t>
  </si>
  <si>
    <t>MARITZA  FORERO HERNANDEZ</t>
  </si>
  <si>
    <t>Oficio-16493</t>
  </si>
  <si>
    <t>ANA MARIA CADENA TOBON</t>
  </si>
  <si>
    <t>ARL</t>
  </si>
  <si>
    <t>CDP EXPEDIDOS</t>
  </si>
  <si>
    <t>GIROS</t>
  </si>
  <si>
    <t>JUAN CAMILO GONZALEZ MEDINA</t>
  </si>
  <si>
    <t>GERMAN DARIO ROMERO SUAREZ</t>
  </si>
  <si>
    <t>PAULA JIMENA MATIZ LOPEZ</t>
  </si>
  <si>
    <t>Adición y prorroga del contrato 304  de 2018 cuyo objeto es: Contratar la prestación del servicio integral de aseo, cafetería y fumigación, incluidos los insumos, para las sedes del Instituto Distrital de Patrimonio Cultural.</t>
  </si>
  <si>
    <t>304-2018</t>
  </si>
  <si>
    <t>Prestar servicios profesionales al Instituto Distrital de Patrimonio Cultural para hacer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</si>
  <si>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Prestar servicios profesionales especializados a la Dirección General del Instituto Distrital de Patrimonio Cultural para acompañar las acciones estratégicas de mejoramiento continuo y seguimiento institucional de la entidad.</t>
  </si>
  <si>
    <t>Prestar servicios profesionales especializados a la Dirección General del Instituto Distrital de Patrimonio Cultural para acompañar las acciones de seguimiento y las respuestas a las solicitudes de información estratégica hechas a la entidad.</t>
  </si>
  <si>
    <t>Personal de Apoyo transversal</t>
  </si>
  <si>
    <t>Adición al contrato 159 de 2019 cuyo objeto es: (Cód. 7) Prestar servicios profesionales al Instituto Distrital de Patrimonio Cultural para orientar los procesos de formación en patrimonio cultural, en el marco del proyecto de inversión 1024 - Formación en patrimonio cultural.</t>
  </si>
  <si>
    <t xml:space="preserve">Prestar servicios profesionales al Instituto Distrital de Patrimonio Cultural para llevar a cabo revisiones ortotipográficas y gramaticales de los textos de las exposiciones del Museo de Bogotá. </t>
  </si>
  <si>
    <t xml:space="preserve">Prestar servicios profesionales al Instituto Distrital de Patrimonio Cultural para realizar la traducción del español al inglés de textos requeridos para las exposiciones  del Museo de Bogotá. </t>
  </si>
  <si>
    <t>Adquisiciòn de equipos audiovisuales y accesorios para el guión de la colección permanente del Museo de Bogotá.</t>
  </si>
  <si>
    <t xml:space="preserve">Compraventa de objetos de carácter histórico y científico para el Museo de Bogotá del Instituto Disttrital de patrimonio cultural </t>
  </si>
  <si>
    <t>Prestar servicios profesionales al Instituto Distrital de Patrimonio Cultural para llevar a cabo el alistamiento en procesos de conservaciòn a las piezas seleccionadas para la exposiciòn permanente del Museo de Bogotá.</t>
  </si>
  <si>
    <t>Prestar servicios profesionales  al Instituto Distrital de Patrimonio Cultural en actividades técnicas y de seguimiento en los procesos de ejecución y terminación de proyectos de obra, interventoría o convenios ejecutados por el Instituto.</t>
  </si>
  <si>
    <t>Prestar servicios profesionales al IDPC, para realizar actividades relacionadas con el componente urbano y de espacio
público de los planes, programas y  proyectos, de conformidad  con las competencias del IDPC.</t>
  </si>
  <si>
    <t>Prestar servicios profesionales a la gestión al Instituto Distrital de Patrimonio Cultural en el desarrollo de actividades administrativas relativas a las intervenciones adelantadas sobre bienes muebles en espacio público de Bogotá D.C.</t>
  </si>
  <si>
    <t>Prestar servicios profesionales  al Instituto Distrital de Patrimonio Cultural en el desarrollo de actividades administrativas relativas a las actividades de asesoría técnica a terceros, revisión, evaluación, verificación y análisis de las solicitudes de intervención de los Bienes de Interés Cultural (BIC) del Distrito Capital.</t>
  </si>
  <si>
    <t>Atender a 2.282 niños/as y adolescentes través de la formación en patrimonio cultural dentro del programa de la jornada única y estrategias de uso del tiempo escolar</t>
  </si>
  <si>
    <t>Capacitar a 4 docentes como formadores de la cátedra de patrimonio, dentro del programa de la jornada única y como estrategias de uso del tiempo escolar</t>
  </si>
  <si>
    <t>Adición y prórroga al contrato 295 de 2018, cuyo objeto es: Contratar la renovación y ampliación del almacenamiento de la solución de respaldo de información para el Instituto Distrital de Patrimonio Cultural.</t>
  </si>
  <si>
    <t>MAURICIO  CORTES GARZON</t>
  </si>
  <si>
    <t>SHARON NATHALY BALLESTEROS SUAREZ</t>
  </si>
  <si>
    <t>Prestar servicios profesionales al Instituto Distrital de Patrimonio Cultural, en la elaboración de insumos técnicos para los proyectos del Instituto.</t>
  </si>
  <si>
    <t>295/2018</t>
  </si>
  <si>
    <t>203B</t>
  </si>
  <si>
    <t>DANIEL FELIPE GUTIERREZ VARGAS</t>
  </si>
  <si>
    <t>NUBIA MARCELA RINCON BUENHOMBRE</t>
  </si>
  <si>
    <t>DIEGO ARMANDO ORTIZ PEREZ</t>
  </si>
  <si>
    <t>LUIS ALEJANDRO FORERO RODRIGUEZ</t>
  </si>
  <si>
    <t>WILLINGTON YESID DELGADO MALDONADO</t>
  </si>
  <si>
    <t>DANIEL ALEJANDRO URUEÑA ROBAYO</t>
  </si>
  <si>
    <t>SHERIL NATALIA SALAZAR BAYONA</t>
  </si>
  <si>
    <t>OSCAR DANIEL CLAVIJO TAVERA</t>
  </si>
  <si>
    <t>ERNESTO  MOURE ERAZO</t>
  </si>
  <si>
    <t>SANDRA CAROLINA NORIEGA AGUILAR</t>
  </si>
  <si>
    <t>IDELBER  SANCHEZ</t>
  </si>
  <si>
    <t>AUDIDATA COLOMBIA SAS</t>
  </si>
  <si>
    <t>ANA MILENA PRADA URIBE</t>
  </si>
  <si>
    <t>EASYCLEAN G&amp;E SAS   .</t>
  </si>
  <si>
    <t>JUAN DAVID QUINTERO PARRA</t>
  </si>
  <si>
    <t>ANGIE MILENA ESPINEL MENESES</t>
  </si>
  <si>
    <t>Apoyar a la Fundación Erigaie para la realización de actividades orientadas al reconocimiento, visibilización, apropiación, protección y salvaguardia  del patrimonio cultural material e inmaterial en la ciudad de Bogotá, a través de la ejecución del proyecto: "HISTORIAS FRAGMENTADAS", de conformidad con el proyecto presentado y concertado en el Programa Distrital de Apoyos Concertados, en el marco del Plan de Desarrollo "Bogotá mejor para todos"</t>
  </si>
  <si>
    <t>Apoyar a Fotomuseo Museo Nacional de la Fotografía de Colombia para la realización de actividades orientadas al reconocimiento, visibilización, apropiación, protección y salvaguardia  del patrimonio cultural material e inmaterial en la ciudad de Bogotá, a través de la ejecución del proyecto: "FOTOGRÁFICA BOGOTÁ 2019 - VIII ENCUENTRO INTERNACIONAL DE FOTOGRAFÍA", de conformidad con el proyecto presentado y concertado en el Programa Distrital de Apoyos Concertados – Proyectos Metropolitanos, en el marco del Plan de Desarrollo “Bogotá mejor para todos”.</t>
  </si>
  <si>
    <t>RAFAEL ERNESTO MENDEZ CARDENAS</t>
  </si>
  <si>
    <t>FLOREZ &amp; ALVAREZ S A S</t>
  </si>
  <si>
    <t>YULI ANDREA MAHECHA REINA</t>
  </si>
  <si>
    <t>FERNANDO AUGUSTO VERGARA GARCIA</t>
  </si>
  <si>
    <t>JUAN FELIPE PINILLA &amp; ASOCIADOS DERECHO-URBANO SAS</t>
  </si>
  <si>
    <t>JOSE LEONARDO PEDRAZA GOMEZ</t>
  </si>
  <si>
    <t>YEIMI PAOLA PEDROZA MOCETON</t>
  </si>
  <si>
    <t>ANTONIO JOSE FUERTES CHAPARRO</t>
  </si>
  <si>
    <t>MARIA CAROLINA LEIVA FIERRO</t>
  </si>
  <si>
    <t>EDMAR ENRIQUE TORRES RECALDE</t>
  </si>
  <si>
    <t>MARIA CAMILA SANCHEZ SAMPER</t>
  </si>
  <si>
    <t>RITA ADRIANA LOPEZ MONCAYO</t>
  </si>
  <si>
    <t>Prestar servicios profesionales al Instituto Distrital de Patrimonio Cultural para la coordinación del proyecto Museo de la ciudada Autoconstruida en el desarrollo de las fases de planeación, producción y ejecución.</t>
  </si>
  <si>
    <t>PANAMERICANA LIBRERIA Y PAPELERIA S A</t>
  </si>
  <si>
    <t>ALEXANDRA NAYIBE RUBIO RODRIGUEZ</t>
  </si>
  <si>
    <t>DIANA MARIA BERNAL FALLA</t>
  </si>
  <si>
    <t>ANA MARCELA CASTRO GONZALEZ</t>
  </si>
  <si>
    <t>MAGDA FABIOLA ROJAS RAMIREZ</t>
  </si>
  <si>
    <t>DANIELA  MARTÍNEZ ORTÍZ</t>
  </si>
  <si>
    <t>MILTON OSWALDO RUIZ MICAN</t>
  </si>
  <si>
    <t>YANESSA  LILCHYN</t>
  </si>
  <si>
    <t>Diseño, fabricación e instalación de una estructura protectora removible para el Tranvía de Mulas, pieza museográfica central de la sala – Sobre rieles: el Tranvía en Bogotá-, del Museo de Bogotá.</t>
  </si>
  <si>
    <t>Saldo fuente de financiación recursos administrados de destinación específica.</t>
  </si>
  <si>
    <t>COLOMBIANA DE COMERCIO SA</t>
  </si>
  <si>
    <t>VALERIA  FLOREZ GONZALEZ</t>
  </si>
  <si>
    <t>HERACLITO  LANDINEZ SUAREZ</t>
  </si>
  <si>
    <t>FREDY ANDRES USAQUEN AGUIRRE</t>
  </si>
  <si>
    <t>ALEXANDER  MORALES AGUIRRE</t>
  </si>
  <si>
    <t>CLEMENCIA  IBAÑEZ DE CANO</t>
  </si>
  <si>
    <t>SOCIEDAD HOTELERA TEQUENDAMA S A</t>
  </si>
  <si>
    <t>TECHNOLOGY WORLD GROUP SAS</t>
  </si>
  <si>
    <t>PAOLA ANDREA RANGEL MARTINEZ</t>
  </si>
  <si>
    <t>CESAR EDUARDO PORRAS POSADA</t>
  </si>
  <si>
    <t>MARIA JIMENA LOAIZA REINA</t>
  </si>
  <si>
    <t>Plan de Adecuación del SIG - MIPG</t>
  </si>
  <si>
    <t>Gestionar el 100% del plan de adecuación y sostenibilidad del SIG-MIPG</t>
  </si>
  <si>
    <t>01-03 0020 Mantenimiento y mejoramiento de la infraestructura cultural</t>
  </si>
  <si>
    <t>02-03 0114 Adquisición de Equipos, materiales, suministros</t>
  </si>
  <si>
    <t>05-02 0152 Adquisición de equipos y software para el
mejoramiento de la gestión institucional</t>
  </si>
  <si>
    <t>05-02 0020 Personal contratado para las actividades propias de los procesos de mejoramiento de gestión de la entidad</t>
  </si>
  <si>
    <t>03-01 0066 Fomento, apoyo y divulgación de eventos y expresiones artísticas, culturales y del patrimonio</t>
  </si>
  <si>
    <t>04-01 0187 Actividades de formación en arte, cultura, patrimonio, recreación y deporte</t>
  </si>
  <si>
    <t>04-01 0185 Actividades de investigación para la valoración, protección, conservación, sostenibilidad y apropiación del Patrimonio Cultural</t>
  </si>
  <si>
    <t>01-01 0525 Recuperación y aprovechamiento de bienes de interes cultural</t>
  </si>
  <si>
    <t>01-03 0103 Administración, mantenimiento y mejoramiento de los bienes muebles e inmuebles ubicados en el espacio público del Distrito Capital</t>
  </si>
  <si>
    <t>03-04 0316 Personal de apoyo para las actividades de valoración, protección y conservación del Patrimonio Cultural</t>
  </si>
  <si>
    <t xml:space="preserve">Intervenir 400,29 Bienes de Interés Cultural  (BIC) del D.C. a través de obras de adecuación, ampliación, conservación, consolidación estructural, rehabilitación y mantenimiento y/o restauración  </t>
  </si>
  <si>
    <t xml:space="preserve">Intervenir400,29 Bienes de Interés Cultural  (BIC) del D.C. a través de obras de adecuación, ampliación, conservación, consolidación estructural, rehabilitación y mantenimiento y/o restauración  </t>
  </si>
  <si>
    <t>BIC intervenidos (Plazade Mercado La Concordia)</t>
  </si>
  <si>
    <t>BIC intervenidos (Valor dirigido para reconocer la afiliación de riesgos laborales Nivel 5)</t>
  </si>
  <si>
    <t>03 - Recursos Administrados 147-Otros Recursos del balance de destinación específica</t>
  </si>
  <si>
    <t>BIC intervenidos (Plazade Mercado La Concordia)Adición Convenio Fase 2</t>
  </si>
  <si>
    <t>03-20</t>
  </si>
  <si>
    <t>Prestar servicios profesionales al Instituto Distrital de Patrimonio Cultural para acompañar el componente histórico y museológico de los procesos curatoriales desarrollados por el Museo de Bogotá.</t>
  </si>
  <si>
    <t>Prestar servicios profesionales al IDPC para orientar el desarrollo de los procesos curatoriales y de investigación requeridos en el marco de las exposiciones temporales del Museo de Bogotá</t>
  </si>
  <si>
    <t>Prestar servicios profesionales al IDPC para apoyar el desarrollo del plan de exposiciones temporales del Museo de Bogotá y los requerimientos asociados a los planes y proyectos especiales de la entidad</t>
  </si>
  <si>
    <t>Prestar servicios profesionales al Instituto Distrital de Patrimonio Cultural para la realización del diseño museográfico de los proyectos adelantados por el Museo de Bogotá.</t>
  </si>
  <si>
    <t xml:space="preserve">Prestar servicios profesionales al Instituto Distrital de Patrimonio Cultural en la realización de tareas de diseño gráfico del Museo de Bogotá.
</t>
  </si>
  <si>
    <t>Prestar servicios profesionales al Instituto Distrital de Patrimonio Cultural en la realización de tareas de diseño gráfico del Museo de Bogotá.</t>
  </si>
  <si>
    <t>Prestar servicios profesionales al Instituto Distrital de Patrimonio Cultural para orientar los procesos de gestión de la colección del Museo de Bogotá.</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</si>
  <si>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</si>
  <si>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acompañar el componente pedagógico y didáctico del portafolio de servicios educativos y culturales del Museo de Bogotá</t>
  </si>
  <si>
    <t xml:space="preserve">Prestar servicios profesionales al IDPC en la realización del diseño, de la programación cultural y apoyar el desarrollo de las actividades del portafolio de servicios educativos y culturales del Museo de Bogotá.  </t>
  </si>
  <si>
    <t>Prestar servicios profesionales al IDPC en la ejecución de los procesos de mediación y generación de contenidos pedagógicos del portafolio de servicios educativos y culturales del Museo de Bogotá.</t>
  </si>
  <si>
    <t>Prestar servicios de apoyo a la gestión del IDPC en la planificación, y ejecución y registro  de resultados del portafolio de servicios educativos y culturales del Museo de Bogotá.</t>
  </si>
  <si>
    <t>Prestar servicios de apoyo a la gestión del IDPC en los trámites administrativos y operativos generados en la operación del Museo de Bogotá</t>
  </si>
  <si>
    <t>Reduccción de presupuesto seún Circular 001 de 2019 de la Secretaría Distrital de Hacienda</t>
  </si>
  <si>
    <t>Prestar servicios profesionales al Instituto Distrital de Patrimonio Cultural para elaborar planimetría, modelados, renders y demás información gráfica en la formulación de proyectos del Plan Especial de Manejo y Protección -PEMP- del Centro Histórico de Bogotá D.C.</t>
  </si>
  <si>
    <t>BIC intervenidos (Concejo e Bogotá)</t>
  </si>
  <si>
    <t xml:space="preserve">Programa Fachadas 
</t>
  </si>
  <si>
    <t>BIC intervenidos (Sede Casa Tito)</t>
  </si>
  <si>
    <t>BIC intervenidos (Sede Principal o Casa Genoveva)</t>
  </si>
  <si>
    <t>Ejecutar bajo la modalidad de precios unitarios fijos las obras de adecuación del acceso principal del edificio del Concejo de Bogotá ubicado en la calle 36 no, 28a-41 de bogotá d.c., en el marco del Convenio 170316 de 2017 suscrito entre la SHD y el IDPC.</t>
  </si>
  <si>
    <t>Realizar la interventoría integral de la obra que tiene por objeto: “Ejecutar bajo la modalidad de precios unitarios fijos las obras de adecuación del acceso principal del edificio del Concejo de Bogotá ubicado en la Calle 36 No. 28A-41 de Bogotá D. C., en el marco del Convenio No. 170316 de 2017 suscrito entre la SDH y el IDPC.”</t>
  </si>
  <si>
    <t>Prestar servicios profesionales al Instituto Distrital de Patrimonio Cultural para apoyar la supervisión y seguimiento a los procesos y acciones del Convenio No. 170316 de 2017 suscrito entre la SDH y el IDPC, así como los contratos derivados del mismo.</t>
  </si>
  <si>
    <t>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</si>
  <si>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Adición y prórroga al Contrato de Obra No. 411 de 2017, que tiene por objeto: "Ejecución de la segunda etapa de las obras correspondientes a la intervención de la Plaza de Mercado Distrital La Concordia y la ampliación y adecuación de la sede de la nueva Galería Santa Fe, bajo la modalidad de precios unitarios fijos sin fórmula de ajuste, ubicadas en la carrera 1a # 14 - 42 (antigua) / calle 12c # 1 - 40 (nueva), en la ciudad de Bogotá D.C."</t>
  </si>
  <si>
    <t xml:space="preserve"> Adición y prórroga al Contrato de Interventoría No. 416 de 2017, que tiene por objeto: "Realizar la interventoría técnica, administrativa y financiera de la obra cuyo objeto es: Ejecución de la segunda etapa de las obras correspondientes a la intervención de la Plaza de Mercado Distrital La Concordia y la ampliación y adecuación de la sede de la nueva Galería Santa Fe, bajo la modalidad de precios unitarios fijos sin fórmula de ajuste, ubicadas en la carrera 1a # 14 - 42 (antigua) / calle 12c # 1 - 40 (nueva), en la ciudad de Bogotá D.C."</t>
  </si>
  <si>
    <t>BIC intervenidos (Casa Cadel)</t>
  </si>
  <si>
    <t>BIC  intervenidos (Casa Colorada)</t>
  </si>
  <si>
    <t>BIC  intervenidos (Basilica Menor Iglesia del Voto Nacional)</t>
  </si>
  <si>
    <t>BIC  intervenidos (Plaza Santamaría)</t>
  </si>
  <si>
    <t xml:space="preserve">BIC  intervenidos </t>
  </si>
  <si>
    <t>BIC intervenidos (Plaza Santamaría)</t>
  </si>
  <si>
    <t>BIC intervenidos (Casa Colorada)</t>
  </si>
  <si>
    <t>BIC intervenidos (Galerías Líevano)</t>
  </si>
  <si>
    <t xml:space="preserve">Prestar servicios profesionales al Instituto Distrital de Patrimonio Cultural para adelantar acciones de implementación de la fase de arqueología pública del Plan de Manejo Arqueológico del Centro Histórico, orientadas a la construcción de un instrumento de fácil consulta para la ciudadanía y entidades involucradas con el patrimonio arqueológico y cultural.  </t>
  </si>
  <si>
    <t>Programa Fachadas 
(Intervención y mantenimiento de las Fachadas de las Iglesias San Francisco y Candelaria )</t>
  </si>
  <si>
    <t xml:space="preserve">(Intervención y mantenimiento de las Fachadas de las Iglesias San Francisco y Candelaria ) Programa Fachadas </t>
  </si>
  <si>
    <t>Contratar la realización de pruebas y procesos de laboratorio requeridos, así como la entrega de análisis y resultados para el concepto de intervención de la fachada de la iglesia de San Francisco, ubicada en la Av. Jimenez de Quesada #7-10, de la ciudad de Bogotá d.c</t>
  </si>
  <si>
    <t>Realizar la interventoría técnica, administrativa y financiera de la obra cuyo objeto es: Ejecutar bajo la modalidad de precios unitarios fijos las obras de intervención, conservación y restauración de las fachada de las iglesias San Francisco y Candelaria declaradas bienes de interés cultural, localizadas en la ciudad de Bogotá D.C</t>
  </si>
  <si>
    <t xml:space="preserve">
Programa Fachadas 
</t>
  </si>
  <si>
    <t>1423 Bienes de Interés Cultural (BIC) intervenidos</t>
  </si>
  <si>
    <t>1424 Bienes de Interés Cultural (BIC) intervenidos</t>
  </si>
  <si>
    <t>1425 Bienes de Interés Cultural (BIC) intervenidos</t>
  </si>
  <si>
    <t>1426 Bienes de Interés Cultural (BIC) intervenidos</t>
  </si>
  <si>
    <t>1427 Bienes de Interés Cultural (BIC) intervenidos</t>
  </si>
  <si>
    <t>1428 Bienes de Interés Cultural (BIC) intervenidos</t>
  </si>
  <si>
    <t>1429 Bienes de Interés Cultural (BIC) intervenidos</t>
  </si>
  <si>
    <t>1430 Bienes de Interés Cultural (BIC) intervenidos</t>
  </si>
  <si>
    <t>1431 Bienes de Interés Cultural (BIC) intervenidos</t>
  </si>
  <si>
    <t>1432 Bienes de Interés Cultural (BIC) intervenidos</t>
  </si>
  <si>
    <t>1433 Bienes de Interés Cultural (BIC) intervenidos</t>
  </si>
  <si>
    <t xml:space="preserve">Contratar el alquiler de equipos para trabajos en alturas para la ejecución de las intervenciones técnicas de enlucimiento, limpieza y mantenimiento de los bienes inmuebles y muebles ubicados en el espacio público, declarados bienes de interés cultural. </t>
  </si>
  <si>
    <t>Prestar servicios profesionales al Instituto Distrital de Patrimonio Cultural para la ejecución de las actividades relacionadas con el Sistema Integrado de Conservación, en concordancia con la normatividad vigente.</t>
  </si>
  <si>
    <t>Adición al contrato 140 cuyo objeto es: Prestar servicios profesionales al Instituto Distrital de Patrimonio Cultural para apoyar a la Asesoría Jurídica o quien haga sus veces, en los procesos de selección sin límite de cuantía, en las etapas precontractual, contractual y post-contractual.</t>
  </si>
  <si>
    <t>118b</t>
  </si>
  <si>
    <t>152b</t>
  </si>
  <si>
    <t>Prestar servicios profesionales al Instituto Distrital de Patrimonio Cultural para apoyar las actividades de divulgación, participación ciudadana y control social en el Instituto Distrital de Patrimonio Cultural</t>
  </si>
  <si>
    <t>Prestar servicios profesionales  como abogado en asuntos contractuales  y demas temas jurídicos que desarrolle la Subdireccion de Protección e Intervención del patrimonio  del IDPC</t>
  </si>
  <si>
    <t>Redución de recursos</t>
  </si>
  <si>
    <t>Realizar las obras de intervención de conservación y restauración del conjunto escultórico del Monumento a las Banderas del escultor Alonso Neira Martínez</t>
  </si>
  <si>
    <t>Realizar la interventoría integral de la obra cuyo objeto es: "Realizar las obras de intervención de conservación y restauración del conjunto escultórico del Monumento a las Banderas del escultor Alonso Neira Martínez"</t>
  </si>
  <si>
    <t>Ejecutar bajo la modalidad de precios unitarios fijos sin fórmula de reajuste las obras de reparaciones locativas para el monumento a los héroes, en la ciudad de Bogotá D.C..</t>
  </si>
  <si>
    <t>Contratar el alquiler de equipos para trabajos en alturas, para la ejecución de las intervenciones técnicas de enlucimiento, limpieza y mantenimiento de los bienes inmuebles y muebles ubicados en el espacio público, declarados Bienes de Interés Cultural.</t>
  </si>
  <si>
    <t>Prestar servicios profesionales para apoyar al Instituto Distrital de Patrimonio Cultural en actividades técnicas y de seguimiento en los procesos de ejecución y terminación de proyectos de obra, interventoría o convenios ejecutados por el Instituto..</t>
  </si>
  <si>
    <t>Prestar servicios profesionales especializados al Instituto Distrital de Patrimonio Cultural en la planeación estratégica y desarrollo de las acciones de intervención y protección del patrimonio cultural del Distrito Capital.</t>
  </si>
  <si>
    <t xml:space="preserve">Monumentos en espacio público </t>
  </si>
  <si>
    <t>Adquisición de bienes muebles para dotar la sala Gonzalo Jiménez de Quesada del Museo de Bogotá del Instituto Distrital de Patrimonio Cultural.</t>
  </si>
  <si>
    <t>Prestar servicios profesionales al Instituto Distrital de Patrimonio Cultural para la gestión y desarrollo de procesos de divulgación y posicionamiento de los proyectos del Museo de Bogotá</t>
  </si>
  <si>
    <t>Prestar servicios profesionales al Instituto Distrital de Patrimonio Cultural, para apoyar la ejecución del Plan del Sistema Integrado de Gestión, SIG.</t>
  </si>
  <si>
    <t>Prestar servicios profesionales al Instituto Distrital de Patrimonio Cultural, para apoyar la ejecución del Plan de adecuación y sostenibilidad del SIG-MIPG.</t>
  </si>
  <si>
    <t>295/2019</t>
  </si>
  <si>
    <t>Adición y Prórroga al Contrato No. 60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ANDREA YIZETH CESPEDES VILLAR</t>
  </si>
  <si>
    <t>ANDREA YIZETH CESPEDES VILLAR</t>
  </si>
  <si>
    <t>Adición y Prórroga al Contrato No. 55 de 2019, cuyo objeto es: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YENIFER ANDREA LAGOS BUENO</t>
  </si>
  <si>
    <t>Adición y Prórroga al Contrato No. 61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EFRAIN JOSE CANEDO CASTRO</t>
  </si>
  <si>
    <t>EFRAIN JOSE CANEDO CASTRO</t>
  </si>
  <si>
    <t>Adición y Prórroga al Contrato No. 52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JAVIER FERNANDO MATEUS TOVAR</t>
  </si>
  <si>
    <t>LAURA ANGELICA MORENO LEMUS</t>
  </si>
  <si>
    <t xml:space="preserve">Adición y Prórroga al Contrato No. 49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LAURA ANGELICA MORENO LEMUS  </t>
  </si>
  <si>
    <t>ANA MARIA NOGUERA DIAZ</t>
  </si>
  <si>
    <t>SANTIAGO ULISES JARA RAMIREZ</t>
  </si>
  <si>
    <t>FOTOMUSEO MUSEO NACIONAL DE LA FOTOGRAFIA DE COLOMBIA</t>
  </si>
  <si>
    <t>FUNDACION MUSEO CIENCIAS DE LA SALUD</t>
  </si>
  <si>
    <t>yenifer andrea lagos bueno</t>
  </si>
  <si>
    <t>JAVIER FERNANDO MATEUS TOVAR</t>
  </si>
  <si>
    <t>MARTHA LILIANA PATIÑO BOSIGA</t>
  </si>
  <si>
    <t>JULIAN EDUARDO ARANA ROJAS</t>
  </si>
  <si>
    <t>MONICA  COY DE MARQUEZ</t>
  </si>
  <si>
    <t>NATALIA  ACHIARDI ORTIZ</t>
  </si>
  <si>
    <t>SERGIO IVAN ROJAS BERRIO</t>
  </si>
  <si>
    <t xml:space="preserve"> Prestar servicios profesionales como arquitecto al Instituto Distrital de Patrimonio Cultural, en temas relacionados con estructuración y ejecución de obras en proyectos de conservación y restauración en Bienes de Interés Cultural del D.C.</t>
  </si>
  <si>
    <t>365-438</t>
  </si>
  <si>
    <t>DIANA MARCELA GARCIA SIERRA</t>
  </si>
  <si>
    <t>SANDRA ESTER MENDOZA LAFAURIE</t>
  </si>
  <si>
    <t>felipe  ochoa gomez</t>
  </si>
  <si>
    <t>WILMAR DUVAN TOVAR LEYVA</t>
  </si>
  <si>
    <t>SOL MILENA GUERRA ZAPATA</t>
  </si>
  <si>
    <t>02-03 0114</t>
  </si>
  <si>
    <t>05-02 0152</t>
  </si>
  <si>
    <t>03-21</t>
  </si>
  <si>
    <t>03-Recursos Administrados 374-Rendimientos Financieros Destinación Específica</t>
  </si>
  <si>
    <t>03-01 0066</t>
  </si>
  <si>
    <t>03-04 0187</t>
  </si>
  <si>
    <t>Prestar servicios profesionales al Instituto Distrital de Patrimonio Cultural  para realizar el apoyo técnico en el area de Bienes Muebles en el desarrollo del proyecto de intervención de BIC Voto Nacional.</t>
  </si>
  <si>
    <t>(Cód. 462) Realizar la interventoría integral  de la obra cuyo objeto es: Ejecución de la tercera etapa de las obras complementarias para el funcionamiento de la Plaza de Mercado Distrital La Concordia y la conexión vertical con la Galería de Arte Santa Fe, ubicadas en la carrera 1a # 14 - 42 (antigua) / calle 12c # 1 - 40 (nueva), en la ciudad de Bogotá D.C."</t>
  </si>
  <si>
    <t>317-2018</t>
  </si>
  <si>
    <t>Adiciòn al Contrato Nº317-2018: Contratar el servicio de transporte terrestre de carga con conductor y combustible, para transportar insumos, materiales, herramientas y equipos que requiera el Instituto Distrital de Patrimonio Cultural dentro del perímetro urbano de la ciudad de Bogotá D.C.</t>
  </si>
  <si>
    <t>Adiciòn al Contrato Nº 212-2019: Còd.298 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</si>
  <si>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Prestar servicios profesionales al Instituto Distrital de Patrimonio Cultural apoyando los tramites administrativos y conceptos técnicos utilizando normas aplicables para intervenciones sobre los inmuebles de interés cultural del Distrito Capital.</t>
  </si>
  <si>
    <t>455-470</t>
  </si>
  <si>
    <t>436-471</t>
  </si>
  <si>
    <t>CONSTRUCCIONES RETO SAS</t>
  </si>
  <si>
    <t>SOL MIYERY GAITAN MARTINEZ</t>
  </si>
  <si>
    <t>GINA CATHERINE LEON CABRERA</t>
  </si>
  <si>
    <t>MEGASEGURIDAD LA PROVEEDORA LTDA</t>
  </si>
  <si>
    <t>Prestar servicios profesionales al Instituto Distrital de Patrimonio Cultural para el desarrollo del alcance normativo del Plan Especial de Manejo y Protección -PEMP- del Centro Histórico de Bogotá D.C., y otros proyectos.</t>
  </si>
  <si>
    <t>Prestar servicios profesionales al Instituto Distrital de Patrimonio Cultural para apoyar la formulación, aplicación y puesta en marcha de instrumentos de financiación para la sostenibilidad de los Bienes de Interés Cultural en el Distrito Capital.</t>
  </si>
  <si>
    <t xml:space="preserve">
Adición y Prórroga al Contrato No. 60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ANDREA YIZETH CESPEDES VILLAR</t>
  </si>
  <si>
    <t xml:space="preserve">
Adición y Prórroga al Contrato No. 55 de 2019, cuyo objeto es: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YENIFER ANDREA LAGOS BUENO</t>
  </si>
  <si>
    <t xml:space="preserve">
Adición y Prórroga al Contrato No. 52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JAVIER FERNANDO MATEUS TOVAR</t>
  </si>
  <si>
    <t xml:space="preserve">
Adición y Prórroga al Contrato No. 49 de 2019, cuyo objeto es: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LAURA ANGELICA MORENO LEMUS  </t>
  </si>
  <si>
    <t xml:space="preserve">
Adición y Prórroga al Contrato No. 44 de 2019, cuyo objeto es: 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
DIEGO MENESES</t>
  </si>
  <si>
    <t xml:space="preserve">
Adición y Prórroga al Contrato No. 42 de 2019, cuyo objeto es: 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
LEONOR ISBELIA GOMEZ HERNANDEZ</t>
  </si>
  <si>
    <t>Actualización del estudio de suelos y cimentaciones para la Nave Central de la Iglesia del Voto Nacional, localizado en la Carrera 15 No. 10 – 43 de la ciudad de Bogotá.</t>
  </si>
  <si>
    <t xml:space="preserve">Prestar servicios profesionales al Instituto Distrital de Patrimonio Cultural apoyando la ejecucion, difusion y promocion de estrategias, proyectos y programas de intervencion y proteccion del patrimonio. </t>
  </si>
  <si>
    <t>Contratar el servicio de transporte terrestre de carga con conductor y combustible para transportar insumos, materiales, herramientas, equipos y material museográfico que requiera el instituto distrital de patrimonio cultural dentro del perímetro urbano de la ciudad de Bogotá D.C</t>
  </si>
  <si>
    <t>Adición y Prorroga al Contrato 474-2018:"Ejecutar bajo la modalidad de precios unitarios la obra de intervención de la segunda etapa  del inmueble ubicado en la Calle 12 B N° 2-91 denominado Casa Tito".</t>
  </si>
  <si>
    <t>474/2018</t>
  </si>
  <si>
    <t>Adición y Prorroga al Contrato 469-2018 cuyo objeto es: Realizar la interventoría de la obra cuyo objeto es: "'Ejecutar bajo la modalidad de precios unitarios, la obra de intervención de la segunda etapa  del inmueble ubicado en la Calle 12 B N° 2-91 denominado Casa Tito.".</t>
  </si>
  <si>
    <t>469/2018</t>
  </si>
  <si>
    <t>DANILO  SANCHEZ SUARIQUE-Oscar Mario Yusty Trujillo</t>
  </si>
  <si>
    <t>481/2018</t>
  </si>
  <si>
    <t>Adición y Prorroga al contrato N°481-2018, cuyo es: Realizar la interventoría integral del contrato de obra cuyo objeto es: "Realizar las obras de intervención de conservación-restauración de monumentos y/o esculturas en el espacio público en la ciudad de Bogotá D.C."</t>
  </si>
  <si>
    <t>Adición y Prorroga al contrato N°486-2018, cuyo es:Realizar las obras de intervención de conservación-restauración de monumentos y/o esculturas en el espacio público en la ciudad de Bogotá D.C.</t>
  </si>
  <si>
    <t>486/2018</t>
  </si>
  <si>
    <t>JUAN FELIPE ESPINOSA DE LOS MONTEROS</t>
  </si>
  <si>
    <t>INSTITUCIONAL STAR SERVICES LTDA</t>
  </si>
  <si>
    <t>Prestar servicios de apoyo a la gestión al Instituto Distrital de Patrimonio Cultural para el monitoreo de las acciones de intervención adelantadas sobre bienes muebles en espacio público de Bogotá D.C.</t>
  </si>
  <si>
    <t>Prestar servicios profesionales al Instituto Distrital de Patrimonio Cultural realizando el analisis y la evaluación de las solicitudes de intervención para la protección de los bienes inmuebles de interés cultural del Distrito Capital.</t>
  </si>
  <si>
    <t>Prestar servicios profesionales al Instituto Distrital de Patrimonio Cultural en la realización de propuestas museográficas de los proyectos adelantados por el Museo de Bogotá</t>
  </si>
  <si>
    <t xml:space="preserve">Prestar servicios profesionales al Instituto Distrital de Patrimonio Cultural en la ejecución de los procesos de mediación y generación de contenidos pedagógicos del portafolio de servicios educativos.
</t>
  </si>
  <si>
    <t>Prestar servicios profesionales al Instituto Distrital de Patrimonio Cultural para realizar la museografía del proyecto Museo de la ciudad autoconstruida.</t>
  </si>
  <si>
    <t>Prestar servicios profesionales al Instituto Distrital de Patrimonio Cultural en la realización de tareas de diseño gráfico del proyecto Museo de la ciudad autoconstruida</t>
  </si>
  <si>
    <t>Prestar servicios profesionales al Instituto Distrital de Patrimonio Cultural para el desarrollo de la oferta de servcios del área de educación del proyecto Museo de la ciudad autoconstruida.</t>
  </si>
  <si>
    <t>Prestar servicios profesionales al Instituto Distrital de Patrimonio Cultural en la formulación y ejecución de los procesos de mediación y generación de contenidos del proyecto Museo de la ciudad autoconstruida.</t>
  </si>
  <si>
    <t>Prestar servicios profesionales al Instituto Distrital de Patrimonio Cultural para apoyar el proceso curatorial y las actividades relacionadas con la puesta en marcha del proyecto Museo de la ciudad autoconstruida.</t>
  </si>
  <si>
    <t>Prestar servicios profesionales al Instituto Distrital de Patrimonio Cultural para acompañar y revisar la propuesta curatorial y museográfica para el proyecto Museo de la ciudad autoconstruida.</t>
  </si>
  <si>
    <t>Prestar servicios profesionales al Instituto Distrital de Patrimonio Cultural para apoyar la realización de las evidencias audiovisuales requeridas para el montaje del proyecto Museo de la ciudad autoconstruida.</t>
  </si>
  <si>
    <t>Cesión de derechos patrimoniales de fotografías de Germán Tellez requeridas para la colección del Museo de Bogotá del Instituto Distrital de Patrimonio Cultural.</t>
  </si>
  <si>
    <t>Contratar la realización audiovisual de los soportes museográficos  requeridos para el proyecto Museo de la ciudad autoconstruída</t>
  </si>
  <si>
    <t>Contratar el servicio de transporte terrestre de carga con conductor y combustible para transportar insumos, materiales, herramientas, equipos y material museográfico que requiera el instituto distrital de patrimonio cultural dentro del perímetro urbano de la ciudad de Bogotá D.C.</t>
  </si>
  <si>
    <t xml:space="preserve">Apoyar a la Organización de la Comunidad Raizal con Residencia Fuera del Archipiélago de San Andrés, Providencia y Santa Catalina para la realización de actividades orientadas al reconocimiento, visibilización, apropiación, protección y salvaguardia  del patrimonio cultural material e inmaterial de la comunidad Raizal en la ciudad de Bogotá,  en el marco del plan de desarrollo Bogotá mejor para todos.  </t>
  </si>
  <si>
    <t xml:space="preserve">Apoyar a el Proceso Organizativo del Pueblo Rom - Gitano de Colombia para la realización de actividades orientadas al reconocimiento, visibilización, apropiación, protección y salvaguardia del patrimonio cultural material e inmaterial de la comunidad Rrom en la ciudad de Bogotá, en el marco del Plan de Desarrollo "Bogotá mejor para todos".    </t>
  </si>
  <si>
    <t xml:space="preserve">Apoyar a la Organización del Pueblo Gitano de Colombia, Unión Romaní de Colombia para la realización de actividades orientadas al reconocimiento, visibilización, apropiación, protección y salvaguardia  del patrimonio cultural material e inmaterial de la comunidad Rrom en la ciudad de Bogotá, en el marco del Plan de Desarrollo "Bogotá mejor para todos".   </t>
  </si>
  <si>
    <t>Saldo del componente SIG-MIPG</t>
  </si>
  <si>
    <t>HECTOR CAMILO GOMEZ CAMARGO</t>
  </si>
  <si>
    <t>MARCELA  TRISTANCHO MANTILLA</t>
  </si>
  <si>
    <t>JOHANNA MARCELA GALINDO URREGO</t>
  </si>
  <si>
    <t>CARLOS ARTURO ROJAS PEREZ</t>
  </si>
  <si>
    <t>ANA MARIA COLLAZOS SOLANO</t>
  </si>
  <si>
    <t>ASTRID KARINA FAJARDO CARVAJAL</t>
  </si>
  <si>
    <t>LEONOR ISBELIA GOMEZ HERNANDEZ</t>
  </si>
  <si>
    <t>CARLOS ANDRES TORRES MOLINA</t>
  </si>
  <si>
    <t>DIEGO ANDRES MEJIA VILA</t>
  </si>
  <si>
    <t>UT MONUMENTOS 2019</t>
  </si>
  <si>
    <t xml:space="preserve">CONSORCIO INMUEBLE CALLE 12B   </t>
  </si>
  <si>
    <t xml:space="preserve">CONSORCIO LA CANDELARIA 2019   </t>
  </si>
  <si>
    <t>MARIA CAROLINA RUEDA PEREZ-CRISTIAN ANDRES GUTIERREZ PRIETO</t>
  </si>
  <si>
    <t>FUNDACIÓN ERIGAIE</t>
  </si>
  <si>
    <t>DIEGO IVAN MENESES FIGUEROA</t>
  </si>
  <si>
    <t>Adición</t>
  </si>
  <si>
    <t>Reducción</t>
  </si>
  <si>
    <t>Resolución 228</t>
  </si>
  <si>
    <t>DIANA  ROSAS RIAÑO</t>
  </si>
  <si>
    <t>LILIANA  GRACIA HINCAPIE</t>
  </si>
  <si>
    <t>MARIA JOSE ALMARALES DIAZ</t>
  </si>
  <si>
    <t>LINA DEL MAR MORENO TOVAR</t>
  </si>
  <si>
    <t>LUISA ANGELA CARO DIAZ</t>
  </si>
  <si>
    <t>TANIA  CORREA BOHORQUEZ</t>
  </si>
  <si>
    <t>ILONA GRACIELA MURCIA IJJASZ</t>
  </si>
  <si>
    <t>EDWIN GERARDO GUZMAN MOLINA</t>
  </si>
  <si>
    <t>VALOR PRESUPUESTADO PARA LOS JURADOS QUE EVALUARÁN LAS PROPUESTAS DEL PROGRAMA DISTRITAL DE ESTÍMULOS 2018 - BECA PARA LA VISIBILIZACIÓN DE LOS SABERES Y PRÁCTICAS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</si>
  <si>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</si>
  <si>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 xml:space="preserve">VALOR PRESUPUESTADO PARA LOS JURADOS QUE EVALUARÁN LAS PROPUESTAS DEL PROGRAMA DISTRITAL DE ESTÍMULOS 2018 -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   </t>
  </si>
  <si>
    <t>VALOR PRESUPUESTADO PARA LOS JURADOS QUE EVALUARÁN LAS PROPUESTAS DEL PROGRAMA DISTRITAL DE ESTÍMULOS 2018 -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</si>
  <si>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</si>
  <si>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2018 - BECA PARA LA VISIBILIZACIÓN DE LOS SABERES Y PRÁCTIRCAS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</si>
  <si>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JUAN FELIPE PEREZ DIAZ</t>
  </si>
  <si>
    <t>ANA PAULA GOMEZ URIBE</t>
  </si>
  <si>
    <t>VIVIANA ANDREA OLAVE QUINTERO</t>
  </si>
  <si>
    <t>JAIRZINHO FRANCISCO PANQUEBA CIFUENTES</t>
  </si>
  <si>
    <t>VALOR PRESUPUESTADO PARA LOS JURADOS QUE EVALUARÁN LAS PROPUESTAS DEL PROGRAMA DISTRITAL DE ESTÍMULOS 2019 - BECA PARA LA VISIBILIZACIÓN Y APROPIACIÓN DEL PATRIMONIO CULTURAL INMATERIAL DE LAS COMUNIDADES NEGRAS, AFRODESCENDIENTES Y PALENQUERAS DE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</si>
  <si>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PARA LA VISIBILIZACIÓN DE LOS SABERES Y PRÁCTICAS DE MUJERES PORTADORAS DE MANIFESTACIONES DE PATRIMONIO CULTURAL INMATERIAL EN BOGOTÁ. SEGÚN RESOLUCIÓN NO 0228 DEL 08 DE ABRIL DE 2019, ¿ POR MEDIO DE LA CUAL SE DESIGNAN LOS JURADOS QUE EVALUARAN LAS PROPUESTAS DE LAS CONVOCATORIAS: BECA PARA LA VISIBILIZACIÓN Y APROPIACIÓN DEL PATRIMONIO CULTURAL INMATERIAL DE LAS COMUNIDADES NEGRAS, AFRODESCENDIENTES Y PALENQUERAS DE BOGOTÁ Y BECA PARA LA VISIBILIZACIÓN DE LOS SABERES Y PRÁCTICAS DE MUJERES PORTADORAS DE MANIFESTACIONES DE PATRIMONIO CULTURAL INMATERIAL EN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</si>
  <si>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</si>
  <si>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</si>
  <si>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Y DIVULGACIÓN DE UNA COLECCIÓN DE BIENES MUEBLES EN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</si>
  <si>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PATRIMONIOS LOCALES - SALVAGUARDIA DEL PATRIMONIO CULTURAL INMATERIAL DE BOGOTÁ.  SEGÚN RESOLUCIÓN NO 0230 DEL 09 DE ABRIL DE 2019, ¿ POR MEDIO DE LA CUAL SE DESIGNAN LOS JURADOS QUE EVALUARAN LAS PROPUESTAS DE LA CONVOCATORIA: BECA PATRIMONIOS LOCALES: SALVAGUARDIA DEL PATRIMONIO CULTURAL INMATERIAL DE BOGOTA Y BECA DE INVESTIGACION Y DIVULGACION DE UNA COLECCIÓN DE BIENES MUEBLES DE BOGOTA, DEL PROGRAMA DISTRITAL DE ESTÍMULOS DEL INSTITUTO DISTRITAL DE PATRIMONIO CULTURAL ¿ IDPC 2019 Y SE ORDENA EL DESEMBOLSO DE LOS ESTÍMULOS ECONÓMICOS ASIGNADOS.¿</t>
  </si>
  <si>
    <t>RITA ADRIANA LOPEZ MONCAYO- IMAGEN URBANA JE  S A S</t>
  </si>
  <si>
    <t>BEATRIZ ELENA RAMIREZ GONZALEZ</t>
  </si>
  <si>
    <t>QUINTERO Y RIAÑO S A</t>
  </si>
  <si>
    <t>RAPIDO GIGANTE S.A.</t>
  </si>
  <si>
    <t>JUAN DAVID MURILLO SANDOVAL</t>
  </si>
  <si>
    <t>LUZ MARINA CRUZ RAMIREZ</t>
  </si>
  <si>
    <t>FREDY LEONARDO GUTIERREZ
GOMEZ</t>
  </si>
  <si>
    <t>MARIA CAMILA JIMENEZ ROMERO</t>
  </si>
  <si>
    <t>Adicionar el Contrato 210-2019: (Cód. 378) Prestar servicios profesionales al Instituto Distrital de Patrimonio Cultural en la planeación, seguimiento y control de la ejecución administrativa y de metas del proyecto de inversión de la Subdirección de Intervención.</t>
  </si>
  <si>
    <t>MONIKA INGERI THERRIEN</t>
  </si>
  <si>
    <t>JUAN DE JESUS GUERRERO
GOMEZ</t>
  </si>
  <si>
    <t>DISETECH S A S</t>
  </si>
  <si>
    <t>Resolución 283</t>
  </si>
  <si>
    <t>Resolución 263</t>
  </si>
  <si>
    <t>Resolución 239</t>
  </si>
  <si>
    <t>Resolución 231</t>
  </si>
  <si>
    <t>CAMPEROS DURAN MANUEL</t>
  </si>
  <si>
    <t>LIZETTE JULIANA DAVILA GAMBOA</t>
  </si>
  <si>
    <t>SANDRA MILENA RAMIREZ MARTINEZ</t>
  </si>
  <si>
    <t>JULIANA  BARRERO CASTELLANOS</t>
  </si>
  <si>
    <t>ALONSO  GUTIERREZ ARISTIZABAL</t>
  </si>
  <si>
    <t>JAIRO ANDRES AVILA GOMEZ</t>
  </si>
  <si>
    <t>VALOR PRESUPUESTADO PARA LOS JURADOS QUE EVALUARÁN LAS PROPUESTAS DEL PROGRAMA DISTRITAL DE ESTÍMULOS 2019 - BECA DE INVESTIGACIÓN SOBRE EL COMERCIO TRADICIONAL EN EL CENTRO HISTÓRICO DE BOGOTÁ. SEGÚN RESOLUCIÓN NO 0283 DEL 30 DE ABRIL DE 2019, ¿ POR MEDIO DE LA CUAL SE DESIGNAN LOS JURADOS QUE EVALUARAN LAS PROPUESTAS DE LA CONVOCATORIA: BECA NUEVAS TECNOLOGÍAS PARA LA APROPIACIÓN DEL PATRIMONIO CULTURAL DE BOGOTA,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</si>
  <si>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SOBRE EL COMERCIO TRADICIONAL EN EL CENTRO HISTÓRICO DE BOGOTÁ. SEGÚN RESOLUCIÓN NO 0263 DEL 24 DE ABRIL DE 2019, ¿ POR MEDIO DE LA CUAL SE DESIGNAN LOS JURADOS QUE EVALUARAN LAS PROPUESTAS DE LA CONVOCATORIA: BECA DE INVESTIGACIÓN SOBRE EL COMERCIO TRADICIONAL EN EL CENTRO HISTÓRICO DE BOGOTÁ DEL PROGRAMA DISTRITAL DE ESTÍMULOS DEL INSTITUTO DISTRITAL DE PATRIMONIO CULTURAL ¿ IDPC 2019 Y SE ORDENA EL DESEMBOLSO DE LOS ESTÍMULOS ECONÓMICOS ASIGNADOS.¿</t>
  </si>
  <si>
    <t>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t>
  </si>
  <si>
    <t xml:space="preserve">VALOR PRESUPUESTADO PARA LOS JURADOS QUE EVALUARÁN LAS PROPUESTAS DEL PROGRAMA DISTRITAL DE ESTÍMULOS 2019 - BECA DE INVESTIGACIÓN HISTÓRICA SOBRE UN BARRIO DE BOGOTÁ. SEGÚN RESOLUCIÓN NO 0231 DEL 09 DE ABRIL DE 2019, ¿ POR MEDIO DE LA CUAL SE DESIGNAN LOS JURADOS QUE EVALUARAN LAS PROPUESTAS DE LA CONVOCATORIA: BECA DE INVESTIGACION HISTORICA SOBRE UN BARRIO DE BOGOTA DEL PROGRAMA DISTRITAL DE ESTÍMULOS DEL INSTITUTO DISTRITAL DE PATRIMONIO CULTURAL ¿ IDPC 2019 Y SE ORDENA EL DESEMBOLSO DE LOS ESTÍMULOS ECONÓMICOS ASIGNADOS.¿       </t>
  </si>
  <si>
    <t>Prestar servicios profesionales al Instituto Distrital de Patrimonio Cultural para apoyar la formulación, aplicación y puesta en marcha de instrumentos de financiación para la sostenibilidad de los bienes de interés cultural en el Distrito Capital.</t>
  </si>
  <si>
    <t>Resolución 355</t>
  </si>
  <si>
    <t>KEVIN SANTIAGO ZAMBRANO PINEDA</t>
  </si>
  <si>
    <t>Resolución 314</t>
  </si>
  <si>
    <t>MILENA CAROLINA CASTELLANOS PINILLA</t>
  </si>
  <si>
    <t>Resolución 284</t>
  </si>
  <si>
    <t>LAURA ANDREA ZUÑIGA MINA</t>
  </si>
  <si>
    <t>Resolución 341</t>
  </si>
  <si>
    <t>DIANA MELISSA SOLARTE GARCIA</t>
  </si>
  <si>
    <t>Resolución 342</t>
  </si>
  <si>
    <t>Resolución 340</t>
  </si>
  <si>
    <t>OLGA LUCIA CASTAÑEDA SALCEDO</t>
  </si>
  <si>
    <t>LAURA  VELASQUEZ GONZALEZ</t>
  </si>
  <si>
    <t>Resolución 313</t>
  </si>
  <si>
    <t xml:space="preserve">CORPORACION CAIDADE   </t>
  </si>
  <si>
    <t>DANIELA  VALCARCEL HERNANDEZ</t>
  </si>
  <si>
    <t>JUAN  ESCOBAR</t>
  </si>
  <si>
    <t>Resolución 230</t>
  </si>
  <si>
    <t>Resolución 281</t>
  </si>
  <si>
    <t>OLGA MARCELA CRUZ MONTALVO</t>
  </si>
  <si>
    <t>PAOLA PATRICIA PARRA MORANTES</t>
  </si>
  <si>
    <t>CRISTIAN ALEJANDRO SUAREZ CARO</t>
  </si>
  <si>
    <t>JUAN CAMILO NATES RAMIREZ</t>
  </si>
  <si>
    <t>Prestar servicios profesionales al Instituto Distrital de Patrimonio Cultural para apoyar la consolidación de la propuesta normativa del Plan Especial de Manejo y Protección -PEMP- del Centro Histórico de Bogotá D.C., y otros proyectos.</t>
  </si>
  <si>
    <t>Prestar servicios profesionales al Instituto Distrital de Patrimonio Cultural para apoyar las actividades del inventario del patrimonio cultural inmueble de Bogotá D.C.</t>
  </si>
  <si>
    <t>Prestar servicios profesionales al Instituto Distrital de Patrimonio Cultural para desarrollo de norma en sectores de interés cultural del D.C.</t>
  </si>
  <si>
    <t>Prestar servicios profesionales al Instituto Distrital de Patrimonio Cultural para apoyar la elaboración de insumos técnicos para desarrollo de norma en sectores de interés cultural del D.C.</t>
  </si>
  <si>
    <t xml:space="preserve"> 
Prestar servicios profesionales al Instituto Distrital de Patrimonio Cultural para la implementación  y el fortalecimiento del Sistema de Información Geográfica - SIGPC de la entidad, y apoyo en el desarrollo de proyectos urbanos.</t>
  </si>
  <si>
    <t xml:space="preserve">Adquisición de equipos de control ambiental para el archivo de gestión del Instituto Distrital de Patrimonio Cultural.  </t>
  </si>
  <si>
    <t>Prestar servicios profesionales al Instituto Distrital de Patrimonio Cultural para realizar monitoreo y seguimiento a la implementación y sostenibilidad del Sistema Integrado de Gestión, bajo el referente del Modelo Integrado de Planeación y Gestión-MIPG.</t>
  </si>
  <si>
    <t>Prestar servicios profesionales a la Subdirección de Gestión Corporativa para apoyar en el seguimiento y trámite de las actuaciones disciplinarias de competencia del Instituto.</t>
  </si>
  <si>
    <t>Prestar  servicios profesionales  a la Subdirección de Gestión Corporativa para la realización del avalúo comercial de los predios del Instituto Distrital de Patrimonio Cultural.</t>
  </si>
  <si>
    <t>Adición y prórroga al contrato 138 cuyo objeto es: Contratar el alquiler e instalación de computadores de escritorio con su respectiva configuración y puesta en funcionamiento en las instalaciones del Instituto Distrital de Patrimonio Cultural.</t>
  </si>
  <si>
    <t>CLAUDIA HERNANDEZ ARQ SAS</t>
  </si>
  <si>
    <t>K10 DESIGN S A S</t>
  </si>
  <si>
    <t>GRUPO CAF TECNOLOGIA SAS</t>
  </si>
  <si>
    <t xml:space="preserve">Prestar servicios profesionales al IDPC apoyando el seguimiento de la gestión de planes y proyectos que adelanta la Subdirección de Gestión Territorial para la preservación y sostenibilidad del patrimonio cultural. </t>
  </si>
  <si>
    <t>Viabilidades</t>
  </si>
  <si>
    <t>viabilidades</t>
  </si>
  <si>
    <t>Marcela  Casas Muñoz</t>
  </si>
  <si>
    <t>ESTEFANIA  GENTILE HERNANDEZ</t>
  </si>
  <si>
    <t>PAULA ANDREA MAHECHA MAHECHA</t>
  </si>
  <si>
    <t>BIC  intervenidos (Basilica Menor Iglesia del Voto Nacional) Adición Contrato 460 de 2018</t>
  </si>
  <si>
    <t>BIC  intervenidos (Basilica Menor Iglesia del Voto Nacional) Adición Contrato 460 de 2019</t>
  </si>
  <si>
    <t>BIC  intervenidos (Basilica Menor Iglesia del Voto Nacional) Adición Contrato 460 de 2020</t>
  </si>
  <si>
    <t>Adición al contrato 460 de 2018 cuyo objeto es: Ejecutar las obras por precios unitarios fijos para la restauración de las naves de la Basílica Menor del Sagrado Corazón de Jesús - Iglesia del Voto Nacional.</t>
  </si>
  <si>
    <t>Voto Nacional Iluminación Cont.460/2018</t>
  </si>
  <si>
    <t xml:space="preserve">Prestar servicios de apoyo a la gestión en las actividades relacionadas con solicitudes y manejo de los archivos de la Subdirección de Protección e Intervención del Patrimonio que permitan el cumplimiento del subsistema interno de gestión documental. </t>
  </si>
  <si>
    <t>Pago de trámites y documentación inherente a las obras de adecuación del acceso principal del edificio del Concejo de Bogotá ubicado en la calle 36 no, 28a-41 de Bogotá D.C., en el marco del Convenio 170316 de 2017, suscrito entre la SHD y el IDPC.</t>
  </si>
  <si>
    <t xml:space="preserve">Prestar servicios de apoyo a la gestión al Instituto Distrital de Patrimonio Cultural en áreas de seguridad industrial y acompañamiento en las labores de campo adelantadas por la Subdirección de Protección e Intervención del Patrimonio. </t>
  </si>
  <si>
    <t>CANAL CAPITAL</t>
  </si>
  <si>
    <t>411/2017</t>
  </si>
  <si>
    <t>416/2017</t>
  </si>
  <si>
    <t>Prestar servicios profesionales al Instituto Distrital de Patrimonio Cultural para la producción de información de la primera fase del inventario de Bienes de Interés Cultural Inmueble del sector de Interés Cultural de Teusaquillo según normativa vigente.</t>
  </si>
  <si>
    <t>Prestar servicios profesionales al Instituto Distrital de Patrimonio Cultural, para apoyar a la Subdirección de Gestión Corporativa en la elaboración de una metodología que permita establecer el valor actualizado de los bienes muebles de patrimonio cultural de propiedad y/o a cargo de la entidad.</t>
  </si>
  <si>
    <t>Prestar servicios profesionales al Instituto Distrital de Patrimonio Cultural, en las diferentes fases de los procesos de selección (pre contractual, contractual y post contractual) y en las actividades propias del proceso de gestión contractual que requiera la Oficina Asesora Jurídica.</t>
  </si>
  <si>
    <t>Contratar el servicio de mantenimiento a todo costo de los bienes en madera de propiedad del Instituto Distrital de Patrimonio Cultural.</t>
  </si>
  <si>
    <t>Celebrar el contrato interadministrativo con la Unidad Administrativa Especial de Catastro Distrital – UAECD para la realización del avalúo comercial de algunos predios de propiedad del Instituto Distrital de Patrimonio Cultural.</t>
  </si>
  <si>
    <t>Compra y suministro de insumos para equipos de impresión de las dependencias del Instituto Distrital de Patrimonio Cultural.</t>
  </si>
  <si>
    <t>03 - Recursos Administrados 21 - Administrados de Libre Destinación</t>
  </si>
  <si>
    <t>UNIDAD ADMINISTRATIVA ESPECIAL DE CATASTRO DISTRITAL</t>
  </si>
  <si>
    <t>CONSORCIO MO CONCORDIA 2017</t>
  </si>
  <si>
    <t>CONSORCIO NVP</t>
  </si>
  <si>
    <t>LUIS GUILLERMO SALAZAR CAICEDO</t>
  </si>
  <si>
    <t>Adición y prórroga al contrato 371 de 2019 cuyo Objeto es: Adquisición de equipos de cómputo y periféricos requeridos para el desarrollo administrativo y misional del Instituto Distrital de Patrimonio Cultural</t>
  </si>
  <si>
    <t>Prestar servicios profesionales como arquitecto al Instituto Distrital de Patrimonio Cultural en actividades técnicas requeridas para el desarrollo de proyectos de conservación e intervención que adelante la subdirección de protección e intervención.</t>
  </si>
  <si>
    <t>195b</t>
  </si>
  <si>
    <t xml:space="preserve">Prestar servicios profesionales al Instituto Distrital de Patrimonio Cultural para realizar actividades financieras y administrativas relacionadas con los proyectos de inversión a cargo de la Subdirección de Divulgación y Apropiación del Patrimonio. </t>
  </si>
  <si>
    <t>347-606</t>
  </si>
  <si>
    <t>533-610</t>
  </si>
  <si>
    <t xml:space="preserve">BUENOS &amp; CREATIVOS SAS   </t>
  </si>
  <si>
    <t>ROBERTO JOSE LONDONO NIÑO</t>
  </si>
  <si>
    <t xml:space="preserve">PROCESO ORGANIZATIVO DEL PUEBLO ROM GITANO DE COLOMBIA  </t>
  </si>
  <si>
    <t>ORGANIZACION DEL PUEBLO GITANO DE COLOMBIA UNION ROMANI DE COLOMBIA</t>
  </si>
  <si>
    <t>ORGANIZACION DE LA COMUNIDAD RAIZAL CON RESIDENCIA FUERA DEL ARCHIPIELAGO DE SAN ANDRES PROVIDENCIA Y SANTA CATALINA</t>
  </si>
  <si>
    <t>PATRICIA  NAVAS ROTHLISBERGER</t>
  </si>
  <si>
    <t>YENNY SAGRARIO GUEVARA ALVAREZ</t>
  </si>
  <si>
    <t>KARIN JULIANA TORRES PINILLA</t>
  </si>
  <si>
    <t>GUSTAVO DE JESUS GUTIERREZ MARIN</t>
  </si>
  <si>
    <t>juanita  enciso gomez</t>
  </si>
  <si>
    <t>HERNAN ARTURO DIAZ MEDINACELLY</t>
  </si>
  <si>
    <t>Flor Marina Rodriguez Valderrama</t>
  </si>
  <si>
    <t xml:space="preserve">GESCOM SAS   </t>
  </si>
  <si>
    <t>DANIELA  DUQUE GIL</t>
  </si>
  <si>
    <t>JOHN EFREN TORRES GAMBOA</t>
  </si>
  <si>
    <t>JOSE DAVID BENAVIDES TORRES</t>
  </si>
  <si>
    <t xml:space="preserve">GRUPO CORAL SAS   </t>
  </si>
  <si>
    <t>MiguelAngel Vivero Avila</t>
  </si>
  <si>
    <t>347-702</t>
  </si>
  <si>
    <t>Factura-18032 -20208</t>
  </si>
  <si>
    <t>DANIELA ROMERO ANGEL</t>
  </si>
  <si>
    <t>BIC intervenidos (fachada Palacio Liévano)</t>
  </si>
  <si>
    <t>Adición al Contrato 361-2018 cuyo objeto es: "Ejecutar bajo la modalidad de precios unitarios sin fórmula de reajuste las obras necesarias para la conservación y restauración de las fachadas del Edificio Liévano y del Palacio Municipal, actual sede de la Alcaldía Mayor de Bogotá en la ciudad de Bogotá, D.C., en el marco del convenio 097 de 2017, suscrito entre la Secretaría General, la Secretaría de Gobierno, la Secretaría Jurídica y el Instituto Distrital de Patrimonio Cultural"</t>
  </si>
  <si>
    <t>Adición al Contrato 433-2018 cuyo objeto es:Realizar la interventoría técnica, administrativa y financiera de la obra que tiene por objeto: "Ejecutar bajo la modalidad de precios unitarios sin fórmula de reajuste las obras necesarias para la conservación y restauración de las fachadas del Edificio Liévano y del Palacio Municipal, actual sede de la Alcaldía Mayor de Bogotá en la ciudad de Bogotá, D.C., en el marco del convenio 097 de 2017, suscrito entre la Secretaría General, la Secretaría de Gobierno, la Secretaría Jurídica y el Instituto Distrital de Patrimonio Cultural".</t>
  </si>
  <si>
    <t>361-2018</t>
  </si>
  <si>
    <t>433-2018</t>
  </si>
  <si>
    <t>Palacio Liévano (Fachada)</t>
  </si>
  <si>
    <t>LINA MARIA FORERO JIMENEZ</t>
  </si>
  <si>
    <t>LINA MARCELA MORENO ROA</t>
  </si>
  <si>
    <t>GINA MILENA MAYORGA ALBA</t>
  </si>
  <si>
    <t>ANA MILENA QUINTERO AGAMEZ</t>
  </si>
  <si>
    <t>MANUEL JOSE AMAYA ARIAS</t>
  </si>
  <si>
    <t>ANA MARIA FLOREZ FLOREZ</t>
  </si>
  <si>
    <t>JUAN JOSE ALVEAR MEJIA</t>
  </si>
  <si>
    <t>SANTIAGO LUCIANO BELTRAN GOMEZ</t>
  </si>
  <si>
    <t>ALFORD EDUARDO PEDRAZA VEGA</t>
  </si>
  <si>
    <t>ADRIANA CAMILA OSORIO GONZALEZ</t>
  </si>
  <si>
    <t>MARIO SERGIO ALEJANDRO VALENCIA MENDEZ</t>
  </si>
  <si>
    <t>JUAN DAVID SANCHEZ ZAPATA</t>
  </si>
  <si>
    <t>EMPERATRIZ  GONZALEZ PALENCIA</t>
  </si>
  <si>
    <t>PLAN OPERATIVO ANUAL DE INVERSIÓN - POAI</t>
  </si>
  <si>
    <t>SARA LUCIA GÓMEZ MACHADO</t>
  </si>
  <si>
    <t>ÁNGELA MARÍA CADENA GÓMEZ</t>
  </si>
  <si>
    <t>DIANA  PEDRAZA RINCÓN</t>
  </si>
  <si>
    <t>ANA CECILIA ESCOBAR RAMÍREZ</t>
  </si>
  <si>
    <t>LIDA ROCÍO ROA MONSALVE</t>
  </si>
  <si>
    <t>VANESSA  GONZÁLEZ VEJOLLIN</t>
  </si>
  <si>
    <t>NURY YENSSY BOHÓRQUEZ SÁNCHEZ</t>
  </si>
  <si>
    <t>INSTITUCIONAL STAR SERVICES LTDA.</t>
  </si>
  <si>
    <t>SARA BEATRIZ ACUÑA GÓMEZ</t>
  </si>
  <si>
    <t>Prestar servicios profesionales al Instituto Distrital de Patrimonio Cultural para apoyar la gestión logística de los recorridos de ciudad realizados en el marco del proyecto de inversión 1024 - Formación en patrimonio cultural.</t>
  </si>
  <si>
    <t>YANETH  MORA HERNÁNDEZ</t>
  </si>
  <si>
    <t>JENNY LORENA BOHÓRQUEZ MORENO</t>
  </si>
  <si>
    <t>YENNY  SÁNCHEZ</t>
  </si>
  <si>
    <t>FABIO ALBERTO LÓPEZ SUAREZ</t>
  </si>
  <si>
    <t>PROCESO DE DIRECCIONAMIENTO ESTRATÉGICO</t>
  </si>
  <si>
    <t>94B</t>
  </si>
  <si>
    <t>460/2018</t>
  </si>
  <si>
    <t>TECNI REPUESTOS INDUSTRIALES LTDA</t>
  </si>
  <si>
    <t>LAURA SOFIA VILLOTA MARTINEZ</t>
  </si>
  <si>
    <t>GERMAN ANDRES REINO MARTINEZ</t>
  </si>
  <si>
    <t>Prestar servicios profesionales al Instituto Distrital de Patrimonio Cultural para el diseño de la segunda etapa de los materiales metodológicos y didácticos de la cátedra de patrimonio cultural</t>
  </si>
  <si>
    <t>Tramites</t>
  </si>
  <si>
    <t>Adición al contrato  IDPC-PS-323-2019 cuyo objeto es: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</si>
  <si>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Adición cto 305 de 2019 Prestar los servicios requeridos por el Instituto Distrital de Patrimonio Cultural para atender las actividades y proyectos relacionados con la formación y divulgación del patrimonio cultural del Distrito Capital.</t>
  </si>
  <si>
    <t>Prestar servicios profesionales al Instituto Distrital de Patrimonio Cultural como desarrollador FrontEnd para la programación de interfaces visuales.</t>
  </si>
  <si>
    <t>Prestar servicios profesionales al Instituto Distrital de Patrimonio Cultural como desarrollador BackEnd para la programación del sitio web con sus diferentes componentes</t>
  </si>
  <si>
    <t>Prestar servicios profesionales en diseño para definir las estrategias gráficas para una adecuada experiencia de usuario del sitio web del Instituto Distrital de Patrimonio Cultural</t>
  </si>
  <si>
    <t>Prestar servicios profesionales al Instituto Distrital de Patrimonio Cultural Profesional para el desarrollo de la arquitectura de contenidos del sitio web.</t>
  </si>
  <si>
    <t>Prestar servicios profesionales al Instituto Distrital de Patrimonio Cultural para gestionar estrategias de prensa del IDPC en el marco de la implementación de proyectos especiales de la entidad</t>
  </si>
  <si>
    <t>Prestar servicios profesionales al Instituto Distrital de Patrimonio Cultural para realizar el registro fotográfico requerido para el desarrollo de diferentes proyectos del IDPC.</t>
  </si>
  <si>
    <t>JOHAN ALBERTO GARZON CASTAÑEDA</t>
  </si>
  <si>
    <t>Suministro de insumos para equipos de impresión de las dependencias del Instituto Distrital de Patrimonio Cultural.</t>
  </si>
  <si>
    <t>Adición y Prorroga del Contrato 39 de 2019, cuyo objeto es: Prestar servicios profesionales al Instituto Distrital de Patrimonio Cultural para desarrollar actividades técnicas y operativas de los planes, programas y proyectos del Instituto.</t>
  </si>
  <si>
    <t>Prestar servicios profesionales al Instituto Distrital de Patrimonio Cultural para adelantar la primera fase del inventario de Bienes de Interés Cultural Inmueble del Sector de Interés Cultural de Teusaquillo, de acuerdo a las metas establecidas por la entidad y según la normativa vigente.</t>
  </si>
  <si>
    <t>Compra de elementos ornamentales de la unidad funeraria de la Tumba Del General Francisco De Paula Santander, localizada en el Cementerio Central de Bogotá D.C.</t>
  </si>
  <si>
    <t>Adición al contrato de obra IDPC-OB-387-2019 cuyo objeto es: "Ejecutar bajo la modalidad de precios unitarios fijos sin  fórmula de reajuste las obras de reparaciones locativas para el monumento a los Héroes, en la ciudad de Bogotá D.C.”</t>
  </si>
  <si>
    <t>Adición No.02 al Contrato 474-2018:"Ejecutar bajo la modalidad de precios unitarios la obra de intervención de la segunda etapa  del inmueble ubicado en la Calle 12 B N° 2-91 denominado Casa Tito".</t>
  </si>
  <si>
    <t>Saldo del componente</t>
  </si>
  <si>
    <t>GOLD SYS LTDA</t>
  </si>
  <si>
    <t>Resolución 362</t>
  </si>
  <si>
    <t>Resolución 382</t>
  </si>
  <si>
    <t>CAMILO  VIECO FLOREZ</t>
  </si>
  <si>
    <t>ALEJANDRO ALFREDO CARDENAS PALACIOS</t>
  </si>
  <si>
    <t>LAURA  MORENO BARBOSA</t>
  </si>
  <si>
    <t>GUILLERMO ARTURO SANTOS SAENZ</t>
  </si>
  <si>
    <t>LILIANA ANDREA CLAVIJO GARCIA</t>
  </si>
  <si>
    <t>MARIA DEL PILAR RODRIGUEZ SAUMET</t>
  </si>
  <si>
    <t>Resolución 480</t>
  </si>
  <si>
    <t>JONATHAN STIVEN AREVALO SEPULVEDA</t>
  </si>
  <si>
    <t>ANIBAL ANDRES SALCEDO GIRALDO</t>
  </si>
  <si>
    <t>ANDERSON JOHAN CUBILLOS TOVAR</t>
  </si>
  <si>
    <t>Resolución 495</t>
  </si>
  <si>
    <t>LUIS FELIPE LEON ANDRADE</t>
  </si>
  <si>
    <t>PAOLA ELIZABETH HERNANDEZ ROMERO</t>
  </si>
  <si>
    <t>ANDRIUS  LA ROTTA ESQUIVEL</t>
  </si>
  <si>
    <t>JORGE ALBERTO FLOREZ GARZON</t>
  </si>
  <si>
    <t>CONSORCIO UVM</t>
  </si>
  <si>
    <t>RENE ALEJANDRO GOMEZ LAVERDE</t>
  </si>
  <si>
    <t>OLD INGENIERIA LTDA</t>
  </si>
  <si>
    <t>YUDY KATHERINE MEDINA CARVAJAL</t>
  </si>
  <si>
    <t>Prestar servicios profesionales al Instituto Distrital de Patrimonio Cultural para la traducción del guión permanente del Museo de Bogotá.</t>
  </si>
  <si>
    <t>Prestar servicios profesionales al Insituto Distrital de Patrimonio Cultural para el desarrollo integral del proyecto Museo de la Ciudad Autoconstruida.</t>
  </si>
  <si>
    <t>Contratar la adquisición de licencias Filemaker para los equipos del Museo de Bogotá.</t>
  </si>
  <si>
    <t>553b</t>
  </si>
  <si>
    <t>Adición al contrato 343 de 2019 cuyo objeto es: Prestar servicios de apoyo a la gestión al Instituto Distrital de Patrimonio Cultural en los procesos de digitalización de la Colección del Museo de Bogotá.</t>
  </si>
  <si>
    <t>ALCSETEC ALIANZAS COMERCIALES Y SERVICIOS TECNOLOGICOS SAS</t>
  </si>
  <si>
    <t>LA PREVISORA S A COMPAÑIA DE SEGUROS</t>
  </si>
  <si>
    <t>COMERCIALIZADORA ELECTROMERO S A S</t>
  </si>
  <si>
    <t>CASA QUIMICOS SAS</t>
  </si>
  <si>
    <t>Factura 19130-2539-2730-20657-2822</t>
  </si>
  <si>
    <t xml:space="preserve">Adición y Prórroga del Contrato No. 165 de 2019, cuyo objeto es: 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</si>
  <si>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RODOLFO  HERRERA HERNANDEZ</t>
  </si>
  <si>
    <t>Prestar servicios profesionales al Instituto Distrital de Patrimonio Cultural para el desarrollo de perfil de proyectos para el Centro Histórico de Bogotá D.C.</t>
  </si>
  <si>
    <t xml:space="preserve">Adición y Prórroga del Contrato 163 de 2019, cuyo objeto es: 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</si>
  <si>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orientar los procesos curatoriales, de investigación requeridos para el desarrollo de las exposiciones temporales del Museo de Bogotá.</t>
  </si>
  <si>
    <t>Saldo CDP vs Apropiación</t>
  </si>
  <si>
    <t>Adquisición de sillas ergonómicas y superficies completas para los puestos de trabajo del personal del Instituto Distrital de Patrimonio Cultural.</t>
  </si>
  <si>
    <t>Adquisición de Sala de espera para el Instituto Distrital de Patrimonio Cultural.</t>
  </si>
  <si>
    <t>Adquisición e instalación de los accesorios de red para las conexiones de datos de la casa Genoveva del Instituto Distrital de Patrimonio Cultural.</t>
  </si>
  <si>
    <t>Adquisición de electrodomésticos, puntos ecológicos y accesorios para los baños de la casa Genoveva del Instituto Distrital de Patrimonio Cultural.</t>
  </si>
  <si>
    <t>Adquisición de UPS para la regulación de energía de la casa Genoveva del Instituto Distrital de Patrimonio Cultural.</t>
  </si>
  <si>
    <t>CONSORCIO MO BANDERAS 2019</t>
  </si>
  <si>
    <t>N° CDP</t>
  </si>
  <si>
    <t>JUAN DE JESUS GUERRERO GOMEZ</t>
  </si>
  <si>
    <t>JULIO MARIO SILVA CONTRERAS</t>
  </si>
  <si>
    <t>CARLOS ARTURO NIÑO MURCIA</t>
  </si>
  <si>
    <t>CARLOS ANDRES LOPEZ FRANCO</t>
  </si>
  <si>
    <t>VERONICA ANA CRISTINA DELGADO TORRES</t>
  </si>
  <si>
    <t>797-798-801</t>
  </si>
  <si>
    <t>FELIPE ANDRES LOZANO ORTEGA</t>
  </si>
  <si>
    <t>Ivonne Lorena Petecua Aguirre</t>
  </si>
  <si>
    <t>1434 Bienes de Interés Cultural (BIC) intervenidos</t>
  </si>
  <si>
    <t>1435 Bienes de Interés Cultural (BIC) intervenidos</t>
  </si>
  <si>
    <t>1436 Bienes de Interés Cultural (BIC) intervenidos</t>
  </si>
  <si>
    <t>1437 Bienes de Interés Cultural (BIC) intervenidos</t>
  </si>
  <si>
    <t>Ejecutar bajo la modalidad de precios unitarios fijos las obras de intervención, conservación y restauración de la fachada de la iglesia Candelaria, declarada Bien de Interés Cultural, localizada en la ciudad de Bogotá D.C.</t>
  </si>
  <si>
    <t>Contratar la elaboración de un informe técnico del estudio de tráfico para gestionar ante la Secretaría Distrital de Movilidad la solicitud del PMT, que permita la intervención de enlucimiento en la Iglesia de Egipto, localizada en la ciudad de Bogotá D.C.</t>
  </si>
  <si>
    <t>544-545-552-553-586</t>
  </si>
  <si>
    <t>587-590</t>
  </si>
  <si>
    <t>Adición y prorroga al contrato 299 de 2019 cuyo objeto es: Prestar servicios profesionales especializados a la Dirección General del Instituto Distrital de Patrimonio Cultural para acompañar las acciones estratégicas de mejoramiento continuo y seguimiento institucional de la entidad.</t>
  </si>
  <si>
    <t>CONSORCIO LA CANDELARIA 2020</t>
  </si>
  <si>
    <t>572-591</t>
  </si>
  <si>
    <t>Prestar servicios profesionales al Instituto Distrital de Patrimonio Cultural para orientar y verificar la evaluación patrimonial de las solicitudes de Intervención de bienes ubicados en el espacio público y en espacio público de sectores de interés cultural del D.C.</t>
  </si>
  <si>
    <t>Prestar servicios de apoyo a la gestión al Instituto Distrital de Patrimonio Cultural en el desarrollo de actividades administrativas relacionadas con la evaluación de las solicitudes y consultas de equiparación a estrato uno y acciones de control urbano que se presenten sobre inmuebles y sectores de interés cultural del Distrito Capital.</t>
  </si>
  <si>
    <t>Prestar servicios profesionales al Instituto Distrital de Patrimonio Cultural, para realizar actividades relacionadas con el componente urbano y de espacio público de los planes y proyectos, de conformidad con las competencias de la entidad.</t>
  </si>
  <si>
    <t>Realizar los estudios técnicos, diseños, permisos y licencias  que determinen las acciones para la intervención de los sectores 4 y 5 de la Plaza la Santamaría.</t>
  </si>
  <si>
    <t>Realizar la interventoría integral de  los estudios técnicos, diseños, permisos y licencias que determinen las acciones para la intervención de los sectores 4 y 5 de la Plaza la Santamaría.</t>
  </si>
  <si>
    <t>Adición al Contrato de Obra 329-2019, cuyo objeto es: "Ejecutar bajo la modalidad de precios unitarios fijos las obras requeridas para el inmueble ubicado en la Calle 12B No. 2-58, denominado Casa Genoveva en la ciudad de Bogotá, D.C."</t>
  </si>
  <si>
    <t>Adición y prórroga al contrato 296 de 2019 cuyo objeto es: Prestar servicios profesionales al Instituto Distrital de Patrimonio Cultural, en las actividades de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</si>
  <si>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Prestar servicios profesionales al Instituto Distrital de Patrimonio Cultural en el desarrollo de materiales pedagógicos y didácticos, en soportes físicos y/o virtuales relacionados tanto con la colección permanente como con las exposiciones temporales y las acciones de divulgación del Museo de Bogotá.</t>
  </si>
  <si>
    <t xml:space="preserve">Prestar servicios profesionales al Instituto Distrital de Patrimonio Cultural en la ejecución de los procesos de mediación y generación de contenidos pedagógicos del portafolio de servicios educativos. </t>
  </si>
  <si>
    <t>Prestar servicios profesionales como arquitecto al Instituto Distrital de Patrimonio Cultural para desarrollar actividades técnicas y operativas  del proyecto del Museo Renovado</t>
  </si>
  <si>
    <t>N/A</t>
  </si>
  <si>
    <t>Adición y Prórroga al Contrato  74-2019 (Cód.276) Prestar servicios profesionales al Instituto Distrital de Patrimonio Cultural para apoyar las actividades de gestión del Sistema de Información Geográfico para el inventario de bienes inmuebles del  Distrito Capital a cargo de la Subdirección de Intervención.</t>
  </si>
  <si>
    <t>Adición y Prórroga al Contrato  103-2019 (Cód.280)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</si>
  <si>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93-2019 (Cód.281)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</si>
  <si>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117-2019 (Cód.284)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</si>
  <si>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92-2019 (Cód.285)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</si>
  <si>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Adición y Prórroga al Contrato 100-2019 (Cód.286) Prestar servicios profesionales al Instituto Distrital de Patrimonio Cultural para apoyar la revisión y acompañamiento del componente estructural y de ingeniería de las acciones y solicitudes de intervención en Bienes de Interés Cultural (BIC).</t>
  </si>
  <si>
    <t>Adición y Prórroga al Contrato 101-2019 (Cód.287) Prestar servicios profesionales al Instituto Distrital de Patrimonio Cultural para apoyar la revisión y acompañamiento del componente estructural y de ingeniería de las acciones y solicitudes de intervención en Bienes de Interés Cultural (BIC).</t>
  </si>
  <si>
    <t>Adición y Prórroga al Contrato 123-2019 (Cód.291)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</si>
  <si>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Adición y Prórroga al Contrato 108-2019 (Cód.294) Prestar servicios profesionales al Instituto Distrital de Patrimonio Cultural para apoyar las actividades de soporte técnico y evaluación de las solicitudes de equiparación a estrato 1 y de control urbano de intervenciones en BIC.</t>
  </si>
  <si>
    <t>Adición y Prórroga al Contrato 105-2019 (Cód.295) Prestar servicios profesionales al Instituto Distrital de Patrimonio Cultural para apoyar las actividades de soporte técnico y evaluación de las solicitudes de equiparación a estrato 1 y de control urbano de intervenciones en BIC.</t>
  </si>
  <si>
    <t>Adición y Prórroga al Contrato 95-2019 (Cód.296) Prestar servicios profesionales al Instituto Distrital de Patrimonio Cultural para apoyar las actividades de soporte técnico y evaluación de las solicitudes de equiparación a estrato 1 y de control urbano de intervenciones en BIC.</t>
  </si>
  <si>
    <t>Adición y Prórroga al Contrato 115-2019 (Cód.299) Prestar servicios profesionales al Instituto Distrital de Patrimonio Cultural, apoyando los tramites de evaluación de los proyectos de manejo y protección del patrimonio cultural, y solicitudes de intervención sobre Bienes y Sectores de Interés Cultural.</t>
  </si>
  <si>
    <t>Adición y Prórroga al Contrato 122-2019 (Cód.300) Prestar servicios profesionales al Instituto Distrital de Patrimonio Cultural, apoyando los tramites de evaluación de los proyectos de manejo y protección del patrimonio cultural, y solicitudes de intervención sobre Bienes y Sectores de Interés Cultural.</t>
  </si>
  <si>
    <t>Adición y Prórroga al Contrato 124-2019 (Cód.308) Prestar servicios profesionales especializados al Instituto Distrital de Patrimonio Cultural, como apoyo jurídico a la evaluación de las solicitudes de intervención sobre Bienes y Sectores de Interés Cultural.</t>
  </si>
  <si>
    <t>Adición y Prórroga al Contrato 128-2019 (Cód.309) Prestar servicios profesionales al Instituto Distrital de Patrimonio Cultural, como apoyo jurídico a la evaluación de las solicitudes de intervención sobre Bienes y Sectores de Interés Cultural.</t>
  </si>
  <si>
    <t>Adición al contrato 440 de 2019 cuyo objeto es: Contratar el servicio de mantenimiento a todo costo de los bienes en madera de propiedad del Instituto Distrital de Patrimonio Cultural.</t>
  </si>
  <si>
    <t>Adición al contrato 323 de 2019 cuyo objeto es: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</si>
  <si>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Adición al contrato 286 de 2019 cuyo objeto esContratar la prestación del servicio integral de aseo, cafetería y fumigación, incluidos los insumos, para las sedes del Instituto Distrital de Patrimonio Cultural.</t>
  </si>
  <si>
    <t>292-326-346-401-461-519-554-599</t>
  </si>
  <si>
    <t>505-506-554-605-625-629-630-671</t>
  </si>
  <si>
    <t>JAIRO  CHAPARRO VALDERRAMA</t>
  </si>
  <si>
    <t>MAGDA CATALINA RUIZ DIAZ</t>
  </si>
  <si>
    <t>CARLOS ANDRES MONCADA RIOS</t>
  </si>
  <si>
    <t>UNIPLES SA</t>
  </si>
  <si>
    <t>Adición al cto 183 cuyo objeto es: Prestar servicios profesionales al Instituto Distrital de Patrimonio Cultural para apoyar la implementación de las acciones de fomento a las prácticas del patrimonio cultural.</t>
  </si>
  <si>
    <t xml:space="preserve"> Elaborar un documento de Análisis y Diagnóstico como insumo para la formulación del Plan Especial de Manejo y Protección —PEMP del Parque Nacional Olaya Herrera</t>
  </si>
  <si>
    <t>544-545-629-712-767-768-809</t>
  </si>
  <si>
    <t>495-622-681-773-825</t>
  </si>
  <si>
    <t>485-561-596-642-685</t>
  </si>
  <si>
    <t>JORGE ALKIBER PEREZ CARDONA</t>
  </si>
  <si>
    <t>292-383-426-497-623-770-826</t>
  </si>
  <si>
    <t>315-369-420-487-598-686</t>
  </si>
  <si>
    <t>Prestar servicios de apoyo a la gestión al Instituto Distrital de Patrimonio Cultural, en las actividades administrativas de la Subdirección de Gestión Corporativa.</t>
  </si>
  <si>
    <t>123b</t>
  </si>
  <si>
    <t>Contratar la fase I correspondiente al análisis y diagnóstico, como insumo para formular el Plan Especial de Manejo y Protección (PEMP) del Parque Nacional Olaya Herrera, Bien de Interés Cultural del ámbito nacional localizado en Bogotá D.C.</t>
  </si>
  <si>
    <t>Prestar servicios profesionales al Instituto Distrital de Patrimonio Cultural como apoyo a la supervisión del contrato de la fase I correspondiente al análisis y diagnóstico, como insumo para formular el Plan Especial de Manejo y Protección (PEMP) del Parque Nacional Olaya Herrera, Bien de Interés Cultural del ámbito nacional localizado en Bogotá D.C.</t>
  </si>
  <si>
    <t>Documento de Análisis y Diagnóstico del Plan Especial de Manejo y Protección del Parque Nacional Enrique Olaya Herrera</t>
  </si>
  <si>
    <t xml:space="preserve"> Elaborar un documento de Análisis y Diagnóstico como insumo para la formulación del Plan Especial de Manejo y Protección —PEMP del Parque Nacional Enrique Olaya Herrera</t>
  </si>
  <si>
    <t>316-382-419-486-560-597-624-684</t>
  </si>
  <si>
    <t>293-368-425-496-621-682-824</t>
  </si>
  <si>
    <t>679-680</t>
  </si>
  <si>
    <t>547-582-622</t>
  </si>
  <si>
    <t>3-57-58-131-132-157-360-376-385-415-417-434-411-407-424-599-603-605-610-654-674-691-695-703-706-728-742-743-775-777-785-804-811-816-828</t>
  </si>
  <si>
    <t>601-709</t>
  </si>
  <si>
    <t>585-594-630</t>
  </si>
  <si>
    <t>G&amp;M COMERCIALIZADORA SAS</t>
  </si>
  <si>
    <t>OFIEXPORT SAS</t>
  </si>
  <si>
    <t>623-633</t>
  </si>
  <si>
    <t>624-634</t>
  </si>
  <si>
    <t>626-635</t>
  </si>
  <si>
    <t>625-636</t>
  </si>
  <si>
    <t>Prestar servicios profesionales al Instituto Distrital de Patrimonio Cultural para realizar una investigación sobre Julian Lombana quien hizo parte del proceso de construcción de la Iglesia del Voto Nacional</t>
  </si>
  <si>
    <t xml:space="preserve">Adición Cto 327 cuyo objeto es : Prestar servicios profesionales al Instituto Distrital de Patrimonio Cultural para apoyar las actividades de implementación del proyecto de apropiación social del Patrimonio Cultural Inmaterial "Patrimonios Locales".  </t>
  </si>
  <si>
    <t>Adición al Cto 249 cuyo objeto es: Prestar servicios profesionales  al Instituto Distrital de Patrimonio Cultural para llevar a cabo los procesos de corrección de estilo de los textos y publicaciones adelantadas por la Subdirección de Divulgación y Apropiación del Patrimonio.</t>
  </si>
  <si>
    <t xml:space="preserve">
Prestar servicios profesionales al Instituto Distrital de Patrimonio Cultural para la realización de un diagnóstico socio cultural de la zona Ciudad Bolívar que permita identificar necesidades, actores, expectativas locales y posibles puntos de riesgo como insumo para orientar la formulación de actividades y funcionamiento del Museo de la Ciudad Autoconstruida - MCA una vez se plantee su entrada en operación.
</t>
  </si>
  <si>
    <t>RICARDO ANDRES PERILLA JIMENEZ</t>
  </si>
  <si>
    <t>JESUS ALBERTO MARTINEZ ARIAS</t>
  </si>
  <si>
    <t>LUISA FERNANDA CASTAÑEDA URREA</t>
  </si>
  <si>
    <t>Indicador PMR</t>
  </si>
  <si>
    <t>128. Adecuación y sostenibilidad del SIG-MIPG</t>
  </si>
  <si>
    <t>121. Niños, niñas y adolescentes formados en la Cátedra de Patrimonio Cultural</t>
  </si>
  <si>
    <t>122. Docentes del Distrito Capital formados en la Cátedra de Patrimonio Cultural</t>
  </si>
  <si>
    <t>123. Experiencia de formación en Cátedra de Patrimonio Cultural sistematizada</t>
  </si>
  <si>
    <t>108. Número de asistentes a la oferta pública en actividades del patrimonio cultural</t>
  </si>
  <si>
    <t>124. Número de estímulos otorgados a iniciativas de la ciudadanía en temas de patrimonio
cultural.</t>
  </si>
  <si>
    <t>29. Número de actividades ofrecidas que contribuyan a activar el patrimonio cultural, para
su divulgación y apropiación</t>
  </si>
  <si>
    <t>30. Número de instrumentos de planeación y gestión formulados y adoptados, para la
preservación y sostenibilidad del patrimonio cultural</t>
  </si>
  <si>
    <t>104. Número de inmuebles de interés cultural intervenidos por accion directa</t>
  </si>
  <si>
    <t xml:space="preserve">28. Número de incentivos a la permanencia del uso residencial en Bienes de Interés Cultural del Distrito Capital con declaratoria individual.
100. Número de conceptos técnicos emitidos.
101. Número de Asesorias técnicas realizadas.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</si>
</sst>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 #,##0.00_ ;_ * \-#,##0.00_ ;_ * &quot;-&quot;??_ ;_ @_ "/>
    <numFmt numFmtId="165" formatCode="[$$-240A]\ #,##0"/>
    <numFmt numFmtId="166" formatCode="#,##0_ ;\-#,##0\ "/>
    <numFmt numFmtId="167" formatCode="_ * #,##0_ ;_ * \-#,##0_ ;_ * &quot;-&quot;_ ;_ @_ "/>
    <numFmt numFmtId="168" formatCode="_ * #,##0_ ;_ * \-#,##0_ ;_ * &quot;-&quot;??_ ;_ @_ "/>
    <numFmt numFmtId="169" formatCode="000"/>
    <numFmt numFmtId="170" formatCode="dd/mm/yyyy;@"/>
    <numFmt numFmtId="171" formatCode="0000"/>
    <numFmt numFmtId="172" formatCode="d/mm/yyyy;@"/>
    <numFmt numFmtId="173" formatCode="#,##0;[Red]#,##0"/>
    <numFmt numFmtId="174" formatCode="0_ ;\-0\ "/>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indexed="10"/>
      <name val="Arial"/>
      <family val="2"/>
    </font>
    <font>
      <b/>
      <sz val="9"/>
      <name val="Arial"/>
      <family val="2"/>
    </font>
    <font>
      <b/>
      <sz val="10"/>
      <color theme="1"/>
      <name val="Arial"/>
      <family val="2"/>
    </font>
    <font>
      <sz val="10"/>
      <color rgb="FFFF0000"/>
      <name val="Arial"/>
      <family val="2"/>
    </font>
    <font>
      <b/>
      <sz val="10"/>
      <color rgb="FFFF0000"/>
      <name val="Arial"/>
      <family val="2"/>
    </font>
    <font>
      <b/>
      <sz val="9"/>
      <color rgb="FFFF0000"/>
      <name val="Arial"/>
      <family val="2"/>
    </font>
    <font>
      <sz val="10"/>
      <color theme="1"/>
      <name val="Arial"/>
      <family val="2"/>
    </font>
    <font>
      <b/>
      <sz val="9"/>
      <color theme="1"/>
      <name val="Arial"/>
      <family val="2"/>
    </font>
    <font>
      <sz val="9"/>
      <name val="Arial"/>
      <family val="2"/>
    </font>
    <font>
      <b/>
      <sz val="10"/>
      <color theme="1"/>
      <name val="Arial1"/>
    </font>
    <font>
      <sz val="10"/>
      <color rgb="FFFF0000"/>
      <name val="Arial1"/>
    </font>
    <font>
      <b/>
      <sz val="10"/>
      <color indexed="8"/>
      <name val="Arial1"/>
    </font>
    <font>
      <sz val="10"/>
      <color indexed="8"/>
      <name val="Arial1"/>
    </font>
    <font>
      <sz val="10"/>
      <color theme="1"/>
      <name val="Arial1"/>
    </font>
    <font>
      <sz val="9"/>
      <color theme="1"/>
      <name val="Arial"/>
      <family val="2"/>
    </font>
    <font>
      <b/>
      <sz val="8"/>
      <name val="Arial"/>
      <family val="2"/>
    </font>
    <font>
      <sz val="8"/>
      <name val="Arial"/>
      <family val="2"/>
    </font>
    <font>
      <b/>
      <sz val="20"/>
      <name val="Arial"/>
      <family val="2"/>
    </font>
    <font>
      <sz val="11"/>
      <name val="Arial"/>
      <family val="2"/>
    </font>
    <font>
      <b/>
      <sz val="9"/>
      <color theme="1"/>
      <name val="Calibri"/>
      <family val="2"/>
    </font>
    <font>
      <sz val="9"/>
      <color theme="1"/>
      <name val="Calibri"/>
      <family val="2"/>
    </font>
    <font>
      <b/>
      <sz val="11"/>
      <name val="Arial"/>
      <family val="2"/>
    </font>
    <font>
      <b/>
      <sz val="10"/>
      <color rgb="FFFF0000"/>
      <name val="Ari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1"/>
    </font>
    <font>
      <u/>
      <sz val="9"/>
      <name val="Arial"/>
      <family val="2"/>
    </font>
    <font>
      <b/>
      <sz val="9"/>
      <color indexed="10"/>
      <name val="Arial"/>
      <family val="2"/>
    </font>
    <font>
      <b/>
      <sz val="12"/>
      <name val="Arial"/>
      <family val="2"/>
    </font>
    <font>
      <sz val="11"/>
      <color theme="1"/>
      <name val="Arial"/>
      <family val="2"/>
    </font>
    <font>
      <sz val="11"/>
      <color theme="1"/>
      <name val="Arial1"/>
    </font>
    <font>
      <b/>
      <sz val="11"/>
      <color rgb="FFFF0000"/>
      <name val="Arial"/>
      <family val="2"/>
    </font>
    <font>
      <b/>
      <sz val="9"/>
      <color theme="9" tint="0.39997558519241921"/>
      <name val="Arial"/>
      <family val="2"/>
    </font>
    <font>
      <b/>
      <sz val="9"/>
      <color rgb="FFFF9900"/>
      <name val="Arial"/>
      <family val="2"/>
    </font>
    <font>
      <b/>
      <sz val="11"/>
      <color theme="0"/>
      <name val="Arial"/>
      <family val="2"/>
    </font>
    <font>
      <b/>
      <sz val="11"/>
      <color rgb="FFFF9900"/>
      <name val="Arial"/>
      <family val="2"/>
    </font>
    <font>
      <b/>
      <sz val="11"/>
      <color theme="1"/>
      <name val="Arial"/>
      <family val="2"/>
    </font>
    <font>
      <b/>
      <sz val="11"/>
      <color theme="1"/>
      <name val="Arial1"/>
    </font>
    <font>
      <sz val="9"/>
      <color indexed="81"/>
      <name val="Tahoma"/>
      <family val="2"/>
    </font>
    <font>
      <b/>
      <sz val="9"/>
      <color indexed="81"/>
      <name val="Tahoma"/>
      <family val="2"/>
    </font>
    <font>
      <b/>
      <sz val="11"/>
      <color theme="1"/>
      <name val="Calibri"/>
      <family val="2"/>
    </font>
    <font>
      <sz val="11"/>
      <color theme="1"/>
      <name val="Calibri"/>
      <family val="2"/>
    </font>
    <font>
      <sz val="11"/>
      <color rgb="FFFF0000"/>
      <name val="Arial"/>
      <family val="2"/>
    </font>
    <font>
      <sz val="10"/>
      <name val="Arial"/>
      <family val="2"/>
    </font>
  </fonts>
  <fills count="7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9"/>
        <bgColor indexed="64"/>
      </patternFill>
    </fill>
    <fill>
      <patternFill patternType="solid">
        <fgColor indexed="44"/>
        <bgColor indexed="4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92D050"/>
        <bgColor indexed="64"/>
      </patternFill>
    </fill>
    <fill>
      <patternFill patternType="solid">
        <fgColor rgb="FFFF99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44"/>
      </patternFill>
    </fill>
    <fill>
      <patternFill patternType="solid">
        <fgColor theme="5" tint="0.59999389629810485"/>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9CC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auto="1"/>
      </top>
      <bottom/>
      <diagonal/>
    </border>
    <border>
      <left style="thin">
        <color auto="1"/>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auto="1"/>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thin">
        <color indexed="64"/>
      </bottom>
      <diagonal/>
    </border>
    <border>
      <left style="thin">
        <color theme="0"/>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indexed="64"/>
      </left>
      <right style="medium">
        <color indexed="64"/>
      </right>
      <top style="hair">
        <color indexed="64"/>
      </top>
      <bottom style="hair">
        <color theme="0" tint="-0.14993743705557422"/>
      </bottom>
      <diagonal/>
    </border>
    <border>
      <left style="hair">
        <color indexed="8"/>
      </left>
      <right/>
      <top style="hair">
        <color indexed="64"/>
      </top>
      <bottom style="hair">
        <color indexed="64"/>
      </bottom>
      <diagonal/>
    </border>
  </borders>
  <cellStyleXfs count="70">
    <xf numFmtId="0" fontId="0" fillId="0" borderId="0"/>
    <xf numFmtId="164" fontId="13" fillId="0" borderId="0" applyFont="0" applyFill="0" applyBorder="0" applyAlignment="0" applyProtection="0"/>
    <xf numFmtId="0" fontId="13" fillId="0" borderId="0"/>
    <xf numFmtId="0" fontId="12" fillId="0" borderId="0"/>
    <xf numFmtId="0" fontId="11" fillId="0" borderId="0"/>
    <xf numFmtId="0" fontId="39" fillId="0" borderId="0" applyNumberFormat="0" applyFill="0" applyBorder="0" applyAlignment="0" applyProtection="0"/>
    <xf numFmtId="0" fontId="40" fillId="0" borderId="60" applyNumberFormat="0" applyFill="0" applyAlignment="0" applyProtection="0"/>
    <xf numFmtId="0" fontId="41" fillId="0" borderId="61" applyNumberFormat="0" applyFill="0" applyAlignment="0" applyProtection="0"/>
    <xf numFmtId="0" fontId="42" fillId="0" borderId="62"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3" borderId="63" applyNumberFormat="0" applyAlignment="0" applyProtection="0"/>
    <xf numFmtId="0" fontId="47" fillId="34" borderId="64" applyNumberFormat="0" applyAlignment="0" applyProtection="0"/>
    <xf numFmtId="0" fontId="48" fillId="34" borderId="63" applyNumberFormat="0" applyAlignment="0" applyProtection="0"/>
    <xf numFmtId="0" fontId="49" fillId="0" borderId="65" applyNumberFormat="0" applyFill="0" applyAlignment="0" applyProtection="0"/>
    <xf numFmtId="0" fontId="50" fillId="35" borderId="6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8" applyNumberFormat="0" applyFill="0" applyAlignment="0" applyProtection="0"/>
    <xf numFmtId="0" fontId="54"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54" fillId="60" borderId="0" applyNumberFormat="0" applyBorder="0" applyAlignment="0" applyProtection="0"/>
    <xf numFmtId="0" fontId="10" fillId="0" borderId="0"/>
    <xf numFmtId="0" fontId="10" fillId="36" borderId="67" applyNumberFormat="0" applyFont="0" applyAlignment="0" applyProtection="0"/>
    <xf numFmtId="0" fontId="8" fillId="0" borderId="0"/>
    <xf numFmtId="0" fontId="9" fillId="0" borderId="0"/>
    <xf numFmtId="0" fontId="7" fillId="0" borderId="0"/>
    <xf numFmtId="0" fontId="6" fillId="0" borderId="0"/>
    <xf numFmtId="0" fontId="6" fillId="36" borderId="67" applyNumberFormat="0" applyFont="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5" fillId="0" borderId="0"/>
    <xf numFmtId="0" fontId="4" fillId="0" borderId="0"/>
    <xf numFmtId="0" fontId="3" fillId="0" borderId="0"/>
    <xf numFmtId="0" fontId="2" fillId="0" borderId="0"/>
    <xf numFmtId="0" fontId="1" fillId="0" borderId="0"/>
    <xf numFmtId="9" fontId="73" fillId="0" borderId="0" applyFont="0" applyFill="0" applyBorder="0" applyAlignment="0" applyProtection="0"/>
  </cellStyleXfs>
  <cellXfs count="2177">
    <xf numFmtId="0" fontId="0" fillId="0" borderId="0" xfId="0"/>
    <xf numFmtId="3" fontId="14" fillId="0" borderId="3" xfId="0" applyNumberFormat="1" applyFont="1" applyBorder="1" applyAlignment="1">
      <alignment vertical="center" wrapText="1"/>
    </xf>
    <xf numFmtId="3" fontId="14" fillId="0" borderId="5" xfId="0" applyNumberFormat="1" applyFont="1" applyBorder="1" applyAlignment="1">
      <alignment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3" fontId="17" fillId="5" borderId="1" xfId="0" applyNumberFormat="1" applyFont="1" applyFill="1" applyBorder="1" applyAlignment="1">
      <alignment horizontal="center" vertical="center" wrapText="1"/>
    </xf>
    <xf numFmtId="0" fontId="19" fillId="0" borderId="0" xfId="0" applyFont="1" applyFill="1"/>
    <xf numFmtId="3" fontId="17" fillId="0" borderId="7" xfId="0" applyNumberFormat="1" applyFont="1" applyFill="1" applyBorder="1" applyAlignment="1">
      <alignment horizontal="center" vertical="center" wrapText="1"/>
    </xf>
    <xf numFmtId="0" fontId="0" fillId="0" borderId="0" xfId="0" applyFill="1"/>
    <xf numFmtId="0" fontId="14" fillId="4" borderId="7" xfId="0" applyFont="1" applyFill="1" applyBorder="1" applyAlignment="1">
      <alignment horizontal="left" vertical="center" wrapText="1"/>
    </xf>
    <xf numFmtId="165" fontId="14" fillId="4" borderId="7" xfId="0" applyNumberFormat="1" applyFont="1" applyFill="1" applyBorder="1" applyAlignment="1">
      <alignment horizontal="center" vertical="center" wrapText="1"/>
    </xf>
    <xf numFmtId="0" fontId="14" fillId="4" borderId="7" xfId="0" applyFont="1" applyFill="1" applyBorder="1" applyAlignment="1">
      <alignment horizontal="justify" vertical="center" wrapText="1"/>
    </xf>
    <xf numFmtId="3" fontId="26" fillId="7" borderId="7" xfId="0" applyNumberFormat="1" applyFont="1" applyFill="1" applyBorder="1" applyAlignment="1">
      <alignment horizontal="left" vertical="center" wrapText="1"/>
    </xf>
    <xf numFmtId="0" fontId="14" fillId="4" borderId="7" xfId="0" applyFont="1" applyFill="1" applyBorder="1" applyAlignment="1">
      <alignment horizontal="center" vertical="center" wrapText="1"/>
    </xf>
    <xf numFmtId="3" fontId="17" fillId="4" borderId="7" xfId="0" applyNumberFormat="1" applyFont="1" applyFill="1" applyBorder="1" applyAlignment="1">
      <alignment horizontal="center" vertical="center" wrapText="1"/>
    </xf>
    <xf numFmtId="167" fontId="14" fillId="9" borderId="8" xfId="1" applyNumberFormat="1" applyFont="1" applyFill="1" applyBorder="1" applyAlignment="1">
      <alignment horizontal="center" wrapText="1"/>
    </xf>
    <xf numFmtId="167" fontId="14" fillId="9" borderId="9" xfId="1" applyNumberFormat="1" applyFont="1" applyFill="1" applyBorder="1" applyAlignment="1">
      <alignment horizontal="center" wrapText="1"/>
    </xf>
    <xf numFmtId="167" fontId="14" fillId="9" borderId="10" xfId="1" applyNumberFormat="1" applyFont="1" applyFill="1" applyBorder="1" applyAlignment="1">
      <alignment horizontal="center" wrapText="1"/>
    </xf>
    <xf numFmtId="0" fontId="14" fillId="0" borderId="12" xfId="0" applyFont="1" applyBorder="1" applyAlignment="1">
      <alignment wrapText="1"/>
    </xf>
    <xf numFmtId="165" fontId="14" fillId="0" borderId="0" xfId="1" applyNumberFormat="1" applyFont="1" applyBorder="1" applyAlignment="1">
      <alignment horizontal="center" wrapText="1"/>
    </xf>
    <xf numFmtId="167" fontId="14" fillId="0" borderId="0" xfId="1" applyNumberFormat="1" applyFont="1" applyBorder="1" applyAlignment="1">
      <alignment horizontal="center" wrapText="1"/>
    </xf>
    <xf numFmtId="167" fontId="31" fillId="0" borderId="0" xfId="1" applyNumberFormat="1" applyFont="1" applyBorder="1" applyAlignment="1">
      <alignment horizontal="center" wrapText="1"/>
    </xf>
    <xf numFmtId="0" fontId="14" fillId="10" borderId="13" xfId="0" applyFont="1" applyFill="1" applyBorder="1" applyAlignment="1">
      <alignment vertical="center" wrapText="1"/>
    </xf>
    <xf numFmtId="165" fontId="14" fillId="10" borderId="7" xfId="1" applyNumberFormat="1" applyFont="1" applyFill="1" applyBorder="1" applyAlignment="1">
      <alignment horizontal="center" vertical="center" wrapText="1"/>
    </xf>
    <xf numFmtId="3" fontId="17" fillId="5" borderId="15" xfId="0" applyNumberFormat="1" applyFont="1" applyFill="1" applyBorder="1" applyAlignment="1">
      <alignment horizontal="center" vertical="center" wrapText="1"/>
    </xf>
    <xf numFmtId="0" fontId="31" fillId="11" borderId="13" xfId="0" applyFont="1" applyFill="1" applyBorder="1" applyAlignment="1">
      <alignment horizontal="center" vertical="center" wrapText="1"/>
    </xf>
    <xf numFmtId="165" fontId="14" fillId="0" borderId="7" xfId="1" applyNumberFormat="1" applyFont="1" applyBorder="1" applyAlignment="1">
      <alignment horizontal="center" vertical="center" wrapText="1"/>
    </xf>
    <xf numFmtId="165" fontId="0" fillId="0" borderId="0" xfId="0" applyNumberFormat="1"/>
    <xf numFmtId="0" fontId="13" fillId="0" borderId="0" xfId="0" applyFont="1"/>
    <xf numFmtId="0" fontId="31" fillId="0" borderId="0" xfId="0" applyFont="1" applyAlignment="1">
      <alignment horizontal="right" wrapText="1"/>
    </xf>
    <xf numFmtId="165" fontId="31" fillId="0" borderId="0" xfId="0" applyNumberFormat="1" applyFont="1" applyAlignment="1">
      <alignment horizontal="center" wrapText="1"/>
    </xf>
    <xf numFmtId="0" fontId="31" fillId="0" borderId="0" xfId="0" applyFont="1" applyAlignment="1">
      <alignment horizontal="right"/>
    </xf>
    <xf numFmtId="0" fontId="31" fillId="0" borderId="0" xfId="0" applyFont="1" applyAlignment="1">
      <alignment horizontal="left"/>
    </xf>
    <xf numFmtId="0" fontId="32" fillId="0" borderId="0" xfId="0" applyFont="1" applyAlignment="1">
      <alignment wrapText="1"/>
    </xf>
    <xf numFmtId="165" fontId="32" fillId="0" borderId="0" xfId="0" applyNumberFormat="1" applyFont="1"/>
    <xf numFmtId="168" fontId="32" fillId="0" borderId="0" xfId="1" applyNumberFormat="1" applyFont="1"/>
    <xf numFmtId="0" fontId="32" fillId="0" borderId="0" xfId="0" applyFont="1" applyAlignment="1">
      <alignment horizontal="left"/>
    </xf>
    <xf numFmtId="168" fontId="0" fillId="0" borderId="0" xfId="1" applyNumberFormat="1" applyFont="1"/>
    <xf numFmtId="0" fontId="33" fillId="5" borderId="16"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0" fillId="5" borderId="16" xfId="0" applyFill="1" applyBorder="1" applyAlignment="1">
      <alignment horizontal="center"/>
    </xf>
    <xf numFmtId="0" fontId="0" fillId="5" borderId="0" xfId="0" applyFill="1" applyBorder="1"/>
    <xf numFmtId="0" fontId="31" fillId="0" borderId="12" xfId="0" applyFont="1" applyBorder="1" applyAlignment="1">
      <alignment vertical="center"/>
    </xf>
    <xf numFmtId="0" fontId="13" fillId="4" borderId="0" xfId="0" applyFont="1" applyFill="1" applyBorder="1" applyAlignment="1">
      <alignment horizontal="left" wrapText="1"/>
    </xf>
    <xf numFmtId="0" fontId="16" fillId="4" borderId="13" xfId="0" applyFont="1" applyFill="1" applyBorder="1" applyAlignment="1">
      <alignment vertical="center"/>
    </xf>
    <xf numFmtId="0" fontId="0" fillId="5" borderId="18" xfId="0" applyFill="1" applyBorder="1" applyAlignment="1">
      <alignment horizontal="center"/>
    </xf>
    <xf numFmtId="0" fontId="0" fillId="5" borderId="19" xfId="0" applyFill="1" applyBorder="1"/>
    <xf numFmtId="0" fontId="14" fillId="4" borderId="21" xfId="0" applyFont="1" applyFill="1" applyBorder="1" applyAlignment="1">
      <alignment horizontal="center" vertical="center" wrapText="1"/>
    </xf>
    <xf numFmtId="0" fontId="0" fillId="5" borderId="2" xfId="0" applyFill="1" applyBorder="1" applyAlignment="1"/>
    <xf numFmtId="0" fontId="14" fillId="4" borderId="22" xfId="0" applyFont="1" applyFill="1" applyBorder="1" applyAlignment="1">
      <alignment horizontal="center" vertical="center" wrapText="1"/>
    </xf>
    <xf numFmtId="0" fontId="14" fillId="4" borderId="14" xfId="0" applyFont="1" applyFill="1" applyBorder="1" applyAlignment="1">
      <alignment horizontal="center" vertical="center" wrapText="1"/>
    </xf>
    <xf numFmtId="165" fontId="14" fillId="9" borderId="7" xfId="0" applyNumberFormat="1" applyFont="1" applyFill="1" applyBorder="1" applyAlignment="1">
      <alignment horizontal="center" vertical="center" wrapText="1"/>
    </xf>
    <xf numFmtId="0" fontId="13" fillId="9" borderId="7" xfId="0" applyFont="1" applyFill="1" applyBorder="1" applyAlignment="1">
      <alignment horizontal="justify" vertical="center" wrapText="1"/>
    </xf>
    <xf numFmtId="0" fontId="14" fillId="9" borderId="3" xfId="0" applyFont="1" applyFill="1" applyBorder="1" applyAlignment="1">
      <alignment horizontal="center" vertical="center" wrapText="1"/>
    </xf>
    <xf numFmtId="3" fontId="17" fillId="9" borderId="7" xfId="0" applyNumberFormat="1" applyFont="1" applyFill="1" applyBorder="1" applyAlignment="1">
      <alignment horizontal="center" vertical="center" wrapText="1"/>
    </xf>
    <xf numFmtId="0" fontId="14" fillId="4" borderId="3"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9" borderId="7" xfId="0" applyFont="1" applyFill="1" applyBorder="1" applyAlignment="1">
      <alignment horizontal="justify" vertical="center" wrapText="1"/>
    </xf>
    <xf numFmtId="0" fontId="14" fillId="4" borderId="13" xfId="0" applyFont="1" applyFill="1" applyBorder="1" applyAlignment="1">
      <alignment horizontal="center" vertical="center" wrapText="1"/>
    </xf>
    <xf numFmtId="0" fontId="0" fillId="0" borderId="12" xfId="0" applyBorder="1"/>
    <xf numFmtId="165" fontId="0" fillId="0" borderId="0" xfId="0" applyNumberFormat="1" applyBorder="1"/>
    <xf numFmtId="0" fontId="0" fillId="0" borderId="0" xfId="0" applyBorder="1"/>
    <xf numFmtId="0" fontId="0" fillId="0" borderId="0" xfId="0" applyBorder="1" applyAlignment="1">
      <alignment horizontal="center"/>
    </xf>
    <xf numFmtId="0" fontId="13" fillId="0" borderId="12" xfId="0" applyFont="1" applyBorder="1" applyAlignment="1">
      <alignment horizontal="right"/>
    </xf>
    <xf numFmtId="165" fontId="13" fillId="0" borderId="0" xfId="0" applyNumberFormat="1" applyFont="1" applyBorder="1" applyAlignment="1">
      <alignment horizontal="right"/>
    </xf>
    <xf numFmtId="0" fontId="13" fillId="0" borderId="25" xfId="0" applyFont="1" applyBorder="1"/>
    <xf numFmtId="168" fontId="32" fillId="0" borderId="25" xfId="0" applyNumberFormat="1" applyFont="1" applyBorder="1" applyAlignment="1">
      <alignment wrapText="1"/>
    </xf>
    <xf numFmtId="0" fontId="32" fillId="0" borderId="25" xfId="0" applyFont="1" applyBorder="1" applyAlignment="1">
      <alignment wrapText="1"/>
    </xf>
    <xf numFmtId="0" fontId="32" fillId="0" borderId="25" xfId="0" applyFont="1" applyBorder="1" applyAlignment="1">
      <alignment horizontal="center"/>
    </xf>
    <xf numFmtId="0" fontId="0" fillId="0" borderId="25" xfId="0" applyBorder="1"/>
    <xf numFmtId="0" fontId="0" fillId="0" borderId="0" xfId="0" applyAlignment="1">
      <alignment horizontal="center"/>
    </xf>
    <xf numFmtId="0" fontId="13" fillId="4" borderId="17" xfId="0" applyFont="1" applyFill="1" applyBorder="1" applyAlignment="1">
      <alignment horizontal="left" wrapText="1"/>
    </xf>
    <xf numFmtId="0" fontId="18" fillId="4" borderId="7" xfId="0" applyFont="1" applyFill="1" applyBorder="1" applyAlignment="1">
      <alignment horizontal="justify" vertical="center" wrapText="1"/>
    </xf>
    <xf numFmtId="165" fontId="14" fillId="0" borderId="0" xfId="0" applyNumberFormat="1"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14" fillId="0" borderId="7" xfId="1" applyNumberFormat="1" applyFont="1" applyBorder="1" applyAlignment="1">
      <alignment horizontal="center" vertical="center" wrapText="1"/>
    </xf>
    <xf numFmtId="0" fontId="13" fillId="6" borderId="7" xfId="0" applyFont="1" applyFill="1" applyBorder="1" applyAlignment="1">
      <alignment horizontal="left" vertical="center"/>
    </xf>
    <xf numFmtId="0" fontId="22" fillId="6" borderId="7" xfId="0" applyFont="1" applyFill="1" applyBorder="1" applyAlignment="1">
      <alignment horizontal="left" vertical="center"/>
    </xf>
    <xf numFmtId="3" fontId="29" fillId="7" borderId="7" xfId="0" applyNumberFormat="1" applyFont="1" applyFill="1" applyBorder="1" applyAlignment="1">
      <alignment horizontal="left" vertical="center"/>
    </xf>
    <xf numFmtId="0" fontId="22" fillId="8" borderId="7" xfId="0" applyFont="1" applyFill="1" applyBorder="1" applyAlignment="1">
      <alignment horizontal="left" vertical="center"/>
    </xf>
    <xf numFmtId="0" fontId="13" fillId="6" borderId="13" xfId="0" applyFont="1" applyFill="1" applyBorder="1" applyAlignment="1">
      <alignment horizontal="left" vertical="center"/>
    </xf>
    <xf numFmtId="0" fontId="13" fillId="9" borderId="7" xfId="0" applyFont="1" applyFill="1" applyBorder="1" applyAlignment="1">
      <alignment horizontal="left" vertical="center"/>
    </xf>
    <xf numFmtId="0" fontId="14" fillId="4" borderId="7" xfId="0" applyFont="1" applyFill="1" applyBorder="1" applyAlignment="1">
      <alignment horizontal="left" vertical="center"/>
    </xf>
    <xf numFmtId="0" fontId="13" fillId="8" borderId="7" xfId="0" applyFont="1" applyFill="1" applyBorder="1" applyAlignment="1">
      <alignment horizontal="left" vertical="center"/>
    </xf>
    <xf numFmtId="0" fontId="13" fillId="8" borderId="13" xfId="0" applyFont="1" applyFill="1" applyBorder="1" applyAlignment="1">
      <alignment horizontal="left" vertical="center"/>
    </xf>
    <xf numFmtId="0" fontId="13" fillId="12" borderId="7" xfId="0" applyFont="1" applyFill="1" applyBorder="1" applyAlignment="1">
      <alignment horizontal="left" vertical="center"/>
    </xf>
    <xf numFmtId="0" fontId="13" fillId="12" borderId="13" xfId="0" applyFont="1" applyFill="1" applyBorder="1" applyAlignment="1">
      <alignment horizontal="left" vertical="center"/>
    </xf>
    <xf numFmtId="0" fontId="22" fillId="12" borderId="7" xfId="0" applyFont="1" applyFill="1" applyBorder="1" applyAlignment="1">
      <alignment horizontal="left" vertical="center"/>
    </xf>
    <xf numFmtId="0" fontId="14" fillId="9" borderId="7" xfId="0" applyFont="1" applyFill="1" applyBorder="1" applyAlignment="1">
      <alignment horizontal="left" vertical="center"/>
    </xf>
    <xf numFmtId="0" fontId="13" fillId="10" borderId="7" xfId="0" applyFont="1" applyFill="1" applyBorder="1" applyAlignment="1">
      <alignment horizontal="left" vertical="center"/>
    </xf>
    <xf numFmtId="0" fontId="22" fillId="13" borderId="7" xfId="0" applyFont="1" applyFill="1" applyBorder="1" applyAlignment="1">
      <alignment horizontal="left" vertical="center"/>
    </xf>
    <xf numFmtId="0" fontId="22" fillId="14" borderId="7" xfId="0" applyFont="1" applyFill="1" applyBorder="1" applyAlignment="1">
      <alignment horizontal="left" vertical="center"/>
    </xf>
    <xf numFmtId="3" fontId="29" fillId="7" borderId="3" xfId="0" applyNumberFormat="1" applyFont="1" applyFill="1" applyBorder="1" applyAlignment="1">
      <alignment horizontal="left" vertical="center"/>
    </xf>
    <xf numFmtId="3" fontId="36" fillId="13" borderId="7" xfId="2" applyNumberFormat="1" applyFont="1" applyFill="1" applyBorder="1" applyAlignment="1">
      <alignment horizontal="left" vertical="center"/>
    </xf>
    <xf numFmtId="3" fontId="36" fillId="13" borderId="14" xfId="2" applyNumberFormat="1" applyFont="1" applyFill="1" applyBorder="1" applyAlignment="1">
      <alignment horizontal="left" vertical="center"/>
    </xf>
    <xf numFmtId="0" fontId="13" fillId="0" borderId="7" xfId="0" applyFont="1" applyFill="1" applyBorder="1" applyAlignment="1">
      <alignment horizontal="center" vertical="center" wrapText="1"/>
    </xf>
    <xf numFmtId="1" fontId="17" fillId="5" borderId="1" xfId="0" applyNumberFormat="1" applyFont="1" applyFill="1" applyBorder="1" applyAlignment="1">
      <alignment horizontal="center" vertical="center" wrapText="1"/>
    </xf>
    <xf numFmtId="1" fontId="24" fillId="0" borderId="7" xfId="0" applyNumberFormat="1" applyFont="1" applyFill="1" applyBorder="1" applyAlignment="1">
      <alignment horizontal="center" vertical="center" wrapText="1"/>
    </xf>
    <xf numFmtId="1" fontId="24" fillId="0" borderId="7" xfId="1" applyNumberFormat="1" applyFont="1" applyFill="1" applyBorder="1" applyAlignment="1">
      <alignment horizontal="center" vertical="center" wrapText="1"/>
    </xf>
    <xf numFmtId="1" fontId="17" fillId="4" borderId="7" xfId="0" applyNumberFormat="1" applyFont="1" applyFill="1" applyBorder="1" applyAlignment="1">
      <alignment horizontal="center" vertical="center" wrapText="1"/>
    </xf>
    <xf numFmtId="1" fontId="17" fillId="9" borderId="11" xfId="1" applyNumberFormat="1" applyFont="1" applyFill="1" applyBorder="1" applyAlignment="1">
      <alignment horizontal="center" wrapText="1"/>
    </xf>
    <xf numFmtId="1" fontId="31" fillId="0" borderId="0" xfId="1" applyNumberFormat="1" applyFont="1" applyBorder="1" applyAlignment="1">
      <alignment horizontal="center" wrapText="1"/>
    </xf>
    <xf numFmtId="1" fontId="0" fillId="0" borderId="0" xfId="0" applyNumberFormat="1"/>
    <xf numFmtId="3" fontId="24" fillId="0" borderId="7" xfId="0" applyNumberFormat="1"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3" fontId="24" fillId="0" borderId="7" xfId="0" applyNumberFormat="1" applyFont="1" applyFill="1" applyBorder="1" applyAlignment="1">
      <alignment vertical="center" wrapText="1"/>
    </xf>
    <xf numFmtId="3" fontId="24" fillId="0" borderId="7" xfId="1" applyNumberFormat="1" applyFont="1" applyFill="1" applyBorder="1" applyAlignment="1">
      <alignment horizontal="center" vertical="center" wrapText="1"/>
    </xf>
    <xf numFmtId="3" fontId="17" fillId="9" borderId="8" xfId="1" applyNumberFormat="1" applyFont="1" applyFill="1" applyBorder="1" applyAlignment="1">
      <alignment horizontal="center" wrapText="1"/>
    </xf>
    <xf numFmtId="3" fontId="31" fillId="0" borderId="0" xfId="1" applyNumberFormat="1" applyFont="1" applyBorder="1" applyAlignment="1">
      <alignment horizontal="center" wrapText="1"/>
    </xf>
    <xf numFmtId="3" fontId="17" fillId="5" borderId="14" xfId="0" applyNumberFormat="1" applyFont="1" applyFill="1" applyBorder="1" applyAlignment="1">
      <alignment horizontal="center" vertical="center" wrapText="1"/>
    </xf>
    <xf numFmtId="3" fontId="31" fillId="11" borderId="7" xfId="0" applyNumberFormat="1" applyFont="1" applyFill="1" applyBorder="1" applyAlignment="1">
      <alignment horizontal="center" vertical="center" wrapText="1"/>
    </xf>
    <xf numFmtId="3" fontId="0" fillId="0" borderId="0" xfId="0" applyNumberFormat="1"/>
    <xf numFmtId="3" fontId="17" fillId="4" borderId="7" xfId="1" applyNumberFormat="1" applyFont="1" applyFill="1" applyBorder="1" applyAlignment="1">
      <alignment horizontal="center" vertical="center" wrapText="1"/>
    </xf>
    <xf numFmtId="3" fontId="0" fillId="0" borderId="0" xfId="0" applyNumberFormat="1" applyAlignment="1">
      <alignment horizontal="center" vertical="center"/>
    </xf>
    <xf numFmtId="1" fontId="17" fillId="4" borderId="7" xfId="1" applyNumberFormat="1" applyFont="1" applyFill="1" applyBorder="1" applyAlignment="1">
      <alignment horizontal="center" vertical="center" wrapText="1"/>
    </xf>
    <xf numFmtId="0" fontId="14" fillId="0" borderId="0" xfId="0" applyFont="1" applyFill="1"/>
    <xf numFmtId="3" fontId="14" fillId="4" borderId="1"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3" fontId="14" fillId="4" borderId="7"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3" fontId="14" fillId="9" borderId="8" xfId="1" applyNumberFormat="1" applyFont="1" applyFill="1" applyBorder="1" applyAlignment="1">
      <alignment horizontal="center" wrapText="1"/>
    </xf>
    <xf numFmtId="3" fontId="14" fillId="0" borderId="0" xfId="1" applyNumberFormat="1" applyFont="1" applyBorder="1" applyAlignment="1">
      <alignment horizontal="center" wrapText="1"/>
    </xf>
    <xf numFmtId="3" fontId="14" fillId="10" borderId="7" xfId="1" applyNumberFormat="1" applyFont="1" applyFill="1" applyBorder="1" applyAlignment="1">
      <alignment horizontal="center" vertical="center" wrapText="1"/>
    </xf>
    <xf numFmtId="3" fontId="31" fillId="0" borderId="0" xfId="0" applyNumberFormat="1" applyFont="1" applyAlignment="1">
      <alignment horizontal="center" wrapText="1"/>
    </xf>
    <xf numFmtId="3" fontId="32" fillId="0" borderId="0" xfId="0" applyNumberFormat="1" applyFont="1"/>
    <xf numFmtId="0" fontId="0" fillId="0" borderId="0" xfId="0" applyAlignment="1">
      <alignment vertical="center"/>
    </xf>
    <xf numFmtId="0" fontId="0" fillId="0" borderId="0" xfId="0" applyFill="1" applyAlignment="1">
      <alignment vertical="center"/>
    </xf>
    <xf numFmtId="3" fontId="13" fillId="0" borderId="7" xfId="0" applyNumberFormat="1" applyFont="1" applyFill="1" applyBorder="1" applyAlignment="1">
      <alignment horizontal="center" vertical="center" wrapText="1"/>
    </xf>
    <xf numFmtId="0" fontId="14" fillId="0" borderId="0" xfId="0" applyFont="1"/>
    <xf numFmtId="0" fontId="13" fillId="0" borderId="0" xfId="0" applyFont="1" applyAlignment="1">
      <alignment horizontal="center"/>
    </xf>
    <xf numFmtId="1" fontId="13" fillId="0" borderId="0" xfId="0" applyNumberFormat="1" applyFont="1" applyAlignment="1">
      <alignment horizontal="center"/>
    </xf>
    <xf numFmtId="1" fontId="13" fillId="4" borderId="7" xfId="0" applyNumberFormat="1" applyFont="1" applyFill="1" applyBorder="1" applyAlignment="1">
      <alignment horizontal="center" vertical="center" wrapText="1"/>
    </xf>
    <xf numFmtId="1" fontId="13" fillId="9" borderId="9" xfId="1" applyNumberFormat="1" applyFont="1" applyFill="1" applyBorder="1" applyAlignment="1">
      <alignment horizontal="center" wrapText="1"/>
    </xf>
    <xf numFmtId="1" fontId="13" fillId="0" borderId="0" xfId="1" applyNumberFormat="1" applyFont="1" applyBorder="1" applyAlignment="1">
      <alignment horizontal="center" wrapText="1"/>
    </xf>
    <xf numFmtId="3" fontId="17" fillId="0" borderId="29" xfId="0" applyNumberFormat="1" applyFont="1" applyFill="1" applyBorder="1" applyAlignment="1">
      <alignment horizontal="center" vertical="center" wrapText="1"/>
    </xf>
    <xf numFmtId="3" fontId="24" fillId="0" borderId="29" xfId="0" applyNumberFormat="1" applyFont="1" applyFill="1" applyBorder="1" applyAlignment="1">
      <alignment horizontal="center" vertical="center" wrapText="1"/>
    </xf>
    <xf numFmtId="3" fontId="17" fillId="4" borderId="29" xfId="1" applyNumberFormat="1" applyFont="1" applyFill="1" applyBorder="1" applyAlignment="1">
      <alignment horizontal="center" vertical="center" wrapText="1"/>
    </xf>
    <xf numFmtId="3" fontId="24" fillId="0" borderId="29" xfId="1" applyNumberFormat="1" applyFont="1" applyFill="1" applyBorder="1" applyAlignment="1">
      <alignment horizontal="center" vertical="center" wrapText="1"/>
    </xf>
    <xf numFmtId="3" fontId="17" fillId="4" borderId="29"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xf>
    <xf numFmtId="3" fontId="14" fillId="0"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1" fontId="13" fillId="0" borderId="17"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1" fontId="17" fillId="0" borderId="16" xfId="0" applyNumberFormat="1"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3" fontId="19" fillId="0" borderId="7"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13" fillId="0" borderId="7" xfId="0" applyNumberFormat="1" applyFont="1" applyFill="1" applyBorder="1" applyAlignment="1">
      <alignment horizontal="center" vertical="center"/>
    </xf>
    <xf numFmtId="167" fontId="14" fillId="0" borderId="0" xfId="1" applyNumberFormat="1" applyFont="1" applyFill="1" applyBorder="1" applyAlignment="1">
      <alignment horizontal="center" wrapText="1"/>
    </xf>
    <xf numFmtId="1" fontId="13" fillId="0" borderId="0" xfId="0" applyNumberFormat="1" applyFont="1" applyFill="1" applyBorder="1" applyAlignment="1">
      <alignment horizontal="center" vertical="center" wrapText="1"/>
    </xf>
    <xf numFmtId="167" fontId="31" fillId="0" borderId="0"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14" fillId="9" borderId="13" xfId="0" applyFont="1" applyFill="1" applyBorder="1" applyAlignment="1">
      <alignment horizontal="right" vertical="center" wrapText="1"/>
    </xf>
    <xf numFmtId="0" fontId="13" fillId="0" borderId="3" xfId="0"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3" fontId="17" fillId="9" borderId="29" xfId="0" applyNumberFormat="1" applyFont="1" applyFill="1" applyBorder="1" applyAlignment="1">
      <alignment horizontal="center" vertical="center" wrapText="1"/>
    </xf>
    <xf numFmtId="3" fontId="0" fillId="0" borderId="7" xfId="0" applyNumberFormat="1" applyFill="1" applyBorder="1" applyAlignment="1">
      <alignment horizontal="center"/>
    </xf>
    <xf numFmtId="3" fontId="0" fillId="0" borderId="0" xfId="0" applyNumberFormat="1" applyAlignment="1">
      <alignment horizontal="center"/>
    </xf>
    <xf numFmtId="3" fontId="13" fillId="0" borderId="0" xfId="0" applyNumberFormat="1" applyFont="1" applyAlignment="1">
      <alignment horizontal="center"/>
    </xf>
    <xf numFmtId="3" fontId="13" fillId="0" borderId="7" xfId="0" applyNumberFormat="1" applyFont="1" applyFill="1" applyBorder="1" applyAlignment="1">
      <alignment horizontal="center"/>
    </xf>
    <xf numFmtId="0" fontId="14" fillId="9" borderId="13" xfId="0" applyFont="1" applyFill="1" applyBorder="1" applyAlignment="1">
      <alignment horizontal="right" vertical="center"/>
    </xf>
    <xf numFmtId="0" fontId="14" fillId="4" borderId="13" xfId="0" applyFont="1" applyFill="1" applyBorder="1" applyAlignment="1">
      <alignment horizontal="right" vertical="center"/>
    </xf>
    <xf numFmtId="165" fontId="13" fillId="0" borderId="7" xfId="0" applyNumberFormat="1" applyFont="1" applyFill="1" applyBorder="1" applyAlignment="1">
      <alignment horizontal="center" vertical="center"/>
    </xf>
    <xf numFmtId="165" fontId="14" fillId="4" borderId="7" xfId="0" applyNumberFormat="1" applyFont="1" applyFill="1" applyBorder="1" applyAlignment="1">
      <alignment horizontal="center" vertical="center"/>
    </xf>
    <xf numFmtId="165" fontId="14" fillId="21" borderId="7" xfId="0" applyNumberFormat="1" applyFont="1" applyFill="1" applyBorder="1" applyAlignment="1">
      <alignment horizontal="center" vertical="center" wrapText="1"/>
    </xf>
    <xf numFmtId="165" fontId="14" fillId="21" borderId="7" xfId="0" applyNumberFormat="1" applyFont="1" applyFill="1" applyBorder="1" applyAlignment="1">
      <alignment horizontal="center" vertical="center"/>
    </xf>
    <xf numFmtId="165" fontId="14" fillId="9" borderId="7" xfId="0" applyNumberFormat="1" applyFont="1" applyFill="1" applyBorder="1" applyAlignment="1">
      <alignment horizontal="center" vertical="center"/>
    </xf>
    <xf numFmtId="165" fontId="18" fillId="20" borderId="7" xfId="0" applyNumberFormat="1" applyFont="1" applyFill="1" applyBorder="1" applyAlignment="1">
      <alignment horizontal="center" vertical="center"/>
    </xf>
    <xf numFmtId="169" fontId="0" fillId="0" borderId="0" xfId="0" applyNumberFormat="1" applyFill="1" applyAlignment="1">
      <alignment horizontal="center"/>
    </xf>
    <xf numFmtId="169" fontId="0" fillId="0" borderId="0" xfId="0" applyNumberFormat="1" applyAlignment="1">
      <alignment horizontal="center"/>
    </xf>
    <xf numFmtId="0" fontId="14" fillId="0" borderId="12" xfId="0" applyFont="1" applyFill="1" applyBorder="1" applyAlignment="1">
      <alignment horizontal="center" vertical="center" wrapText="1"/>
    </xf>
    <xf numFmtId="165" fontId="14" fillId="0" borderId="15" xfId="0" applyNumberFormat="1" applyFont="1" applyFill="1" applyBorder="1" applyAlignment="1">
      <alignment horizontal="center" vertical="center" wrapText="1"/>
    </xf>
    <xf numFmtId="1" fontId="14" fillId="0" borderId="0" xfId="1" applyNumberFormat="1" applyFont="1" applyBorder="1" applyAlignment="1">
      <alignment horizontal="center" vertical="center" wrapText="1"/>
    </xf>
    <xf numFmtId="3" fontId="14" fillId="0" borderId="0" xfId="0" applyNumberFormat="1" applyFont="1" applyBorder="1" applyAlignment="1">
      <alignment horizontal="center"/>
    </xf>
    <xf numFmtId="3" fontId="17" fillId="9" borderId="33" xfId="0" applyNumberFormat="1"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3" fontId="0" fillId="0" borderId="33" xfId="0" applyNumberFormat="1" applyFill="1" applyBorder="1" applyAlignment="1">
      <alignment horizontal="center" vertical="center"/>
    </xf>
    <xf numFmtId="3" fontId="17" fillId="0" borderId="33" xfId="0" applyNumberFormat="1" applyFont="1" applyFill="1" applyBorder="1" applyAlignment="1">
      <alignment horizontal="center" vertical="center" wrapText="1"/>
    </xf>
    <xf numFmtId="165" fontId="37" fillId="9" borderId="34" xfId="1" applyNumberFormat="1" applyFont="1" applyFill="1" applyBorder="1" applyAlignment="1">
      <alignment horizontal="center" vertical="center" wrapText="1"/>
    </xf>
    <xf numFmtId="167" fontId="37" fillId="9" borderId="34" xfId="1" applyNumberFormat="1" applyFont="1" applyFill="1" applyBorder="1" applyAlignment="1">
      <alignment horizontal="center" vertical="center" wrapText="1"/>
    </xf>
    <xf numFmtId="167" fontId="37" fillId="9" borderId="35" xfId="1" applyNumberFormat="1" applyFont="1" applyFill="1" applyBorder="1" applyAlignment="1">
      <alignment horizontal="center" vertical="center" wrapText="1"/>
    </xf>
    <xf numFmtId="167" fontId="37" fillId="9" borderId="37" xfId="1" applyNumberFormat="1" applyFont="1" applyFill="1" applyBorder="1" applyAlignment="1">
      <alignment horizontal="center" vertical="center" wrapText="1"/>
    </xf>
    <xf numFmtId="3" fontId="14" fillId="19" borderId="44" xfId="0" applyNumberFormat="1" applyFont="1" applyFill="1" applyBorder="1" applyAlignment="1">
      <alignment horizontal="center" vertical="center"/>
    </xf>
    <xf numFmtId="0" fontId="0" fillId="5" borderId="4" xfId="0" applyFill="1" applyBorder="1" applyAlignment="1">
      <alignment horizontal="center" vertical="center" wrapText="1"/>
    </xf>
    <xf numFmtId="3" fontId="23" fillId="4" borderId="29" xfId="0" applyNumberFormat="1" applyFont="1" applyFill="1" applyBorder="1" applyAlignment="1">
      <alignment horizontal="center" vertical="center" wrapText="1"/>
    </xf>
    <xf numFmtId="0" fontId="14" fillId="9" borderId="44" xfId="0" applyFont="1" applyFill="1" applyBorder="1" applyAlignment="1">
      <alignment horizontal="justify" vertical="center" wrapText="1"/>
    </xf>
    <xf numFmtId="0" fontId="14" fillId="9" borderId="45" xfId="0" applyFont="1" applyFill="1" applyBorder="1" applyAlignment="1">
      <alignment horizontal="justify" vertical="center" wrapText="1"/>
    </xf>
    <xf numFmtId="3" fontId="17" fillId="9" borderId="43"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3" fontId="30" fillId="0" borderId="29" xfId="0" applyNumberFormat="1" applyFont="1" applyFill="1" applyBorder="1" applyAlignment="1">
      <alignment horizontal="center" vertical="center" wrapText="1"/>
    </xf>
    <xf numFmtId="3" fontId="30" fillId="0" borderId="7" xfId="0" applyNumberFormat="1" applyFont="1" applyFill="1" applyBorder="1" applyAlignment="1">
      <alignment horizontal="center" vertical="center" wrapText="1"/>
    </xf>
    <xf numFmtId="3" fontId="0" fillId="5" borderId="0" xfId="0" applyNumberFormat="1" applyFill="1" applyBorder="1" applyAlignment="1">
      <alignment horizontal="center" vertical="center"/>
    </xf>
    <xf numFmtId="3" fontId="0" fillId="5" borderId="19"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48" xfId="0" applyNumberFormat="1" applyFill="1" applyBorder="1" applyAlignment="1">
      <alignment horizontal="center" vertical="center"/>
    </xf>
    <xf numFmtId="0" fontId="14" fillId="4" borderId="42" xfId="0" applyFont="1" applyFill="1" applyBorder="1" applyAlignment="1">
      <alignment horizontal="right" vertical="center"/>
    </xf>
    <xf numFmtId="169" fontId="0" fillId="5" borderId="16" xfId="0" applyNumberFormat="1" applyFill="1" applyBorder="1" applyAlignment="1">
      <alignment horizontal="center"/>
    </xf>
    <xf numFmtId="169" fontId="0" fillId="5" borderId="18" xfId="0" applyNumberFormat="1" applyFill="1" applyBorder="1" applyAlignment="1">
      <alignment horizontal="center"/>
    </xf>
    <xf numFmtId="169" fontId="0" fillId="5" borderId="2" xfId="0" applyNumberFormat="1" applyFill="1" applyBorder="1" applyAlignment="1">
      <alignment horizontal="center" vertical="center" wrapText="1"/>
    </xf>
    <xf numFmtId="169" fontId="14" fillId="5" borderId="1" xfId="0" applyNumberFormat="1" applyFont="1" applyFill="1" applyBorder="1" applyAlignment="1">
      <alignment horizontal="center" vertical="center" wrapText="1"/>
    </xf>
    <xf numFmtId="169" fontId="22" fillId="0" borderId="3" xfId="0" applyNumberFormat="1" applyFont="1" applyFill="1" applyBorder="1" applyAlignment="1">
      <alignment horizontal="center" vertical="center" wrapText="1"/>
    </xf>
    <xf numFmtId="169" fontId="14" fillId="9" borderId="3" xfId="0" applyNumberFormat="1" applyFont="1" applyFill="1" applyBorder="1" applyAlignment="1">
      <alignment horizontal="center" vertical="center" wrapText="1"/>
    </xf>
    <xf numFmtId="169" fontId="13" fillId="0" borderId="3" xfId="0" applyNumberFormat="1" applyFont="1" applyFill="1" applyBorder="1" applyAlignment="1">
      <alignment horizontal="center" vertical="center" wrapText="1"/>
    </xf>
    <xf numFmtId="169" fontId="14" fillId="4" borderId="3" xfId="0" applyNumberFormat="1" applyFont="1" applyFill="1" applyBorder="1" applyAlignment="1">
      <alignment horizontal="center" vertical="center" wrapText="1"/>
    </xf>
    <xf numFmtId="169" fontId="18" fillId="4" borderId="3" xfId="0" applyNumberFormat="1" applyFont="1" applyFill="1" applyBorder="1" applyAlignment="1">
      <alignment horizontal="center" vertical="center" wrapText="1"/>
    </xf>
    <xf numFmtId="169" fontId="14" fillId="9" borderId="47" xfId="0" applyNumberFormat="1" applyFont="1" applyFill="1" applyBorder="1" applyAlignment="1">
      <alignment horizontal="center" vertical="center" wrapText="1"/>
    </xf>
    <xf numFmtId="169" fontId="14" fillId="0" borderId="0" xfId="0" applyNumberFormat="1" applyFont="1" applyFill="1" applyBorder="1" applyAlignment="1">
      <alignment horizontal="center" vertical="center" wrapText="1"/>
    </xf>
    <xf numFmtId="169" fontId="14" fillId="0" borderId="0" xfId="1" applyNumberFormat="1" applyFont="1" applyBorder="1" applyAlignment="1">
      <alignment horizontal="center" wrapText="1"/>
    </xf>
    <xf numFmtId="169" fontId="0" fillId="5" borderId="0" xfId="0" applyNumberFormat="1" applyFill="1" applyBorder="1" applyAlignment="1">
      <alignment horizontal="center"/>
    </xf>
    <xf numFmtId="169" fontId="0" fillId="5" borderId="19" xfId="0" applyNumberFormat="1" applyFill="1" applyBorder="1" applyAlignment="1">
      <alignment horizontal="center"/>
    </xf>
    <xf numFmtId="169" fontId="0" fillId="5" borderId="2" xfId="0" applyNumberFormat="1" applyFill="1" applyBorder="1" applyAlignment="1">
      <alignment horizontal="center"/>
    </xf>
    <xf numFmtId="0" fontId="22" fillId="24" borderId="7" xfId="0" applyFont="1" applyFill="1" applyBorder="1" applyAlignment="1">
      <alignment horizontal="left" vertical="center"/>
    </xf>
    <xf numFmtId="0" fontId="18" fillId="0" borderId="14" xfId="0" applyFont="1" applyFill="1" applyBorder="1" applyAlignment="1">
      <alignment horizontal="justify" vertical="center" wrapText="1"/>
    </xf>
    <xf numFmtId="0" fontId="18" fillId="0" borderId="27" xfId="0" applyFont="1" applyFill="1" applyBorder="1" applyAlignment="1">
      <alignment horizontal="justify" vertical="center" wrapText="1"/>
    </xf>
    <xf numFmtId="169" fontId="18" fillId="0" borderId="5" xfId="0" applyNumberFormat="1" applyFont="1" applyFill="1" applyBorder="1" applyAlignment="1">
      <alignment horizontal="center" vertical="center" wrapText="1"/>
    </xf>
    <xf numFmtId="3" fontId="23" fillId="0" borderId="26"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9" fontId="0" fillId="0" borderId="0" xfId="0" applyNumberFormat="1" applyFill="1" applyBorder="1" applyAlignment="1">
      <alignment horizontal="center"/>
    </xf>
    <xf numFmtId="3" fontId="0" fillId="0" borderId="0" xfId="0" applyNumberFormat="1" applyBorder="1" applyAlignment="1">
      <alignment horizontal="center" vertical="center"/>
    </xf>
    <xf numFmtId="169" fontId="0" fillId="0" borderId="0" xfId="0" applyNumberFormat="1" applyBorder="1" applyAlignment="1">
      <alignment horizontal="center"/>
    </xf>
    <xf numFmtId="3" fontId="14" fillId="0" borderId="0" xfId="1" applyNumberFormat="1" applyFont="1" applyFill="1" applyBorder="1" applyAlignment="1">
      <alignment horizontal="center" vertical="center" wrapText="1"/>
    </xf>
    <xf numFmtId="169" fontId="14" fillId="0" borderId="0" xfId="1" applyNumberFormat="1" applyFont="1" applyFill="1" applyBorder="1" applyAlignment="1">
      <alignment horizontal="center" vertical="center" wrapText="1"/>
    </xf>
    <xf numFmtId="3" fontId="17" fillId="5" borderId="31" xfId="0" applyNumberFormat="1" applyFont="1" applyFill="1" applyBorder="1" applyAlignment="1">
      <alignment horizontal="center" vertical="center" wrapText="1"/>
    </xf>
    <xf numFmtId="3" fontId="13" fillId="0" borderId="3" xfId="0" applyNumberFormat="1" applyFont="1" applyFill="1" applyBorder="1" applyAlignment="1">
      <alignment horizontal="center"/>
    </xf>
    <xf numFmtId="3" fontId="17" fillId="9" borderId="2" xfId="0" applyNumberFormat="1" applyFont="1" applyFill="1" applyBorder="1" applyAlignment="1">
      <alignment horizontal="center" vertical="center" wrapText="1"/>
    </xf>
    <xf numFmtId="3" fontId="17" fillId="4"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wrapText="1"/>
    </xf>
    <xf numFmtId="169" fontId="17" fillId="5" borderId="49" xfId="0" applyNumberFormat="1" applyFont="1" applyFill="1" applyBorder="1" applyAlignment="1">
      <alignment horizontal="center" vertical="center" wrapText="1"/>
    </xf>
    <xf numFmtId="169" fontId="0" fillId="0" borderId="33" xfId="0" applyNumberFormat="1" applyFill="1" applyBorder="1" applyAlignment="1">
      <alignment horizontal="center"/>
    </xf>
    <xf numFmtId="169" fontId="0" fillId="0" borderId="33" xfId="0" applyNumberFormat="1" applyFill="1" applyBorder="1" applyAlignment="1">
      <alignment horizontal="center" vertical="center"/>
    </xf>
    <xf numFmtId="169" fontId="13" fillId="0" borderId="33" xfId="0" applyNumberFormat="1" applyFont="1" applyFill="1" applyBorder="1" applyAlignment="1">
      <alignment horizontal="center" vertical="center"/>
    </xf>
    <xf numFmtId="169" fontId="32" fillId="0" borderId="33" xfId="0" applyNumberFormat="1" applyFont="1" applyFill="1" applyBorder="1" applyAlignment="1">
      <alignment horizontal="center" vertical="center"/>
    </xf>
    <xf numFmtId="3" fontId="0" fillId="0" borderId="3" xfId="0" applyNumberFormat="1" applyFill="1" applyBorder="1" applyAlignment="1">
      <alignment horizontal="center" vertical="center"/>
    </xf>
    <xf numFmtId="3" fontId="19" fillId="0" borderId="3"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69" fontId="17" fillId="9" borderId="33" xfId="0" applyNumberFormat="1" applyFont="1" applyFill="1" applyBorder="1" applyAlignment="1">
      <alignment horizontal="center" vertical="center" wrapText="1"/>
    </xf>
    <xf numFmtId="169" fontId="17" fillId="4" borderId="33" xfId="0" applyNumberFormat="1" applyFont="1" applyFill="1" applyBorder="1" applyAlignment="1">
      <alignment horizontal="center" vertical="center" wrapText="1"/>
    </xf>
    <xf numFmtId="169" fontId="22" fillId="0" borderId="33" xfId="0" applyNumberFormat="1" applyFont="1" applyFill="1" applyBorder="1" applyAlignment="1">
      <alignment horizontal="center"/>
    </xf>
    <xf numFmtId="3" fontId="23" fillId="4" borderId="33" xfId="0" applyNumberFormat="1" applyFont="1" applyFill="1" applyBorder="1" applyAlignment="1">
      <alignment horizontal="center" vertical="center" wrapText="1"/>
    </xf>
    <xf numFmtId="169" fontId="0" fillId="0" borderId="50" xfId="0" applyNumberFormat="1" applyFill="1" applyBorder="1" applyAlignment="1">
      <alignment horizontal="center"/>
    </xf>
    <xf numFmtId="3" fontId="17" fillId="9" borderId="51" xfId="0" applyNumberFormat="1" applyFont="1" applyFill="1" applyBorder="1" applyAlignment="1">
      <alignment horizontal="center" vertical="center" wrapText="1"/>
    </xf>
    <xf numFmtId="3" fontId="17" fillId="4" borderId="3" xfId="1" applyNumberFormat="1" applyFont="1" applyFill="1" applyBorder="1" applyAlignment="1">
      <alignment horizontal="center" vertical="center" wrapText="1"/>
    </xf>
    <xf numFmtId="3" fontId="22" fillId="0" borderId="3"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14" fillId="19" borderId="47" xfId="0" applyNumberFormat="1" applyFont="1" applyFill="1" applyBorder="1" applyAlignment="1">
      <alignment horizontal="center" vertical="center"/>
    </xf>
    <xf numFmtId="3" fontId="17" fillId="5" borderId="49" xfId="0" applyNumberFormat="1" applyFont="1" applyFill="1" applyBorder="1" applyAlignment="1">
      <alignment horizontal="center" vertical="center" wrapText="1"/>
    </xf>
    <xf numFmtId="0" fontId="0" fillId="0" borderId="33" xfId="0" applyFill="1" applyBorder="1" applyAlignment="1">
      <alignment horizontal="center" vertical="center"/>
    </xf>
    <xf numFmtId="168" fontId="17" fillId="4" borderId="33" xfId="1" applyNumberFormat="1" applyFont="1" applyFill="1" applyBorder="1" applyAlignment="1">
      <alignment horizontal="center" vertical="center" wrapText="1"/>
    </xf>
    <xf numFmtId="168" fontId="24" fillId="0" borderId="33" xfId="1" applyNumberFormat="1" applyFont="1" applyFill="1" applyBorder="1" applyAlignment="1">
      <alignment horizontal="center" vertical="center" wrapText="1"/>
    </xf>
    <xf numFmtId="167" fontId="17" fillId="9" borderId="51" xfId="1" applyNumberFormat="1" applyFont="1" applyFill="1" applyBorder="1" applyAlignment="1">
      <alignment horizontal="center" wrapText="1"/>
    </xf>
    <xf numFmtId="3" fontId="17" fillId="5" borderId="7" xfId="0" applyNumberFormat="1" applyFont="1" applyFill="1" applyBorder="1" applyAlignment="1">
      <alignment horizontal="center" vertical="center" wrapText="1"/>
    </xf>
    <xf numFmtId="0" fontId="19" fillId="0" borderId="7" xfId="0" applyFont="1" applyFill="1" applyBorder="1"/>
    <xf numFmtId="0" fontId="0" fillId="0" borderId="7" xfId="0" applyFill="1" applyBorder="1"/>
    <xf numFmtId="169" fontId="0" fillId="0" borderId="25" xfId="0" applyNumberFormat="1" applyBorder="1" applyAlignment="1">
      <alignment horizontal="center"/>
    </xf>
    <xf numFmtId="3" fontId="23" fillId="5" borderId="52" xfId="0" applyNumberFormat="1" applyFont="1" applyFill="1" applyBorder="1" applyAlignment="1">
      <alignment horizontal="center" vertical="center" wrapText="1"/>
    </xf>
    <xf numFmtId="3" fontId="23" fillId="5" borderId="41" xfId="0" applyNumberFormat="1" applyFont="1" applyFill="1" applyBorder="1" applyAlignment="1">
      <alignment horizontal="center" vertical="center" wrapText="1"/>
    </xf>
    <xf numFmtId="0" fontId="14" fillId="0" borderId="15" xfId="0" applyFont="1" applyFill="1" applyBorder="1" applyAlignment="1">
      <alignment horizontal="justify" vertical="center" wrapText="1"/>
    </xf>
    <xf numFmtId="0" fontId="14" fillId="0" borderId="17" xfId="0" applyFont="1" applyFill="1" applyBorder="1" applyAlignment="1">
      <alignment horizontal="justify" vertical="center" wrapText="1"/>
    </xf>
    <xf numFmtId="0" fontId="14" fillId="0" borderId="30" xfId="0" applyFont="1" applyFill="1" applyBorder="1" applyAlignment="1">
      <alignment horizontal="justify" vertical="center" wrapText="1"/>
    </xf>
    <xf numFmtId="0" fontId="0" fillId="5" borderId="48" xfId="0" applyFill="1" applyBorder="1" applyAlignment="1"/>
    <xf numFmtId="3" fontId="36" fillId="21" borderId="7" xfId="2" applyNumberFormat="1" applyFont="1" applyFill="1" applyBorder="1" applyAlignment="1">
      <alignment horizontal="left" vertical="center"/>
    </xf>
    <xf numFmtId="3" fontId="36" fillId="21" borderId="14" xfId="2" applyNumberFormat="1" applyFont="1" applyFill="1" applyBorder="1" applyAlignment="1">
      <alignment horizontal="left" vertical="center"/>
    </xf>
    <xf numFmtId="3" fontId="36" fillId="24" borderId="7" xfId="2" applyNumberFormat="1" applyFont="1" applyFill="1" applyBorder="1" applyAlignment="1">
      <alignment horizontal="left" vertical="center"/>
    </xf>
    <xf numFmtId="3" fontId="36" fillId="24" borderId="14" xfId="2" applyNumberFormat="1" applyFont="1" applyFill="1" applyBorder="1" applyAlignment="1">
      <alignment horizontal="left" vertical="center"/>
    </xf>
    <xf numFmtId="3" fontId="14" fillId="0" borderId="0" xfId="1" applyNumberFormat="1" applyFont="1" applyBorder="1" applyAlignment="1">
      <alignment horizontal="center"/>
    </xf>
    <xf numFmtId="3" fontId="14" fillId="4" borderId="14" xfId="0" applyNumberFormat="1" applyFont="1" applyFill="1" applyBorder="1" applyAlignment="1">
      <alignment horizontal="center" vertical="center" wrapText="1"/>
    </xf>
    <xf numFmtId="3" fontId="36" fillId="16" borderId="7" xfId="1" applyNumberFormat="1" applyFont="1" applyFill="1" applyBorder="1" applyAlignment="1">
      <alignment horizontal="center" vertical="center"/>
    </xf>
    <xf numFmtId="3" fontId="14" fillId="4" borderId="7" xfId="0" applyNumberFormat="1" applyFont="1" applyFill="1" applyBorder="1" applyAlignment="1">
      <alignment horizontal="center" vertical="center"/>
    </xf>
    <xf numFmtId="3" fontId="0" fillId="5" borderId="2" xfId="0" applyNumberFormat="1" applyFill="1" applyBorder="1" applyAlignment="1">
      <alignment horizontal="center"/>
    </xf>
    <xf numFmtId="3" fontId="14" fillId="5" borderId="1" xfId="0" applyNumberFormat="1" applyFont="1" applyFill="1" applyBorder="1" applyAlignment="1">
      <alignment horizontal="center" vertical="center" wrapText="1"/>
    </xf>
    <xf numFmtId="0" fontId="13" fillId="0" borderId="7" xfId="0" applyFont="1" applyFill="1" applyBorder="1"/>
    <xf numFmtId="3" fontId="35" fillId="13" borderId="7" xfId="2" applyNumberFormat="1" applyFont="1" applyFill="1" applyBorder="1" applyAlignment="1">
      <alignment horizontal="left" vertical="center" wrapText="1"/>
    </xf>
    <xf numFmtId="1" fontId="23" fillId="0" borderId="7" xfId="0" applyNumberFormat="1" applyFont="1" applyFill="1" applyBorder="1" applyAlignment="1">
      <alignment horizontal="center" vertical="center" wrapText="1"/>
    </xf>
    <xf numFmtId="1" fontId="30" fillId="0" borderId="7" xfId="0" applyNumberFormat="1" applyFont="1" applyFill="1" applyBorder="1" applyAlignment="1">
      <alignment horizontal="center" vertical="center" wrapText="1"/>
    </xf>
    <xf numFmtId="3" fontId="0" fillId="5" borderId="0" xfId="0" applyNumberFormat="1" applyFill="1" applyBorder="1"/>
    <xf numFmtId="3" fontId="0" fillId="5" borderId="19" xfId="0" applyNumberFormat="1" applyFill="1" applyBorder="1"/>
    <xf numFmtId="3" fontId="0" fillId="5" borderId="2" xfId="0" applyNumberFormat="1" applyFill="1" applyBorder="1" applyAlignment="1"/>
    <xf numFmtId="3" fontId="22" fillId="0" borderId="3"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3" fontId="14" fillId="4" borderId="3" xfId="0" applyNumberFormat="1" applyFont="1" applyFill="1" applyBorder="1" applyAlignment="1">
      <alignment horizontal="center" vertical="center" wrapText="1"/>
    </xf>
    <xf numFmtId="3" fontId="23" fillId="5" borderId="53" xfId="0" applyNumberFormat="1" applyFont="1" applyFill="1" applyBorder="1" applyAlignment="1">
      <alignment horizontal="center" vertical="center" wrapText="1"/>
    </xf>
    <xf numFmtId="0" fontId="0" fillId="3" borderId="0" xfId="0" applyFill="1" applyAlignment="1">
      <alignment vertical="center" wrapText="1"/>
    </xf>
    <xf numFmtId="0" fontId="0" fillId="5" borderId="16" xfId="0" applyFill="1" applyBorder="1" applyAlignment="1">
      <alignment horizontal="center" vertical="center" wrapText="1"/>
    </xf>
    <xf numFmtId="0" fontId="0" fillId="3" borderId="0" xfId="0" applyFill="1" applyBorder="1" applyAlignment="1">
      <alignment vertical="center" wrapText="1"/>
    </xf>
    <xf numFmtId="3" fontId="0" fillId="3" borderId="0" xfId="0" applyNumberFormat="1" applyFill="1" applyBorder="1" applyAlignment="1">
      <alignment vertical="center" wrapText="1"/>
    </xf>
    <xf numFmtId="0" fontId="0" fillId="5" borderId="18" xfId="0" applyFill="1" applyBorder="1" applyAlignment="1">
      <alignment horizontal="center" vertical="center" wrapText="1"/>
    </xf>
    <xf numFmtId="0" fontId="0" fillId="5" borderId="48" xfId="0" applyFill="1" applyBorder="1" applyAlignment="1">
      <alignment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13" fillId="18" borderId="12" xfId="0" applyFont="1" applyFill="1" applyBorder="1" applyAlignment="1">
      <alignment horizontal="left" vertical="center"/>
    </xf>
    <xf numFmtId="0" fontId="15" fillId="18" borderId="0" xfId="0" applyFont="1" applyFill="1" applyBorder="1" applyAlignment="1">
      <alignment horizontal="center"/>
    </xf>
    <xf numFmtId="0" fontId="13" fillId="18" borderId="12" xfId="0" applyFont="1" applyFill="1" applyBorder="1" applyAlignment="1">
      <alignment vertical="center"/>
    </xf>
    <xf numFmtId="0" fontId="15" fillId="18" borderId="17" xfId="0" applyFont="1" applyFill="1" applyBorder="1" applyAlignment="1">
      <alignment horizontal="center"/>
    </xf>
    <xf numFmtId="0" fontId="15" fillId="18" borderId="0" xfId="0" applyFont="1" applyFill="1" applyBorder="1" applyAlignment="1">
      <alignment horizontal="center" vertical="center" wrapText="1"/>
    </xf>
    <xf numFmtId="170" fontId="16" fillId="18" borderId="0" xfId="1" applyNumberFormat="1" applyFont="1" applyFill="1" applyBorder="1" applyAlignment="1">
      <alignment horizontal="center" vertical="center" wrapText="1"/>
    </xf>
    <xf numFmtId="0" fontId="13" fillId="18" borderId="0" xfId="0" applyFont="1" applyFill="1" applyBorder="1" applyAlignment="1">
      <alignment horizontal="left" vertical="center" wrapText="1"/>
    </xf>
    <xf numFmtId="166" fontId="14" fillId="18" borderId="0" xfId="1" applyNumberFormat="1" applyFont="1" applyFill="1" applyBorder="1" applyAlignment="1">
      <alignment horizontal="center" vertical="center" wrapText="1"/>
    </xf>
    <xf numFmtId="0" fontId="13" fillId="18" borderId="0" xfId="0" applyFont="1" applyFill="1" applyBorder="1" applyAlignment="1">
      <alignment horizontal="left" wrapText="1"/>
    </xf>
    <xf numFmtId="0" fontId="13" fillId="18" borderId="17" xfId="0" applyFont="1" applyFill="1" applyBorder="1" applyAlignment="1">
      <alignment horizontal="left" wrapText="1"/>
    </xf>
    <xf numFmtId="0" fontId="0" fillId="18" borderId="20" xfId="0" applyFill="1" applyBorder="1"/>
    <xf numFmtId="170" fontId="16" fillId="18" borderId="14" xfId="1" applyNumberFormat="1" applyFont="1" applyFill="1" applyBorder="1" applyAlignment="1">
      <alignment horizontal="center"/>
    </xf>
    <xf numFmtId="0" fontId="13" fillId="18" borderId="7" xfId="0" applyFont="1" applyFill="1" applyBorder="1" applyAlignment="1">
      <alignment horizontal="left" wrapText="1"/>
    </xf>
    <xf numFmtId="3" fontId="14" fillId="0" borderId="0" xfId="0" applyNumberFormat="1" applyFont="1" applyBorder="1" applyAlignment="1">
      <alignment horizontal="center" vertical="center" wrapText="1"/>
    </xf>
    <xf numFmtId="0" fontId="0" fillId="18" borderId="7" xfId="0" applyFill="1" applyBorder="1"/>
    <xf numFmtId="3" fontId="0" fillId="0" borderId="0" xfId="0" applyNumberFormat="1" applyFill="1"/>
    <xf numFmtId="3" fontId="13" fillId="0" borderId="7" xfId="0" applyNumberFormat="1" applyFont="1" applyFill="1" applyBorder="1"/>
    <xf numFmtId="3" fontId="0" fillId="0" borderId="7" xfId="0" applyNumberFormat="1" applyFill="1" applyBorder="1"/>
    <xf numFmtId="165" fontId="0" fillId="0" borderId="0" xfId="0" applyNumberFormat="1" applyFill="1"/>
    <xf numFmtId="3" fontId="16" fillId="18" borderId="7" xfId="1" applyNumberFormat="1" applyFont="1" applyFill="1" applyBorder="1" applyAlignment="1">
      <alignment horizontal="center" vertical="center" wrapText="1"/>
    </xf>
    <xf numFmtId="0" fontId="13" fillId="4" borderId="7" xfId="0" applyFont="1" applyFill="1" applyBorder="1" applyAlignment="1">
      <alignment horizontal="left" wrapText="1"/>
    </xf>
    <xf numFmtId="166" fontId="14" fillId="18" borderId="7" xfId="1" applyNumberFormat="1" applyFont="1" applyFill="1" applyBorder="1" applyAlignment="1">
      <alignment horizontal="center"/>
    </xf>
    <xf numFmtId="0" fontId="0" fillId="4" borderId="7" xfId="0" applyFill="1" applyBorder="1"/>
    <xf numFmtId="0" fontId="0" fillId="0" borderId="7" xfId="0" applyFill="1" applyBorder="1" applyAlignment="1">
      <alignment vertical="center"/>
    </xf>
    <xf numFmtId="3" fontId="0" fillId="0" borderId="50" xfId="0" applyNumberFormat="1" applyFill="1" applyBorder="1" applyAlignment="1">
      <alignment horizontal="center" vertical="center"/>
    </xf>
    <xf numFmtId="3" fontId="0" fillId="0" borderId="0" xfId="0" applyNumberFormat="1" applyBorder="1"/>
    <xf numFmtId="0" fontId="13" fillId="18" borderId="7" xfId="0" applyFont="1" applyFill="1" applyBorder="1" applyAlignment="1">
      <alignment horizontal="left" vertical="center" wrapText="1"/>
    </xf>
    <xf numFmtId="0" fontId="0" fillId="5" borderId="0" xfId="0" applyFill="1" applyBorder="1" applyAlignment="1">
      <alignment vertical="center" wrapText="1"/>
    </xf>
    <xf numFmtId="3" fontId="0" fillId="3" borderId="0" xfId="0" applyNumberFormat="1" applyFill="1" applyAlignment="1">
      <alignment vertical="center" wrapText="1"/>
    </xf>
    <xf numFmtId="0" fontId="13" fillId="0" borderId="7" xfId="0" applyFont="1" applyFill="1" applyBorder="1" applyAlignment="1">
      <alignment vertical="center"/>
    </xf>
    <xf numFmtId="0" fontId="14" fillId="19" borderId="7" xfId="0" applyFont="1" applyFill="1" applyBorder="1" applyAlignment="1">
      <alignment vertical="center"/>
    </xf>
    <xf numFmtId="0" fontId="0" fillId="19" borderId="7" xfId="0" applyFill="1" applyBorder="1" applyAlignment="1">
      <alignment vertical="center"/>
    </xf>
    <xf numFmtId="0" fontId="14" fillId="25" borderId="6" xfId="0" applyFont="1" applyFill="1" applyBorder="1" applyAlignment="1">
      <alignment horizontal="center" vertical="center" wrapText="1"/>
    </xf>
    <xf numFmtId="1" fontId="13" fillId="25" borderId="6" xfId="0" applyNumberFormat="1" applyFont="1" applyFill="1" applyBorder="1" applyAlignment="1">
      <alignment horizontal="center" vertical="center" wrapText="1"/>
    </xf>
    <xf numFmtId="3" fontId="21" fillId="25" borderId="6" xfId="0" applyNumberFormat="1" applyFont="1" applyFill="1" applyBorder="1" applyAlignment="1">
      <alignment horizontal="center" vertical="center" wrapText="1"/>
    </xf>
    <xf numFmtId="1" fontId="21" fillId="25" borderId="6" xfId="0" applyNumberFormat="1" applyFont="1" applyFill="1" applyBorder="1" applyAlignment="1">
      <alignment horizontal="center" vertical="center" wrapText="1"/>
    </xf>
    <xf numFmtId="3" fontId="21" fillId="25" borderId="46" xfId="0" applyNumberFormat="1" applyFont="1" applyFill="1" applyBorder="1" applyAlignment="1">
      <alignment horizontal="center" vertical="center" wrapText="1"/>
    </xf>
    <xf numFmtId="3" fontId="19" fillId="25" borderId="20" xfId="0" applyNumberFormat="1" applyFont="1" applyFill="1" applyBorder="1" applyAlignment="1">
      <alignment horizontal="center" vertical="center"/>
    </xf>
    <xf numFmtId="3" fontId="19" fillId="25" borderId="6" xfId="0" applyNumberFormat="1" applyFont="1" applyFill="1" applyBorder="1" applyAlignment="1">
      <alignment horizontal="center" vertical="center"/>
    </xf>
    <xf numFmtId="0" fontId="14" fillId="25" borderId="7" xfId="0" applyFont="1" applyFill="1" applyBorder="1" applyAlignment="1">
      <alignment horizontal="center" vertical="center"/>
    </xf>
    <xf numFmtId="3" fontId="19" fillId="25" borderId="7" xfId="0" applyNumberFormat="1" applyFont="1" applyFill="1" applyBorder="1"/>
    <xf numFmtId="0" fontId="14" fillId="23" borderId="7" xfId="0" applyFont="1" applyFill="1" applyBorder="1" applyAlignment="1">
      <alignment horizontal="center" vertical="center" wrapText="1"/>
    </xf>
    <xf numFmtId="1" fontId="13" fillId="23" borderId="7" xfId="0" applyNumberFormat="1" applyFont="1" applyFill="1" applyBorder="1" applyAlignment="1">
      <alignment horizontal="center" vertical="center" wrapText="1"/>
    </xf>
    <xf numFmtId="3" fontId="30" fillId="23" borderId="7" xfId="1" applyNumberFormat="1" applyFont="1" applyFill="1" applyBorder="1" applyAlignment="1">
      <alignment horizontal="center" vertical="center" wrapText="1"/>
    </xf>
    <xf numFmtId="1" fontId="30" fillId="23" borderId="7" xfId="1" applyNumberFormat="1" applyFont="1" applyFill="1" applyBorder="1" applyAlignment="1">
      <alignment horizontal="center" vertical="center" wrapText="1"/>
    </xf>
    <xf numFmtId="3" fontId="30" fillId="23" borderId="29" xfId="1" applyNumberFormat="1" applyFont="1" applyFill="1" applyBorder="1" applyAlignment="1">
      <alignment horizontal="center" vertical="center" wrapText="1"/>
    </xf>
    <xf numFmtId="168" fontId="30" fillId="23" borderId="33" xfId="1" applyNumberFormat="1" applyFont="1" applyFill="1" applyBorder="1" applyAlignment="1">
      <alignment horizontal="center" vertical="center" wrapText="1"/>
    </xf>
    <xf numFmtId="3" fontId="22" fillId="23" borderId="3" xfId="0" applyNumberFormat="1" applyFont="1" applyFill="1" applyBorder="1" applyAlignment="1">
      <alignment horizontal="center" vertical="center"/>
    </xf>
    <xf numFmtId="3" fontId="19" fillId="23" borderId="7" xfId="0" applyNumberFormat="1" applyFont="1" applyFill="1" applyBorder="1" applyAlignment="1">
      <alignment horizontal="center" vertical="center"/>
    </xf>
    <xf numFmtId="3" fontId="0" fillId="23" borderId="7" xfId="0" applyNumberFormat="1" applyFill="1" applyBorder="1" applyAlignment="1">
      <alignment horizontal="center" vertical="center"/>
    </xf>
    <xf numFmtId="0" fontId="19" fillId="23" borderId="7" xfId="0" applyFont="1" applyFill="1" applyBorder="1" applyAlignment="1">
      <alignment vertical="center"/>
    </xf>
    <xf numFmtId="3" fontId="19" fillId="23" borderId="7" xfId="0" applyNumberFormat="1" applyFont="1" applyFill="1" applyBorder="1"/>
    <xf numFmtId="3" fontId="26" fillId="7" borderId="3" xfId="0" applyNumberFormat="1" applyFont="1" applyFill="1" applyBorder="1" applyAlignment="1">
      <alignment horizontal="left" vertical="center" wrapText="1"/>
    </xf>
    <xf numFmtId="3" fontId="0" fillId="23" borderId="3" xfId="0" applyNumberFormat="1" applyFill="1" applyBorder="1" applyAlignment="1">
      <alignment horizontal="center" vertical="center"/>
    </xf>
    <xf numFmtId="3" fontId="17" fillId="4" borderId="33" xfId="1" applyNumberFormat="1" applyFont="1" applyFill="1" applyBorder="1" applyAlignment="1">
      <alignment horizontal="center" vertical="center" wrapText="1"/>
    </xf>
    <xf numFmtId="3" fontId="0" fillId="23" borderId="33" xfId="0" applyNumberFormat="1" applyFill="1" applyBorder="1" applyAlignment="1">
      <alignment horizontal="center" vertical="center"/>
    </xf>
    <xf numFmtId="3" fontId="0" fillId="0" borderId="2" xfId="0" applyNumberFormat="1" applyFill="1" applyBorder="1" applyAlignment="1">
      <alignment horizontal="center" vertical="center"/>
    </xf>
    <xf numFmtId="3" fontId="24" fillId="0" borderId="0" xfId="0" applyNumberFormat="1" applyFont="1" applyAlignment="1">
      <alignment horizontal="right"/>
    </xf>
    <xf numFmtId="3" fontId="17" fillId="0" borderId="0" xfId="0" applyNumberFormat="1" applyFont="1" applyAlignment="1">
      <alignment horizontal="right"/>
    </xf>
    <xf numFmtId="1" fontId="17" fillId="9" borderId="7" xfId="0" applyNumberFormat="1" applyFont="1" applyFill="1" applyBorder="1" applyAlignment="1">
      <alignment horizontal="center" vertical="center" wrapText="1"/>
    </xf>
    <xf numFmtId="1" fontId="17" fillId="5" borderId="14" xfId="0" applyNumberFormat="1" applyFont="1" applyFill="1" applyBorder="1" applyAlignment="1">
      <alignment horizontal="center" vertical="center" wrapText="1"/>
    </xf>
    <xf numFmtId="1" fontId="0" fillId="0" borderId="0" xfId="0" applyNumberFormat="1" applyBorder="1"/>
    <xf numFmtId="0" fontId="37" fillId="0" borderId="12" xfId="0" applyFont="1" applyBorder="1" applyAlignment="1">
      <alignment wrapText="1"/>
    </xf>
    <xf numFmtId="3" fontId="37" fillId="11" borderId="7" xfId="0" applyNumberFormat="1" applyFont="1" applyFill="1" applyBorder="1" applyAlignment="1">
      <alignment horizontal="center" vertical="center" wrapText="1"/>
    </xf>
    <xf numFmtId="0" fontId="34" fillId="0" borderId="0" xfId="0" applyFont="1"/>
    <xf numFmtId="3" fontId="34" fillId="0" borderId="0" xfId="0" applyNumberFormat="1" applyFont="1"/>
    <xf numFmtId="0" fontId="13" fillId="0" borderId="7" xfId="0" applyFont="1" applyFill="1" applyBorder="1" applyAlignment="1"/>
    <xf numFmtId="0" fontId="14" fillId="5" borderId="48" xfId="0" applyFont="1" applyFill="1" applyBorder="1" applyAlignment="1"/>
    <xf numFmtId="3" fontId="14" fillId="0" borderId="0" xfId="0" applyNumberFormat="1" applyFont="1" applyAlignment="1">
      <alignment horizontal="center"/>
    </xf>
    <xf numFmtId="0" fontId="14" fillId="2" borderId="12" xfId="0" applyFont="1" applyFill="1" applyBorder="1" applyAlignment="1">
      <alignment horizontal="center" vertical="center"/>
    </xf>
    <xf numFmtId="165" fontId="14" fillId="2"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165" fontId="14" fillId="2" borderId="0" xfId="0" applyNumberFormat="1" applyFont="1" applyFill="1" applyBorder="1" applyAlignment="1">
      <alignment horizontal="center"/>
    </xf>
    <xf numFmtId="169" fontId="14" fillId="25" borderId="5" xfId="0" applyNumberFormat="1" applyFont="1" applyFill="1" applyBorder="1" applyAlignment="1">
      <alignment horizontal="center" vertical="center" wrapText="1"/>
    </xf>
    <xf numFmtId="3" fontId="0" fillId="25" borderId="15" xfId="0" applyNumberFormat="1" applyFill="1" applyBorder="1" applyAlignment="1">
      <alignment horizontal="center" vertical="center"/>
    </xf>
    <xf numFmtId="169" fontId="0" fillId="25" borderId="46" xfId="0" applyNumberFormat="1" applyFill="1" applyBorder="1" applyAlignment="1">
      <alignment horizontal="center"/>
    </xf>
    <xf numFmtId="3" fontId="0" fillId="25" borderId="20" xfId="0" applyNumberFormat="1" applyFill="1" applyBorder="1" applyAlignment="1">
      <alignment horizontal="center" vertical="center"/>
    </xf>
    <xf numFmtId="3" fontId="0" fillId="25" borderId="6" xfId="0" applyNumberFormat="1" applyFill="1" applyBorder="1" applyAlignment="1">
      <alignment horizontal="center" vertical="center"/>
    </xf>
    <xf numFmtId="0" fontId="0" fillId="25" borderId="7" xfId="0" applyFill="1" applyBorder="1"/>
    <xf numFmtId="169" fontId="0" fillId="25" borderId="33" xfId="0" applyNumberFormat="1" applyFill="1" applyBorder="1" applyAlignment="1">
      <alignment horizontal="center"/>
    </xf>
    <xf numFmtId="3" fontId="0" fillId="25" borderId="3" xfId="0" applyNumberFormat="1" applyFill="1" applyBorder="1" applyAlignment="1">
      <alignment horizontal="center" vertical="center"/>
    </xf>
    <xf numFmtId="3" fontId="0" fillId="25" borderId="7" xfId="0" applyNumberFormat="1" applyFill="1" applyBorder="1" applyAlignment="1">
      <alignment horizontal="center" vertical="center"/>
    </xf>
    <xf numFmtId="3" fontId="0" fillId="25" borderId="33" xfId="0" applyNumberFormat="1" applyFill="1" applyBorder="1" applyAlignment="1">
      <alignment horizontal="center" vertical="center"/>
    </xf>
    <xf numFmtId="169" fontId="20" fillId="23" borderId="3" xfId="0" applyNumberFormat="1" applyFont="1" applyFill="1" applyBorder="1" applyAlignment="1">
      <alignment horizontal="center" vertical="center" wrapText="1"/>
    </xf>
    <xf numFmtId="3" fontId="21" fillId="23" borderId="29" xfId="0" applyNumberFormat="1" applyFont="1" applyFill="1" applyBorder="1" applyAlignment="1">
      <alignment horizontal="center" vertical="center" wrapText="1"/>
    </xf>
    <xf numFmtId="169" fontId="19" fillId="23" borderId="33" xfId="0" applyNumberFormat="1" applyFont="1" applyFill="1" applyBorder="1" applyAlignment="1">
      <alignment horizontal="center"/>
    </xf>
    <xf numFmtId="3" fontId="19" fillId="23" borderId="3" xfId="0" applyNumberFormat="1" applyFont="1" applyFill="1" applyBorder="1" applyAlignment="1">
      <alignment horizontal="center" vertical="center"/>
    </xf>
    <xf numFmtId="3" fontId="19" fillId="23" borderId="33" xfId="0" applyNumberFormat="1" applyFont="1" applyFill="1" applyBorder="1" applyAlignment="1">
      <alignment horizontal="center" vertical="center"/>
    </xf>
    <xf numFmtId="169" fontId="14" fillId="23" borderId="3" xfId="0" applyNumberFormat="1" applyFont="1" applyFill="1" applyBorder="1" applyAlignment="1">
      <alignment horizontal="center" vertical="center" wrapText="1"/>
    </xf>
    <xf numFmtId="3" fontId="17" fillId="23" borderId="29" xfId="0" applyNumberFormat="1" applyFont="1" applyFill="1" applyBorder="1" applyAlignment="1">
      <alignment horizontal="center" vertical="center" wrapText="1"/>
    </xf>
    <xf numFmtId="169" fontId="0" fillId="23" borderId="33" xfId="0" applyNumberFormat="1" applyFill="1" applyBorder="1" applyAlignment="1">
      <alignment horizontal="center"/>
    </xf>
    <xf numFmtId="0" fontId="22" fillId="13" borderId="33" xfId="0" applyFont="1" applyFill="1" applyBorder="1" applyAlignment="1">
      <alignment horizontal="left" vertical="center"/>
    </xf>
    <xf numFmtId="3" fontId="21" fillId="22" borderId="29" xfId="0" applyNumberFormat="1" applyFont="1" applyFill="1" applyBorder="1" applyAlignment="1">
      <alignment horizontal="center" vertical="center" wrapText="1"/>
    </xf>
    <xf numFmtId="3" fontId="19" fillId="22" borderId="7" xfId="0" applyNumberFormat="1" applyFont="1" applyFill="1" applyBorder="1" applyAlignment="1">
      <alignment horizontal="center" vertical="center"/>
    </xf>
    <xf numFmtId="169" fontId="19" fillId="22" borderId="33" xfId="0" applyNumberFormat="1" applyFont="1" applyFill="1" applyBorder="1" applyAlignment="1">
      <alignment horizontal="center"/>
    </xf>
    <xf numFmtId="3" fontId="19" fillId="22" borderId="3" xfId="0" applyNumberFormat="1" applyFont="1" applyFill="1" applyBorder="1" applyAlignment="1">
      <alignment horizontal="center" vertical="center"/>
    </xf>
    <xf numFmtId="3" fontId="19" fillId="22" borderId="33" xfId="0" applyNumberFormat="1" applyFont="1" applyFill="1" applyBorder="1" applyAlignment="1">
      <alignment horizontal="center" vertical="center"/>
    </xf>
    <xf numFmtId="169" fontId="14" fillId="22" borderId="3" xfId="0" applyNumberFormat="1" applyFont="1" applyFill="1" applyBorder="1" applyAlignment="1">
      <alignment horizontal="center" vertical="center" wrapText="1"/>
    </xf>
    <xf numFmtId="169" fontId="0" fillId="28" borderId="33" xfId="0" applyNumberFormat="1" applyFill="1" applyBorder="1" applyAlignment="1">
      <alignment horizontal="center"/>
    </xf>
    <xf numFmtId="169" fontId="18" fillId="24" borderId="3" xfId="0" applyNumberFormat="1" applyFont="1" applyFill="1" applyBorder="1" applyAlignment="1">
      <alignment horizontal="center" vertical="center" wrapText="1"/>
    </xf>
    <xf numFmtId="3" fontId="23" fillId="24" borderId="29" xfId="0" applyNumberFormat="1" applyFont="1" applyFill="1" applyBorder="1" applyAlignment="1">
      <alignment horizontal="center" vertical="center" wrapText="1"/>
    </xf>
    <xf numFmtId="3" fontId="19" fillId="24" borderId="7" xfId="0" applyNumberFormat="1" applyFont="1" applyFill="1" applyBorder="1" applyAlignment="1">
      <alignment horizontal="center" vertical="center"/>
    </xf>
    <xf numFmtId="169" fontId="19" fillId="24" borderId="33" xfId="0" applyNumberFormat="1" applyFont="1" applyFill="1" applyBorder="1" applyAlignment="1">
      <alignment horizontal="center"/>
    </xf>
    <xf numFmtId="3" fontId="19" fillId="24" borderId="3" xfId="0" applyNumberFormat="1" applyFont="1" applyFill="1" applyBorder="1" applyAlignment="1">
      <alignment horizontal="center" vertical="center"/>
    </xf>
    <xf numFmtId="3" fontId="19" fillId="24" borderId="33" xfId="0" applyNumberFormat="1" applyFont="1" applyFill="1" applyBorder="1" applyAlignment="1">
      <alignment horizontal="center" vertical="center"/>
    </xf>
    <xf numFmtId="3" fontId="0" fillId="25" borderId="54" xfId="0" applyNumberFormat="1" applyFill="1" applyBorder="1" applyAlignment="1">
      <alignment horizontal="center" vertical="center"/>
    </xf>
    <xf numFmtId="3" fontId="0" fillId="25" borderId="55" xfId="0" applyNumberFormat="1" applyFill="1" applyBorder="1" applyAlignment="1">
      <alignment horizontal="center" vertical="center"/>
    </xf>
    <xf numFmtId="3" fontId="0" fillId="0" borderId="55" xfId="0" applyNumberFormat="1" applyFill="1" applyBorder="1" applyAlignment="1">
      <alignment horizontal="center" vertical="center"/>
    </xf>
    <xf numFmtId="3" fontId="19" fillId="23" borderId="55" xfId="0" applyNumberFormat="1" applyFont="1" applyFill="1" applyBorder="1" applyAlignment="1">
      <alignment horizontal="center" vertical="center"/>
    </xf>
    <xf numFmtId="3" fontId="0" fillId="23" borderId="55" xfId="0" applyNumberFormat="1" applyFill="1" applyBorder="1" applyAlignment="1">
      <alignment horizontal="center" vertical="center"/>
    </xf>
    <xf numFmtId="3" fontId="19" fillId="22" borderId="55" xfId="0" applyNumberFormat="1" applyFont="1" applyFill="1" applyBorder="1" applyAlignment="1">
      <alignment horizontal="center" vertical="center"/>
    </xf>
    <xf numFmtId="0" fontId="22" fillId="13" borderId="55" xfId="0" applyFont="1" applyFill="1" applyBorder="1" applyAlignment="1">
      <alignment horizontal="left" vertical="center"/>
    </xf>
    <xf numFmtId="3" fontId="19" fillId="24" borderId="55" xfId="0" applyNumberFormat="1" applyFont="1" applyFill="1" applyBorder="1" applyAlignment="1">
      <alignment horizontal="center" vertical="center"/>
    </xf>
    <xf numFmtId="3" fontId="0" fillId="0" borderId="56" xfId="0" applyNumberFormat="1" applyFill="1" applyBorder="1" applyAlignment="1">
      <alignment horizontal="center" vertical="center"/>
    </xf>
    <xf numFmtId="3" fontId="0" fillId="25" borderId="58" xfId="0" applyNumberFormat="1" applyFill="1" applyBorder="1" applyAlignment="1">
      <alignment horizontal="center" vertical="center"/>
    </xf>
    <xf numFmtId="171" fontId="0" fillId="0" borderId="0" xfId="0" applyNumberFormat="1"/>
    <xf numFmtId="169" fontId="13" fillId="25" borderId="3" xfId="0" applyNumberFormat="1" applyFont="1" applyFill="1" applyBorder="1" applyAlignment="1">
      <alignment horizontal="center" vertical="center" wrapText="1"/>
    </xf>
    <xf numFmtId="3" fontId="17" fillId="25" borderId="29" xfId="0" applyNumberFormat="1" applyFont="1" applyFill="1" applyBorder="1" applyAlignment="1">
      <alignment horizontal="center" vertical="center" wrapText="1"/>
    </xf>
    <xf numFmtId="169" fontId="14" fillId="0" borderId="0" xfId="0" applyNumberFormat="1" applyFont="1" applyAlignment="1">
      <alignment horizontal="center"/>
    </xf>
    <xf numFmtId="3" fontId="14" fillId="0" borderId="0" xfId="0" applyNumberFormat="1" applyFont="1" applyAlignment="1">
      <alignment horizontal="center" vertical="center"/>
    </xf>
    <xf numFmtId="171" fontId="14" fillId="0" borderId="0" xfId="0" applyNumberFormat="1" applyFont="1" applyAlignment="1">
      <alignment horizontal="center"/>
    </xf>
    <xf numFmtId="0" fontId="14" fillId="0" borderId="0" xfId="0" applyFont="1" applyAlignment="1">
      <alignment horizontal="center"/>
    </xf>
    <xf numFmtId="0" fontId="31" fillId="0" borderId="12" xfId="0" applyFont="1" applyFill="1" applyBorder="1" applyAlignment="1">
      <alignment horizontal="center" vertical="center" wrapText="1"/>
    </xf>
    <xf numFmtId="165" fontId="14" fillId="0" borderId="0" xfId="1"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0" fillId="0" borderId="0" xfId="0" applyNumberFormat="1" applyFill="1" applyBorder="1"/>
    <xf numFmtId="0" fontId="31" fillId="0" borderId="0" xfId="0" applyFont="1" applyBorder="1"/>
    <xf numFmtId="165" fontId="13" fillId="0" borderId="0" xfId="0" applyNumberFormat="1" applyFont="1" applyBorder="1"/>
    <xf numFmtId="168" fontId="32" fillId="0" borderId="0" xfId="0" applyNumberFormat="1" applyFont="1" applyBorder="1" applyAlignment="1">
      <alignment wrapText="1"/>
    </xf>
    <xf numFmtId="0" fontId="32" fillId="0" borderId="0" xfId="0" applyFont="1" applyBorder="1" applyAlignment="1">
      <alignment wrapText="1"/>
    </xf>
    <xf numFmtId="0" fontId="32" fillId="0" borderId="0" xfId="0" applyFont="1" applyBorder="1" applyAlignment="1">
      <alignment horizontal="center"/>
    </xf>
    <xf numFmtId="3" fontId="17" fillId="0" borderId="55" xfId="0" applyNumberFormat="1" applyFont="1" applyFill="1" applyBorder="1" applyAlignment="1">
      <alignment horizontal="center" vertical="center" wrapText="1"/>
    </xf>
    <xf numFmtId="3" fontId="14" fillId="0" borderId="33" xfId="0" applyNumberFormat="1" applyFont="1" applyFill="1" applyBorder="1" applyAlignment="1">
      <alignment horizontal="center" vertical="center"/>
    </xf>
    <xf numFmtId="169" fontId="19" fillId="25" borderId="46" xfId="0" applyNumberFormat="1" applyFont="1" applyFill="1" applyBorder="1" applyAlignment="1">
      <alignment horizontal="center"/>
    </xf>
    <xf numFmtId="3" fontId="13" fillId="25" borderId="20" xfId="0" applyNumberFormat="1" applyFont="1" applyFill="1" applyBorder="1" applyAlignment="1">
      <alignment horizontal="center"/>
    </xf>
    <xf numFmtId="3" fontId="13" fillId="25" borderId="6" xfId="0" applyNumberFormat="1" applyFont="1" applyFill="1" applyBorder="1" applyAlignment="1">
      <alignment horizontal="center"/>
    </xf>
    <xf numFmtId="0" fontId="19" fillId="25" borderId="7" xfId="0" applyFont="1" applyFill="1" applyBorder="1"/>
    <xf numFmtId="3" fontId="13" fillId="25" borderId="7" xfId="0" applyNumberFormat="1" applyFont="1" applyFill="1" applyBorder="1" applyAlignment="1">
      <alignment horizontal="center"/>
    </xf>
    <xf numFmtId="3" fontId="0" fillId="25" borderId="7" xfId="0" applyNumberFormat="1" applyFill="1" applyBorder="1"/>
    <xf numFmtId="0" fontId="13" fillId="25" borderId="3" xfId="0" applyFont="1" applyFill="1" applyBorder="1" applyAlignment="1">
      <alignment horizontal="center" vertical="center" wrapText="1"/>
    </xf>
    <xf numFmtId="3" fontId="0" fillId="25" borderId="7" xfId="0" applyNumberFormat="1" applyFill="1" applyBorder="1" applyAlignment="1">
      <alignment horizontal="center"/>
    </xf>
    <xf numFmtId="3" fontId="13" fillId="25" borderId="3" xfId="0" applyNumberFormat="1" applyFont="1" applyFill="1" applyBorder="1" applyAlignment="1">
      <alignment horizontal="center"/>
    </xf>
    <xf numFmtId="0" fontId="0" fillId="25" borderId="3" xfId="0" applyFill="1" applyBorder="1" applyAlignment="1">
      <alignment horizontal="center"/>
    </xf>
    <xf numFmtId="3" fontId="13" fillId="23" borderId="3" xfId="0" applyNumberFormat="1" applyFont="1" applyFill="1" applyBorder="1" applyAlignment="1">
      <alignment horizontal="center"/>
    </xf>
    <xf numFmtId="3" fontId="13" fillId="23" borderId="7" xfId="0" applyNumberFormat="1" applyFont="1" applyFill="1" applyBorder="1" applyAlignment="1">
      <alignment horizontal="center"/>
    </xf>
    <xf numFmtId="0" fontId="19" fillId="23" borderId="7" xfId="0" applyFont="1" applyFill="1" applyBorder="1"/>
    <xf numFmtId="0" fontId="14" fillId="23" borderId="3" xfId="0" applyFont="1" applyFill="1" applyBorder="1" applyAlignment="1">
      <alignment horizontal="center" vertical="center" wrapText="1"/>
    </xf>
    <xf numFmtId="169" fontId="19" fillId="28" borderId="33" xfId="0" applyNumberFormat="1" applyFont="1" applyFill="1" applyBorder="1" applyAlignment="1">
      <alignment horizontal="center"/>
    </xf>
    <xf numFmtId="3" fontId="13" fillId="28" borderId="3" xfId="0" applyNumberFormat="1" applyFont="1" applyFill="1" applyBorder="1" applyAlignment="1">
      <alignment horizontal="center"/>
    </xf>
    <xf numFmtId="3" fontId="13" fillId="28" borderId="7" xfId="0" applyNumberFormat="1" applyFont="1" applyFill="1" applyBorder="1" applyAlignment="1">
      <alignment horizontal="center"/>
    </xf>
    <xf numFmtId="0" fontId="19" fillId="28" borderId="7" xfId="0" applyFont="1" applyFill="1" applyBorder="1"/>
    <xf numFmtId="3" fontId="19" fillId="28" borderId="7" xfId="0" applyNumberFormat="1" applyFont="1" applyFill="1" applyBorder="1"/>
    <xf numFmtId="169" fontId="0" fillId="28" borderId="33" xfId="0" applyNumberFormat="1" applyFill="1" applyBorder="1" applyAlignment="1">
      <alignment horizontal="center" vertical="center"/>
    </xf>
    <xf numFmtId="0" fontId="0" fillId="28" borderId="7" xfId="0" applyFill="1" applyBorder="1"/>
    <xf numFmtId="3" fontId="0" fillId="28" borderId="7" xfId="0" applyNumberFormat="1" applyFill="1" applyBorder="1"/>
    <xf numFmtId="0" fontId="14" fillId="28" borderId="3" xfId="0" applyFont="1" applyFill="1" applyBorder="1" applyAlignment="1">
      <alignment horizontal="center" vertical="center" wrapText="1"/>
    </xf>
    <xf numFmtId="3" fontId="0" fillId="28" borderId="7" xfId="0" applyNumberFormat="1" applyFill="1" applyBorder="1" applyAlignment="1">
      <alignment horizontal="center"/>
    </xf>
    <xf numFmtId="3" fontId="19" fillId="25" borderId="54" xfId="0" applyNumberFormat="1" applyFont="1" applyFill="1" applyBorder="1" applyAlignment="1">
      <alignment horizontal="center" vertical="center"/>
    </xf>
    <xf numFmtId="3" fontId="17" fillId="4" borderId="55" xfId="1" applyNumberFormat="1" applyFont="1" applyFill="1" applyBorder="1" applyAlignment="1">
      <alignment horizontal="center" vertical="center" wrapText="1"/>
    </xf>
    <xf numFmtId="3" fontId="26" fillId="7" borderId="55" xfId="0" applyNumberFormat="1" applyFont="1" applyFill="1" applyBorder="1" applyAlignment="1">
      <alignment horizontal="left" vertical="center" wrapText="1"/>
    </xf>
    <xf numFmtId="0" fontId="14" fillId="5" borderId="0"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48" xfId="0" applyFont="1" applyFill="1" applyBorder="1" applyAlignment="1">
      <alignment vertical="center" wrapText="1"/>
    </xf>
    <xf numFmtId="3" fontId="20" fillId="25" borderId="46" xfId="0" applyNumberFormat="1" applyFont="1" applyFill="1" applyBorder="1" applyAlignment="1">
      <alignment horizontal="center" vertical="center"/>
    </xf>
    <xf numFmtId="3" fontId="38" fillId="7" borderId="33" xfId="0" applyNumberFormat="1" applyFont="1" applyFill="1" applyBorder="1" applyAlignment="1">
      <alignment horizontal="left" vertical="center" wrapText="1"/>
    </xf>
    <xf numFmtId="3" fontId="14" fillId="23" borderId="33" xfId="0" applyNumberFormat="1" applyFont="1" applyFill="1" applyBorder="1" applyAlignment="1">
      <alignment horizontal="center" vertical="center"/>
    </xf>
    <xf numFmtId="1" fontId="23" fillId="24" borderId="7" xfId="0" applyNumberFormat="1" applyFont="1" applyFill="1" applyBorder="1" applyAlignment="1">
      <alignment horizontal="center" vertical="center" wrapText="1"/>
    </xf>
    <xf numFmtId="3" fontId="0" fillId="0" borderId="29" xfId="0" applyNumberFormat="1" applyFill="1" applyBorder="1" applyAlignment="1">
      <alignment horizontal="center"/>
    </xf>
    <xf numFmtId="3" fontId="13" fillId="0" borderId="2" xfId="0" applyNumberFormat="1" applyFont="1" applyFill="1" applyBorder="1" applyAlignment="1">
      <alignment horizontal="center"/>
    </xf>
    <xf numFmtId="3" fontId="13" fillId="0" borderId="29" xfId="0" applyNumberFormat="1" applyFont="1" applyFill="1" applyBorder="1" applyAlignment="1">
      <alignment horizontal="center"/>
    </xf>
    <xf numFmtId="0" fontId="0" fillId="19" borderId="7" xfId="0" applyFill="1" applyBorder="1"/>
    <xf numFmtId="1" fontId="17" fillId="25" borderId="15" xfId="0" applyNumberFormat="1" applyFont="1" applyFill="1" applyBorder="1" applyAlignment="1">
      <alignment horizontal="center" vertical="center" wrapText="1"/>
    </xf>
    <xf numFmtId="1" fontId="0" fillId="25" borderId="7" xfId="0" applyNumberFormat="1" applyFill="1" applyBorder="1"/>
    <xf numFmtId="1" fontId="17" fillId="25" borderId="7" xfId="0" applyNumberFormat="1" applyFont="1" applyFill="1" applyBorder="1" applyAlignment="1">
      <alignment horizontal="center" vertical="center" wrapText="1"/>
    </xf>
    <xf numFmtId="1" fontId="21" fillId="23" borderId="7" xfId="0" applyNumberFormat="1" applyFont="1" applyFill="1" applyBorder="1" applyAlignment="1">
      <alignment horizontal="center" vertical="center" wrapText="1"/>
    </xf>
    <xf numFmtId="1" fontId="17" fillId="23" borderId="7" xfId="0" applyNumberFormat="1" applyFont="1" applyFill="1" applyBorder="1" applyAlignment="1">
      <alignment horizontal="center" vertical="center" wrapText="1"/>
    </xf>
    <xf numFmtId="1" fontId="21" fillId="22" borderId="7" xfId="0" applyNumberFormat="1" applyFont="1" applyFill="1" applyBorder="1" applyAlignment="1">
      <alignment horizontal="center" vertical="center" wrapText="1"/>
    </xf>
    <xf numFmtId="1" fontId="23" fillId="4" borderId="7" xfId="0" applyNumberFormat="1" applyFont="1" applyFill="1" applyBorder="1" applyAlignment="1">
      <alignment horizontal="center" vertical="center" wrapText="1"/>
    </xf>
    <xf numFmtId="1" fontId="23" fillId="0" borderId="14" xfId="0" applyNumberFormat="1" applyFont="1" applyFill="1" applyBorder="1" applyAlignment="1">
      <alignment horizontal="center" vertical="center" wrapText="1"/>
    </xf>
    <xf numFmtId="1" fontId="17" fillId="9" borderId="44" xfId="0" applyNumberFormat="1" applyFont="1" applyFill="1" applyBorder="1" applyAlignment="1">
      <alignment horizontal="center" vertical="center" wrapText="1"/>
    </xf>
    <xf numFmtId="1" fontId="31" fillId="11" borderId="7" xfId="0" applyNumberFormat="1" applyFont="1" applyFill="1" applyBorder="1" applyAlignment="1">
      <alignment horizontal="center" vertical="center" wrapText="1"/>
    </xf>
    <xf numFmtId="1" fontId="14" fillId="0" borderId="0" xfId="0" applyNumberFormat="1" applyFont="1" applyAlignment="1">
      <alignment horizontal="center"/>
    </xf>
    <xf numFmtId="3" fontId="0" fillId="0" borderId="29" xfId="0" applyNumberFormat="1" applyFill="1" applyBorder="1" applyAlignment="1">
      <alignment horizontal="center" vertical="center"/>
    </xf>
    <xf numFmtId="3" fontId="0" fillId="5" borderId="2" xfId="0" applyNumberFormat="1" applyFill="1" applyBorder="1" applyAlignment="1">
      <alignment horizontal="center" vertical="center" wrapText="1"/>
    </xf>
    <xf numFmtId="3" fontId="14" fillId="9" borderId="3" xfId="0" applyNumberFormat="1" applyFont="1" applyFill="1" applyBorder="1" applyAlignment="1">
      <alignment horizontal="center" vertical="center" wrapText="1"/>
    </xf>
    <xf numFmtId="3" fontId="13" fillId="25" borderId="3" xfId="0" applyNumberFormat="1" applyFont="1" applyFill="1" applyBorder="1" applyAlignment="1">
      <alignment horizontal="center" vertical="center" wrapText="1"/>
    </xf>
    <xf numFmtId="3" fontId="20" fillId="23" borderId="3"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22" fillId="13" borderId="7" xfId="0" applyNumberFormat="1" applyFont="1" applyFill="1" applyBorder="1" applyAlignment="1">
      <alignment horizontal="left" vertical="center"/>
    </xf>
    <xf numFmtId="3" fontId="14" fillId="0" borderId="0" xfId="0" applyNumberFormat="1" applyFont="1" applyFill="1" applyBorder="1" applyAlignment="1">
      <alignment horizontal="center" vertical="center" wrapText="1"/>
    </xf>
    <xf numFmtId="3" fontId="33" fillId="5" borderId="0" xfId="0"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20" fillId="25" borderId="20" xfId="0" applyNumberFormat="1" applyFont="1" applyFill="1" applyBorder="1" applyAlignment="1">
      <alignment horizontal="center" vertical="center" wrapText="1"/>
    </xf>
    <xf numFmtId="3" fontId="20" fillId="28" borderId="3" xfId="0" applyNumberFormat="1" applyFont="1" applyFill="1" applyBorder="1" applyAlignment="1">
      <alignment horizontal="center" vertical="center" wrapText="1"/>
    </xf>
    <xf numFmtId="3" fontId="14" fillId="28" borderId="3" xfId="0" applyNumberFormat="1"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3" fontId="37" fillId="9" borderId="35" xfId="1" applyNumberFormat="1" applyFont="1" applyFill="1" applyBorder="1" applyAlignment="1">
      <alignment horizontal="center" vertical="center" wrapText="1"/>
    </xf>
    <xf numFmtId="3" fontId="14" fillId="0" borderId="0" xfId="1" applyNumberFormat="1" applyFont="1" applyBorder="1" applyAlignment="1">
      <alignment horizontal="center" vertical="center" wrapText="1"/>
    </xf>
    <xf numFmtId="3" fontId="0" fillId="0" borderId="0" xfId="0" applyNumberFormat="1" applyBorder="1" applyAlignment="1">
      <alignment horizontal="center"/>
    </xf>
    <xf numFmtId="3" fontId="0" fillId="5" borderId="0"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14" fillId="25" borderId="6" xfId="0" applyNumberFormat="1" applyFont="1" applyFill="1" applyBorder="1" applyAlignment="1">
      <alignment horizontal="center" vertical="center" wrapText="1"/>
    </xf>
    <xf numFmtId="3" fontId="14" fillId="23" borderId="7" xfId="0" applyNumberFormat="1" applyFont="1" applyFill="1" applyBorder="1" applyAlignment="1">
      <alignment horizontal="center" vertical="center" wrapText="1"/>
    </xf>
    <xf numFmtId="3" fontId="14" fillId="9" borderId="9" xfId="1" applyNumberFormat="1" applyFont="1" applyFill="1" applyBorder="1" applyAlignment="1">
      <alignment horizontal="center" wrapText="1"/>
    </xf>
    <xf numFmtId="3" fontId="18" fillId="20" borderId="7" xfId="0" applyNumberFormat="1" applyFont="1" applyFill="1" applyBorder="1" applyAlignment="1">
      <alignment horizontal="center" vertical="center" wrapText="1"/>
    </xf>
    <xf numFmtId="3" fontId="18" fillId="21" borderId="7" xfId="0" applyNumberFormat="1" applyFont="1" applyFill="1" applyBorder="1" applyAlignment="1">
      <alignment horizontal="center" vertical="center"/>
    </xf>
    <xf numFmtId="3" fontId="14" fillId="9" borderId="7" xfId="0" applyNumberFormat="1" applyFont="1" applyFill="1" applyBorder="1" applyAlignment="1">
      <alignment horizontal="center" vertical="center"/>
    </xf>
    <xf numFmtId="3" fontId="30" fillId="0" borderId="7" xfId="0" applyNumberFormat="1" applyFont="1" applyFill="1" applyBorder="1" applyAlignment="1">
      <alignment horizontal="center" vertical="center"/>
    </xf>
    <xf numFmtId="3" fontId="18" fillId="4" borderId="7"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4" fillId="9" borderId="44" xfId="0" applyNumberFormat="1" applyFont="1" applyFill="1" applyBorder="1" applyAlignment="1">
      <alignment horizontal="center" vertical="center" wrapText="1"/>
    </xf>
    <xf numFmtId="3" fontId="14" fillId="0" borderId="0" xfId="0" applyNumberFormat="1" applyFont="1" applyFill="1" applyBorder="1" applyAlignment="1">
      <alignment horizontal="justify" vertical="center" wrapText="1"/>
    </xf>
    <xf numFmtId="3" fontId="14" fillId="2" borderId="0" xfId="0" applyNumberFormat="1" applyFont="1" applyFill="1" applyBorder="1" applyAlignment="1">
      <alignment horizontal="center" vertical="center"/>
    </xf>
    <xf numFmtId="171" fontId="0" fillId="0" borderId="0" xfId="0" applyNumberFormat="1" applyAlignment="1">
      <alignment horizontal="right"/>
    </xf>
    <xf numFmtId="3" fontId="37" fillId="0" borderId="0" xfId="1" applyNumberFormat="1" applyFont="1" applyBorder="1" applyAlignment="1">
      <alignment horizontal="center" wrapText="1"/>
    </xf>
    <xf numFmtId="3" fontId="0" fillId="0" borderId="25" xfId="0" applyNumberFormat="1" applyBorder="1" applyAlignment="1">
      <alignment horizontal="center"/>
    </xf>
    <xf numFmtId="165" fontId="30" fillId="0" borderId="7" xfId="0" applyNumberFormat="1" applyFont="1" applyFill="1" applyBorder="1" applyAlignment="1">
      <alignment horizontal="center" vertical="center" wrapText="1"/>
    </xf>
    <xf numFmtId="1" fontId="0" fillId="0" borderId="7" xfId="0" applyNumberFormat="1" applyFill="1" applyBorder="1" applyAlignment="1">
      <alignment horizontal="center"/>
    </xf>
    <xf numFmtId="10" fontId="17" fillId="4" borderId="33" xfId="0" applyNumberFormat="1" applyFont="1" applyFill="1" applyBorder="1" applyAlignment="1">
      <alignment horizontal="center" vertical="center" wrapText="1"/>
    </xf>
    <xf numFmtId="1" fontId="29" fillId="7" borderId="3" xfId="0" applyNumberFormat="1" applyFont="1" applyFill="1" applyBorder="1" applyAlignment="1">
      <alignment horizontal="left" vertical="center"/>
    </xf>
    <xf numFmtId="0" fontId="9" fillId="6" borderId="7" xfId="0" applyFont="1" applyFill="1" applyBorder="1" applyAlignment="1">
      <alignment horizontal="left" vertical="center"/>
    </xf>
    <xf numFmtId="169"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7" xfId="0" applyNumberFormat="1" applyFont="1" applyFill="1" applyBorder="1" applyAlignment="1">
      <alignment horizontal="center"/>
    </xf>
    <xf numFmtId="1" fontId="0" fillId="0" borderId="0" xfId="0" applyNumberFormat="1" applyAlignment="1">
      <alignment horizontal="center"/>
    </xf>
    <xf numFmtId="1" fontId="0" fillId="18" borderId="7" xfId="0" applyNumberFormat="1" applyFill="1" applyBorder="1" applyAlignment="1">
      <alignment horizontal="center"/>
    </xf>
    <xf numFmtId="1" fontId="19" fillId="23" borderId="7" xfId="0" applyNumberFormat="1" applyFont="1" applyFill="1" applyBorder="1" applyAlignment="1">
      <alignment horizontal="center"/>
    </xf>
    <xf numFmtId="1" fontId="0" fillId="0" borderId="0" xfId="0" applyNumberFormat="1" applyFill="1" applyAlignment="1">
      <alignment horizontal="center"/>
    </xf>
    <xf numFmtId="1" fontId="34" fillId="0" borderId="0" xfId="0" applyNumberFormat="1" applyFont="1" applyAlignment="1">
      <alignment horizontal="center"/>
    </xf>
    <xf numFmtId="0" fontId="9" fillId="0" borderId="7" xfId="0" applyFont="1" applyFill="1" applyBorder="1"/>
    <xf numFmtId="0" fontId="13" fillId="18" borderId="7" xfId="0" applyFont="1" applyFill="1" applyBorder="1" applyAlignment="1">
      <alignment horizontal="center" wrapText="1"/>
    </xf>
    <xf numFmtId="3" fontId="9" fillId="0" borderId="7" xfId="0" applyNumberFormat="1" applyFont="1" applyFill="1" applyBorder="1"/>
    <xf numFmtId="0" fontId="9" fillId="8" borderId="7" xfId="0" applyFont="1" applyFill="1" applyBorder="1" applyAlignment="1">
      <alignment horizontal="left" vertical="center"/>
    </xf>
    <xf numFmtId="3" fontId="9" fillId="23" borderId="3" xfId="0" applyNumberFormat="1" applyFont="1" applyFill="1" applyBorder="1" applyAlignment="1">
      <alignment horizontal="center" vertical="center" wrapText="1"/>
    </xf>
    <xf numFmtId="3" fontId="9" fillId="23" borderId="7" xfId="0" applyNumberFormat="1" applyFont="1" applyFill="1" applyBorder="1" applyAlignment="1">
      <alignment horizontal="center"/>
    </xf>
    <xf numFmtId="3" fontId="9" fillId="23" borderId="3" xfId="0" applyNumberFormat="1" applyFont="1" applyFill="1" applyBorder="1"/>
    <xf numFmtId="3" fontId="9" fillId="23" borderId="7" xfId="0" applyNumberFormat="1" applyFont="1" applyFill="1" applyBorder="1"/>
    <xf numFmtId="3" fontId="9" fillId="23" borderId="33" xfId="0" applyNumberFormat="1" applyFont="1" applyFill="1" applyBorder="1"/>
    <xf numFmtId="0" fontId="9" fillId="15" borderId="7" xfId="0" applyFont="1" applyFill="1" applyBorder="1" applyAlignment="1">
      <alignment horizontal="left" vertical="center"/>
    </xf>
    <xf numFmtId="3" fontId="9" fillId="15" borderId="7" xfId="0" applyNumberFormat="1" applyFont="1" applyFill="1" applyBorder="1" applyAlignment="1">
      <alignment horizontal="left" vertical="center"/>
    </xf>
    <xf numFmtId="1" fontId="9" fillId="15" borderId="7" xfId="0" applyNumberFormat="1" applyFont="1" applyFill="1" applyBorder="1" applyAlignment="1">
      <alignment horizontal="left" vertical="center"/>
    </xf>
    <xf numFmtId="3" fontId="9" fillId="0" borderId="14" xfId="0" applyNumberFormat="1" applyFont="1" applyFill="1" applyBorder="1" applyAlignment="1">
      <alignment horizontal="center"/>
    </xf>
    <xf numFmtId="3" fontId="9" fillId="0" borderId="5" xfId="0" applyNumberFormat="1" applyFont="1" applyFill="1" applyBorder="1"/>
    <xf numFmtId="3" fontId="9" fillId="0" borderId="14" xfId="0" applyNumberFormat="1" applyFont="1" applyFill="1" applyBorder="1"/>
    <xf numFmtId="3" fontId="9" fillId="0" borderId="50" xfId="0" applyNumberFormat="1" applyFont="1" applyFill="1" applyBorder="1"/>
    <xf numFmtId="3" fontId="9" fillId="0" borderId="0" xfId="0" applyNumberFormat="1" applyFont="1" applyAlignment="1">
      <alignment horizontal="center"/>
    </xf>
    <xf numFmtId="3" fontId="9" fillId="0" borderId="0" xfId="0" applyNumberFormat="1" applyFont="1"/>
    <xf numFmtId="3" fontId="37" fillId="9" borderId="36" xfId="1" applyNumberFormat="1" applyFont="1" applyFill="1" applyBorder="1" applyAlignment="1">
      <alignment horizontal="center" vertical="center" wrapText="1"/>
    </xf>
    <xf numFmtId="167" fontId="14" fillId="0" borderId="0" xfId="1" applyNumberFormat="1" applyFont="1" applyBorder="1" applyAlignment="1">
      <alignment horizontal="center" vertical="center" wrapText="1"/>
    </xf>
    <xf numFmtId="0" fontId="0" fillId="0" borderId="0" xfId="0" applyAlignment="1">
      <alignment horizontal="center" vertical="center"/>
    </xf>
    <xf numFmtId="3" fontId="0" fillId="0" borderId="0" xfId="0" applyNumberFormat="1" applyBorder="1" applyAlignment="1">
      <alignment vertical="center"/>
    </xf>
    <xf numFmtId="3" fontId="0" fillId="0" borderId="0" xfId="0" applyNumberFormat="1" applyAlignment="1">
      <alignment vertical="center"/>
    </xf>
    <xf numFmtId="167" fontId="14"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3" fontId="14" fillId="22" borderId="7" xfId="0" applyNumberFormat="1" applyFont="1" applyFill="1" applyBorder="1" applyAlignment="1">
      <alignment horizontal="center" vertical="center"/>
    </xf>
    <xf numFmtId="169" fontId="14" fillId="22" borderId="0" xfId="0" applyNumberFormat="1" applyFont="1" applyFill="1" applyBorder="1" applyAlignment="1">
      <alignment horizontal="center" vertical="center"/>
    </xf>
    <xf numFmtId="3" fontId="29" fillId="7" borderId="3" xfId="0" applyNumberFormat="1" applyFont="1" applyFill="1" applyBorder="1" applyAlignment="1">
      <alignment horizontal="center" vertical="center"/>
    </xf>
    <xf numFmtId="3" fontId="9" fillId="15" borderId="7" xfId="0" applyNumberFormat="1" applyFont="1" applyFill="1" applyBorder="1" applyAlignment="1">
      <alignment horizontal="center" vertical="center"/>
    </xf>
    <xf numFmtId="3" fontId="18" fillId="0" borderId="0" xfId="0" applyNumberFormat="1" applyFont="1" applyAlignment="1">
      <alignment horizontal="center"/>
    </xf>
    <xf numFmtId="0" fontId="0" fillId="18" borderId="0" xfId="0" applyFill="1" applyBorder="1" applyAlignment="1">
      <alignment vertical="center" wrapText="1"/>
    </xf>
    <xf numFmtId="3" fontId="0" fillId="0" borderId="14" xfId="0" applyNumberFormat="1" applyFill="1" applyBorder="1" applyAlignment="1">
      <alignment horizontal="center" vertical="center"/>
    </xf>
    <xf numFmtId="0" fontId="31" fillId="0" borderId="0" xfId="0" applyFont="1" applyFill="1" applyBorder="1" applyAlignment="1">
      <alignment horizontal="center" vertical="center" wrapText="1"/>
    </xf>
    <xf numFmtId="172" fontId="16" fillId="18" borderId="14" xfId="1" applyNumberFormat="1" applyFont="1" applyFill="1" applyBorder="1" applyAlignment="1">
      <alignment horizontal="center"/>
    </xf>
    <xf numFmtId="0" fontId="0" fillId="5" borderId="71" xfId="0" applyFill="1" applyBorder="1" applyAlignment="1">
      <alignment horizontal="center" vertical="center" wrapText="1"/>
    </xf>
    <xf numFmtId="0" fontId="14" fillId="18" borderId="12" xfId="0" applyFont="1" applyFill="1" applyBorder="1" applyAlignment="1">
      <alignment vertical="center" wrapText="1"/>
    </xf>
    <xf numFmtId="0" fontId="14" fillId="26" borderId="12" xfId="0" applyFont="1" applyFill="1" applyBorder="1" applyAlignment="1">
      <alignment vertical="center" wrapText="1"/>
    </xf>
    <xf numFmtId="0" fontId="16" fillId="18" borderId="12" xfId="0" applyFont="1" applyFill="1" applyBorder="1" applyAlignment="1">
      <alignment vertical="center" wrapText="1"/>
    </xf>
    <xf numFmtId="0" fontId="0" fillId="5" borderId="54" xfId="0" applyFill="1" applyBorder="1" applyAlignment="1">
      <alignment horizontal="center" vertical="center" wrapText="1"/>
    </xf>
    <xf numFmtId="0" fontId="14" fillId="18" borderId="12" xfId="0" applyFont="1" applyFill="1" applyBorder="1" applyAlignment="1">
      <alignment horizontal="center" vertical="center" wrapText="1"/>
    </xf>
    <xf numFmtId="0" fontId="0" fillId="5" borderId="57" xfId="0" applyFill="1" applyBorder="1" applyAlignment="1">
      <alignment vertical="center" wrapText="1"/>
    </xf>
    <xf numFmtId="0" fontId="14" fillId="4" borderId="32" xfId="0" applyFont="1" applyFill="1" applyBorder="1" applyAlignment="1">
      <alignment horizontal="center" vertical="center" wrapText="1"/>
    </xf>
    <xf numFmtId="0" fontId="14" fillId="4" borderId="13" xfId="0" applyFont="1" applyFill="1" applyBorder="1" applyAlignment="1">
      <alignment horizontal="right" vertical="center" wrapText="1"/>
    </xf>
    <xf numFmtId="3" fontId="25" fillId="7" borderId="13" xfId="0" applyNumberFormat="1" applyFont="1" applyFill="1" applyBorder="1" applyAlignment="1">
      <alignment horizontal="left" vertical="center" wrapText="1"/>
    </xf>
    <xf numFmtId="3" fontId="28" fillId="7" borderId="13" xfId="0" applyNumberFormat="1" applyFont="1" applyFill="1" applyBorder="1" applyAlignment="1">
      <alignment horizontal="left" vertical="center" wrapText="1"/>
    </xf>
    <xf numFmtId="3" fontId="27" fillId="4" borderId="13" xfId="0" applyNumberFormat="1" applyFont="1" applyFill="1" applyBorder="1" applyAlignment="1">
      <alignment horizontal="right" vertical="center" wrapText="1"/>
    </xf>
    <xf numFmtId="0" fontId="18" fillId="8" borderId="13" xfId="0" applyFont="1" applyFill="1" applyBorder="1" applyAlignment="1">
      <alignment horizontal="left" vertical="center" wrapText="1"/>
    </xf>
    <xf numFmtId="0" fontId="22" fillId="8" borderId="13" xfId="0" applyFont="1" applyFill="1" applyBorder="1" applyAlignment="1">
      <alignment horizontal="left" vertical="center"/>
    </xf>
    <xf numFmtId="0" fontId="0" fillId="0" borderId="0" xfId="0" applyFill="1" applyBorder="1"/>
    <xf numFmtId="3" fontId="27" fillId="0" borderId="12" xfId="0" applyNumberFormat="1" applyFont="1" applyFill="1" applyBorder="1" applyAlignment="1">
      <alignment horizontal="left" vertical="center" wrapText="1"/>
    </xf>
    <xf numFmtId="0" fontId="14" fillId="9" borderId="73" xfId="0" applyFont="1" applyFill="1" applyBorder="1" applyAlignment="1">
      <alignment wrapText="1"/>
    </xf>
    <xf numFmtId="3" fontId="14" fillId="0" borderId="0" xfId="0" applyNumberFormat="1" applyFont="1" applyBorder="1" applyAlignment="1">
      <alignment horizontal="center" vertical="center"/>
    </xf>
    <xf numFmtId="3" fontId="0" fillId="0" borderId="71" xfId="0" applyNumberFormat="1" applyBorder="1" applyAlignment="1">
      <alignment horizontal="center" vertical="center"/>
    </xf>
    <xf numFmtId="0" fontId="14" fillId="22" borderId="0" xfId="0" applyFont="1" applyFill="1" applyBorder="1" applyAlignment="1">
      <alignment horizontal="center" vertical="center"/>
    </xf>
    <xf numFmtId="0" fontId="32" fillId="0" borderId="24" xfId="0" applyFont="1" applyBorder="1"/>
    <xf numFmtId="3" fontId="0" fillId="0" borderId="25" xfId="0" applyNumberFormat="1" applyBorder="1"/>
    <xf numFmtId="0" fontId="13" fillId="0" borderId="25" xfId="0" applyFont="1" applyBorder="1" applyAlignment="1">
      <alignment horizontal="center"/>
    </xf>
    <xf numFmtId="3" fontId="13" fillId="0" borderId="25" xfId="0" applyNumberFormat="1" applyFont="1" applyBorder="1" applyAlignment="1">
      <alignment horizontal="center"/>
    </xf>
    <xf numFmtId="1" fontId="13" fillId="0" borderId="25" xfId="0" applyNumberFormat="1" applyFont="1" applyBorder="1" applyAlignment="1">
      <alignment horizontal="center"/>
    </xf>
    <xf numFmtId="0" fontId="0" fillId="0" borderId="25" xfId="0" applyBorder="1" applyAlignment="1">
      <alignment horizontal="center"/>
    </xf>
    <xf numFmtId="3" fontId="0" fillId="0" borderId="25" xfId="0" applyNumberFormat="1" applyBorder="1" applyAlignment="1">
      <alignment horizontal="center" vertical="center"/>
    </xf>
    <xf numFmtId="3" fontId="14" fillId="0" borderId="25" xfId="0" applyNumberFormat="1" applyFont="1" applyBorder="1" applyAlignment="1">
      <alignment horizontal="center" vertical="center"/>
    </xf>
    <xf numFmtId="3" fontId="0" fillId="0" borderId="74" xfId="0" applyNumberFormat="1" applyBorder="1" applyAlignment="1">
      <alignment horizontal="center" vertical="center"/>
    </xf>
    <xf numFmtId="167" fontId="14" fillId="0" borderId="0" xfId="1" applyNumberFormat="1" applyFont="1" applyBorder="1" applyAlignment="1">
      <alignment wrapText="1"/>
    </xf>
    <xf numFmtId="167" fontId="14" fillId="0" borderId="25" xfId="1" applyNumberFormat="1" applyFont="1" applyBorder="1" applyAlignment="1">
      <alignment wrapText="1"/>
    </xf>
    <xf numFmtId="0" fontId="9" fillId="8" borderId="13" xfId="0" applyFont="1" applyFill="1" applyBorder="1" applyAlignment="1">
      <alignment horizontal="left" vertical="center"/>
    </xf>
    <xf numFmtId="0" fontId="0" fillId="25" borderId="0" xfId="0" applyFill="1" applyBorder="1"/>
    <xf numFmtId="3" fontId="13" fillId="0" borderId="0" xfId="0" applyNumberFormat="1" applyFont="1" applyBorder="1" applyAlignment="1">
      <alignment horizontal="center"/>
    </xf>
    <xf numFmtId="167" fontId="31" fillId="0" borderId="71" xfId="0" applyNumberFormat="1" applyFont="1" applyFill="1" applyBorder="1" applyAlignment="1">
      <alignment horizontal="center" vertical="center" wrapText="1"/>
    </xf>
    <xf numFmtId="0" fontId="32" fillId="0" borderId="12" xfId="0" applyFont="1" applyBorder="1"/>
    <xf numFmtId="0" fontId="31" fillId="0" borderId="24" xfId="0" applyFont="1" applyFill="1" applyBorder="1" applyAlignment="1">
      <alignment horizontal="center" vertical="center" wrapText="1"/>
    </xf>
    <xf numFmtId="165" fontId="14" fillId="0" borderId="25" xfId="1" applyNumberFormat="1" applyFont="1" applyFill="1" applyBorder="1" applyAlignment="1">
      <alignment horizontal="center" vertical="center" wrapText="1"/>
    </xf>
    <xf numFmtId="167" fontId="14" fillId="0" borderId="25" xfId="1" applyNumberFormat="1" applyFont="1" applyFill="1" applyBorder="1" applyAlignment="1">
      <alignment horizontal="center" wrapText="1"/>
    </xf>
    <xf numFmtId="0" fontId="0" fillId="0" borderId="25" xfId="0" applyFill="1" applyBorder="1"/>
    <xf numFmtId="1" fontId="14" fillId="0" borderId="25" xfId="1" applyNumberFormat="1" applyFont="1" applyFill="1" applyBorder="1" applyAlignment="1">
      <alignment horizontal="center" vertical="center" wrapText="1"/>
    </xf>
    <xf numFmtId="3" fontId="14" fillId="0" borderId="25" xfId="1" applyNumberFormat="1" applyFont="1" applyFill="1" applyBorder="1" applyAlignment="1">
      <alignment horizontal="center" vertical="center" wrapText="1"/>
    </xf>
    <xf numFmtId="3" fontId="31" fillId="0" borderId="25" xfId="0" applyNumberFormat="1" applyFont="1" applyFill="1" applyBorder="1" applyAlignment="1">
      <alignment horizontal="center" vertical="center" wrapText="1"/>
    </xf>
    <xf numFmtId="169" fontId="0" fillId="0" borderId="25" xfId="0" applyNumberFormat="1" applyFill="1" applyBorder="1" applyAlignment="1">
      <alignment horizontal="center"/>
    </xf>
    <xf numFmtId="167" fontId="31" fillId="0" borderId="74"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3" fontId="18" fillId="20" borderId="29" xfId="0" applyNumberFormat="1" applyFont="1" applyFill="1" applyBorder="1" applyAlignment="1">
      <alignment horizontal="center" vertical="center" wrapText="1"/>
    </xf>
    <xf numFmtId="0" fontId="9" fillId="6" borderId="7" xfId="0" applyFont="1" applyFill="1" applyBorder="1" applyAlignment="1">
      <alignment horizontal="center" vertical="center" wrapText="1"/>
    </xf>
    <xf numFmtId="3" fontId="0" fillId="5" borderId="71" xfId="0" applyNumberFormat="1" applyFill="1" applyBorder="1" applyAlignment="1">
      <alignment horizontal="center" vertical="center"/>
    </xf>
    <xf numFmtId="3" fontId="0" fillId="5" borderId="54" xfId="0" applyNumberFormat="1" applyFill="1" applyBorder="1" applyAlignment="1">
      <alignment horizontal="center" vertical="center"/>
    </xf>
    <xf numFmtId="3" fontId="0" fillId="5" borderId="57" xfId="0" applyNumberFormat="1" applyFill="1" applyBorder="1" applyAlignment="1">
      <alignment horizontal="center" vertical="center"/>
    </xf>
    <xf numFmtId="0" fontId="18" fillId="6" borderId="13" xfId="0" applyFont="1" applyFill="1" applyBorder="1" applyAlignment="1">
      <alignment horizontal="center" vertical="center" wrapText="1"/>
    </xf>
    <xf numFmtId="165" fontId="14" fillId="0" borderId="12" xfId="0" applyNumberFormat="1" applyFont="1" applyFill="1" applyBorder="1" applyAlignment="1">
      <alignment horizontal="justify" vertical="center" wrapText="1"/>
    </xf>
    <xf numFmtId="0" fontId="31" fillId="0" borderId="24" xfId="0" applyFont="1" applyBorder="1" applyAlignment="1">
      <alignment horizontal="right" wrapText="1"/>
    </xf>
    <xf numFmtId="3" fontId="31" fillId="0" borderId="25" xfId="0" applyNumberFormat="1" applyFont="1" applyBorder="1" applyAlignment="1">
      <alignment horizontal="center" wrapText="1"/>
    </xf>
    <xf numFmtId="0" fontId="31" fillId="0" borderId="25" xfId="0" applyFont="1" applyBorder="1" applyAlignment="1">
      <alignment horizontal="right"/>
    </xf>
    <xf numFmtId="0" fontId="31" fillId="0" borderId="25" xfId="0" applyFont="1" applyBorder="1" applyAlignment="1">
      <alignment horizontal="left"/>
    </xf>
    <xf numFmtId="0" fontId="18" fillId="10" borderId="13" xfId="0" applyFont="1" applyFill="1" applyBorder="1" applyAlignment="1">
      <alignment horizontal="left" vertical="center" wrapText="1"/>
    </xf>
    <xf numFmtId="0" fontId="22" fillId="14" borderId="7" xfId="0" applyFont="1" applyFill="1" applyBorder="1" applyAlignment="1">
      <alignment horizontal="left" vertical="center" wrapText="1"/>
    </xf>
    <xf numFmtId="0" fontId="18" fillId="14" borderId="13" xfId="0" applyFont="1" applyFill="1" applyBorder="1" applyAlignment="1">
      <alignment horizontal="left" vertical="center" wrapText="1"/>
    </xf>
    <xf numFmtId="0" fontId="13" fillId="12" borderId="7" xfId="0" applyFont="1" applyFill="1" applyBorder="1" applyAlignment="1">
      <alignment horizontal="left" vertical="center" wrapText="1"/>
    </xf>
    <xf numFmtId="0" fontId="14" fillId="25" borderId="20" xfId="0" applyFont="1" applyFill="1" applyBorder="1" applyAlignment="1">
      <alignment horizontal="center" vertical="center" wrapText="1"/>
    </xf>
    <xf numFmtId="0" fontId="18" fillId="6" borderId="72" xfId="0" applyFont="1" applyFill="1" applyBorder="1" applyAlignment="1">
      <alignment horizontal="left" vertical="center"/>
    </xf>
    <xf numFmtId="1" fontId="13" fillId="0" borderId="7" xfId="0" applyNumberFormat="1" applyFont="1" applyFill="1" applyBorder="1" applyAlignment="1">
      <alignment horizontal="center" vertical="center"/>
    </xf>
    <xf numFmtId="1" fontId="24" fillId="0" borderId="7" xfId="0" applyNumberFormat="1" applyFont="1" applyFill="1" applyBorder="1" applyAlignment="1">
      <alignment horizontal="center" vertical="center"/>
    </xf>
    <xf numFmtId="3" fontId="24" fillId="0" borderId="29" xfId="0" applyNumberFormat="1" applyFont="1" applyFill="1" applyBorder="1" applyAlignment="1">
      <alignment horizontal="center" vertical="center"/>
    </xf>
    <xf numFmtId="3" fontId="0" fillId="0" borderId="7" xfId="0" applyNumberFormat="1" applyFill="1" applyBorder="1" applyAlignment="1"/>
    <xf numFmtId="0" fontId="0" fillId="0" borderId="0" xfId="0" applyFill="1" applyAlignment="1"/>
    <xf numFmtId="3" fontId="55" fillId="7" borderId="7" xfId="0" applyNumberFormat="1" applyFont="1" applyFill="1" applyBorder="1" applyAlignment="1">
      <alignment horizontal="center" vertical="center" wrapText="1"/>
    </xf>
    <xf numFmtId="0" fontId="9" fillId="15" borderId="3" xfId="0" applyFont="1" applyFill="1" applyBorder="1" applyAlignment="1">
      <alignment horizontal="left" vertical="center"/>
    </xf>
    <xf numFmtId="3" fontId="0" fillId="5" borderId="71" xfId="0" applyNumberFormat="1" applyFill="1" applyBorder="1"/>
    <xf numFmtId="0" fontId="31" fillId="26" borderId="12" xfId="0" applyFont="1" applyFill="1" applyBorder="1" applyAlignment="1">
      <alignment vertical="center"/>
    </xf>
    <xf numFmtId="3" fontId="0" fillId="5" borderId="54" xfId="0" applyNumberFormat="1" applyFill="1" applyBorder="1"/>
    <xf numFmtId="3" fontId="0" fillId="5" borderId="57" xfId="0" applyNumberFormat="1" applyFill="1" applyBorder="1" applyAlignment="1"/>
    <xf numFmtId="3" fontId="25" fillId="7" borderId="13" xfId="0" applyNumberFormat="1" applyFont="1" applyFill="1" applyBorder="1" applyAlignment="1">
      <alignment horizontal="center" vertical="center" wrapText="1"/>
    </xf>
    <xf numFmtId="3" fontId="29" fillId="7" borderId="55" xfId="0" applyNumberFormat="1" applyFont="1" applyFill="1" applyBorder="1" applyAlignment="1">
      <alignment horizontal="left" vertical="center"/>
    </xf>
    <xf numFmtId="0" fontId="18" fillId="15" borderId="13" xfId="0" applyFont="1" applyFill="1" applyBorder="1" applyAlignment="1">
      <alignment horizontal="left" vertical="center" wrapText="1"/>
    </xf>
    <xf numFmtId="3" fontId="9" fillId="15" borderId="33" xfId="0" applyNumberFormat="1" applyFont="1" applyFill="1" applyBorder="1" applyAlignment="1">
      <alignment horizontal="left" vertical="center"/>
    </xf>
    <xf numFmtId="0" fontId="14" fillId="0" borderId="12" xfId="0" applyFont="1" applyFill="1" applyBorder="1" applyAlignment="1">
      <alignment horizontal="right" vertical="center" wrapText="1"/>
    </xf>
    <xf numFmtId="3" fontId="9" fillId="0" borderId="0" xfId="0" applyNumberFormat="1" applyFont="1" applyBorder="1" applyAlignment="1">
      <alignment horizontal="center"/>
    </xf>
    <xf numFmtId="1" fontId="0" fillId="0" borderId="0" xfId="0" applyNumberFormat="1" applyBorder="1" applyAlignment="1">
      <alignment horizontal="center"/>
    </xf>
    <xf numFmtId="3" fontId="9" fillId="0" borderId="0" xfId="0" applyNumberFormat="1" applyFont="1" applyBorder="1"/>
    <xf numFmtId="3" fontId="9" fillId="0" borderId="71" xfId="0" applyNumberFormat="1" applyFont="1" applyBorder="1"/>
    <xf numFmtId="3" fontId="37" fillId="11" borderId="33" xfId="0" applyNumberFormat="1" applyFont="1" applyFill="1" applyBorder="1" applyAlignment="1">
      <alignment horizontal="center" vertical="center" wrapText="1"/>
    </xf>
    <xf numFmtId="3" fontId="9" fillId="0" borderId="25" xfId="0" applyNumberFormat="1" applyFont="1" applyBorder="1" applyAlignment="1">
      <alignment horizontal="center"/>
    </xf>
    <xf numFmtId="1" fontId="0" fillId="0" borderId="25" xfId="0" applyNumberFormat="1" applyBorder="1" applyAlignment="1">
      <alignment horizontal="center"/>
    </xf>
    <xf numFmtId="3" fontId="9" fillId="0" borderId="25" xfId="0" applyNumberFormat="1" applyFont="1" applyBorder="1"/>
    <xf numFmtId="3" fontId="9" fillId="0" borderId="74" xfId="0" applyNumberFormat="1" applyFont="1" applyBorder="1"/>
    <xf numFmtId="3" fontId="36" fillId="13" borderId="5" xfId="2" applyNumberFormat="1" applyFont="1" applyFill="1" applyBorder="1" applyAlignment="1">
      <alignment horizontal="left" vertical="center"/>
    </xf>
    <xf numFmtId="3" fontId="36" fillId="13" borderId="50" xfId="2" applyNumberFormat="1" applyFont="1" applyFill="1" applyBorder="1" applyAlignment="1">
      <alignment horizontal="left" vertical="center"/>
    </xf>
    <xf numFmtId="0" fontId="24" fillId="0" borderId="0" xfId="0" applyFont="1"/>
    <xf numFmtId="3" fontId="30" fillId="5" borderId="0" xfId="0" applyNumberFormat="1" applyFont="1" applyFill="1" applyBorder="1" applyAlignment="1">
      <alignment horizontal="center" vertical="center"/>
    </xf>
    <xf numFmtId="3" fontId="30" fillId="5" borderId="71" xfId="0" applyNumberFormat="1" applyFont="1" applyFill="1" applyBorder="1" applyAlignment="1">
      <alignment horizontal="center" vertical="center"/>
    </xf>
    <xf numFmtId="0" fontId="24" fillId="0" borderId="0" xfId="0" applyFont="1" applyFill="1"/>
    <xf numFmtId="0" fontId="24" fillId="18" borderId="12" xfId="0" applyFont="1" applyFill="1" applyBorder="1" applyAlignment="1">
      <alignment horizontal="left" vertical="center"/>
    </xf>
    <xf numFmtId="0" fontId="56" fillId="18" borderId="0" xfId="0" applyFont="1" applyFill="1" applyBorder="1" applyAlignment="1">
      <alignment horizontal="center"/>
    </xf>
    <xf numFmtId="0" fontId="56" fillId="18" borderId="17" xfId="0" applyFont="1" applyFill="1" applyBorder="1" applyAlignment="1">
      <alignment horizontal="center"/>
    </xf>
    <xf numFmtId="0" fontId="24" fillId="18" borderId="12" xfId="0" applyFont="1" applyFill="1" applyBorder="1" applyAlignment="1">
      <alignment vertical="center"/>
    </xf>
    <xf numFmtId="0" fontId="17" fillId="0" borderId="12" xfId="0" applyFont="1" applyBorder="1" applyAlignment="1">
      <alignment vertical="center"/>
    </xf>
    <xf numFmtId="170" fontId="57" fillId="18" borderId="7" xfId="1" applyNumberFormat="1" applyFont="1" applyFill="1" applyBorder="1" applyAlignment="1">
      <alignment horizontal="center"/>
    </xf>
    <xf numFmtId="0" fontId="24" fillId="4" borderId="0" xfId="0" applyFont="1" applyFill="1" applyBorder="1" applyAlignment="1">
      <alignment horizontal="left" wrapText="1"/>
    </xf>
    <xf numFmtId="0" fontId="24" fillId="4" borderId="17" xfId="0" applyFont="1" applyFill="1" applyBorder="1" applyAlignment="1">
      <alignment horizontal="left" wrapText="1"/>
    </xf>
    <xf numFmtId="0" fontId="57" fillId="4" borderId="13" xfId="0" applyFont="1" applyFill="1" applyBorder="1" applyAlignment="1">
      <alignment vertical="center"/>
    </xf>
    <xf numFmtId="3" fontId="57" fillId="4" borderId="14" xfId="1" applyNumberFormat="1" applyFont="1" applyFill="1" applyBorder="1" applyAlignment="1">
      <alignment horizontal="center"/>
    </xf>
    <xf numFmtId="3" fontId="30" fillId="5" borderId="19" xfId="0" applyNumberFormat="1" applyFont="1" applyFill="1" applyBorder="1" applyAlignment="1">
      <alignment horizontal="center" vertical="center"/>
    </xf>
    <xf numFmtId="3" fontId="30" fillId="5" borderId="54" xfId="0" applyNumberFormat="1" applyFont="1" applyFill="1" applyBorder="1" applyAlignment="1">
      <alignment horizontal="center" vertical="center"/>
    </xf>
    <xf numFmtId="0" fontId="17" fillId="4" borderId="21" xfId="0" applyFont="1" applyFill="1" applyBorder="1" applyAlignment="1">
      <alignment horizontal="center" wrapText="1"/>
    </xf>
    <xf numFmtId="3" fontId="17" fillId="0" borderId="0" xfId="1" applyNumberFormat="1" applyFont="1" applyBorder="1" applyAlignment="1">
      <alignment horizontal="center"/>
    </xf>
    <xf numFmtId="166" fontId="17" fillId="18" borderId="0" xfId="1" applyNumberFormat="1" applyFont="1" applyFill="1" applyBorder="1" applyAlignment="1">
      <alignment horizontal="center"/>
    </xf>
    <xf numFmtId="0" fontId="24" fillId="4" borderId="19" xfId="0" applyFont="1" applyFill="1" applyBorder="1" applyAlignment="1"/>
    <xf numFmtId="0" fontId="24" fillId="4" borderId="20" xfId="0" applyFont="1" applyFill="1" applyBorder="1" applyAlignment="1"/>
    <xf numFmtId="3" fontId="30" fillId="5" borderId="2" xfId="0" applyNumberFormat="1" applyFont="1" applyFill="1" applyBorder="1" applyAlignment="1">
      <alignment horizontal="center"/>
    </xf>
    <xf numFmtId="3" fontId="30" fillId="5" borderId="55" xfId="0" applyNumberFormat="1" applyFont="1" applyFill="1" applyBorder="1" applyAlignment="1">
      <alignment horizontal="center"/>
    </xf>
    <xf numFmtId="0" fontId="24" fillId="0" borderId="0" xfId="0" applyFont="1" applyAlignment="1"/>
    <xf numFmtId="0" fontId="17" fillId="4" borderId="22" xfId="0" applyFont="1" applyFill="1" applyBorder="1" applyAlignment="1">
      <alignment horizontal="center" vertical="center" wrapText="1"/>
    </xf>
    <xf numFmtId="3" fontId="17" fillId="4" borderId="14" xfId="0" applyNumberFormat="1"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0" borderId="0" xfId="0" applyFont="1"/>
    <xf numFmtId="0" fontId="17" fillId="13" borderId="13" xfId="0" applyFont="1" applyFill="1" applyBorder="1" applyAlignment="1">
      <alignment horizontal="center" vertical="center" wrapText="1"/>
    </xf>
    <xf numFmtId="165" fontId="23" fillId="20" borderId="7" xfId="0" applyNumberFormat="1" applyFont="1" applyFill="1" applyBorder="1" applyAlignment="1">
      <alignment horizontal="center" vertical="center" wrapText="1"/>
    </xf>
    <xf numFmtId="3" fontId="30" fillId="29" borderId="3" xfId="0" applyNumberFormat="1" applyFont="1" applyFill="1" applyBorder="1" applyAlignment="1">
      <alignment horizontal="center" vertical="center"/>
    </xf>
    <xf numFmtId="3" fontId="30" fillId="29" borderId="7" xfId="0" applyNumberFormat="1" applyFont="1" applyFill="1" applyBorder="1" applyAlignment="1">
      <alignment horizontal="center" vertical="center"/>
    </xf>
    <xf numFmtId="3" fontId="30" fillId="29" borderId="33" xfId="0" applyNumberFormat="1" applyFont="1" applyFill="1" applyBorder="1" applyAlignment="1">
      <alignment horizontal="center" vertical="center"/>
    </xf>
    <xf numFmtId="165" fontId="23" fillId="21" borderId="7" xfId="0" applyNumberFormat="1" applyFont="1" applyFill="1" applyBorder="1" applyAlignment="1">
      <alignment horizontal="center" vertical="center"/>
    </xf>
    <xf numFmtId="0" fontId="21" fillId="0" borderId="0" xfId="0" applyFont="1" applyFill="1"/>
    <xf numFmtId="3" fontId="30" fillId="0" borderId="3" xfId="0" applyNumberFormat="1" applyFont="1" applyFill="1" applyBorder="1" applyAlignment="1">
      <alignment horizontal="center" vertical="center"/>
    </xf>
    <xf numFmtId="3" fontId="24" fillId="0" borderId="33" xfId="0" applyNumberFormat="1" applyFont="1" applyFill="1" applyBorder="1" applyAlignment="1">
      <alignment horizontal="center" vertical="center"/>
    </xf>
    <xf numFmtId="3" fontId="24" fillId="0" borderId="3" xfId="0" applyNumberFormat="1" applyFont="1" applyFill="1" applyBorder="1" applyAlignment="1">
      <alignment horizontal="center" vertical="center"/>
    </xf>
    <xf numFmtId="0" fontId="17" fillId="4" borderId="13" xfId="0" applyFont="1" applyFill="1" applyBorder="1" applyAlignment="1">
      <alignment horizontal="right" vertical="center"/>
    </xf>
    <xf numFmtId="3" fontId="17" fillId="4" borderId="7" xfId="0" applyNumberFormat="1" applyFont="1" applyFill="1" applyBorder="1" applyAlignment="1">
      <alignment horizontal="center" vertical="center"/>
    </xf>
    <xf numFmtId="0" fontId="17" fillId="4" borderId="7" xfId="0" applyFont="1" applyFill="1" applyBorder="1" applyAlignment="1">
      <alignment horizontal="left" vertical="center"/>
    </xf>
    <xf numFmtId="0" fontId="17" fillId="4" borderId="14" xfId="0" applyFont="1" applyFill="1" applyBorder="1" applyAlignment="1">
      <alignment horizontal="left" vertical="center"/>
    </xf>
    <xf numFmtId="3" fontId="17" fillId="0" borderId="7" xfId="0" applyNumberFormat="1" applyFont="1" applyFill="1" applyBorder="1" applyAlignment="1">
      <alignment horizontal="center" vertical="center"/>
    </xf>
    <xf numFmtId="0" fontId="17" fillId="4" borderId="22" xfId="0" applyFont="1" applyFill="1" applyBorder="1" applyAlignment="1">
      <alignment horizontal="right" vertical="center"/>
    </xf>
    <xf numFmtId="165" fontId="30" fillId="0" borderId="7"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14" xfId="0" applyNumberFormat="1" applyFont="1" applyFill="1" applyBorder="1" applyAlignment="1">
      <alignment horizontal="center" vertical="center"/>
    </xf>
    <xf numFmtId="3" fontId="17" fillId="4" borderId="5" xfId="0" applyNumberFormat="1" applyFont="1" applyFill="1" applyBorder="1" applyAlignment="1">
      <alignment horizontal="center" vertical="center" wrapText="1"/>
    </xf>
    <xf numFmtId="3" fontId="17" fillId="4" borderId="50" xfId="0" applyNumberFormat="1" applyFont="1" applyFill="1" applyBorder="1" applyAlignment="1">
      <alignment horizontal="center" vertical="center" wrapText="1"/>
    </xf>
    <xf numFmtId="3" fontId="30" fillId="0" borderId="33" xfId="0" applyNumberFormat="1" applyFont="1" applyFill="1" applyBorder="1" applyAlignment="1">
      <alignment horizontal="center" vertical="center"/>
    </xf>
    <xf numFmtId="3" fontId="30" fillId="21" borderId="3" xfId="0" applyNumberFormat="1" applyFont="1" applyFill="1" applyBorder="1" applyAlignment="1">
      <alignment horizontal="center" vertical="center"/>
    </xf>
    <xf numFmtId="3" fontId="30" fillId="21" borderId="7" xfId="0" applyNumberFormat="1" applyFont="1" applyFill="1" applyBorder="1" applyAlignment="1">
      <alignment horizontal="center" vertical="center"/>
    </xf>
    <xf numFmtId="3" fontId="30" fillId="21" borderId="33" xfId="0" applyNumberFormat="1" applyFont="1" applyFill="1" applyBorder="1" applyAlignment="1">
      <alignment horizontal="center" vertical="center"/>
    </xf>
    <xf numFmtId="0" fontId="30" fillId="21" borderId="13" xfId="0" applyFont="1" applyFill="1" applyBorder="1" applyAlignment="1">
      <alignment horizontal="left" vertical="center"/>
    </xf>
    <xf numFmtId="3" fontId="30" fillId="24" borderId="3" xfId="0" applyNumberFormat="1" applyFont="1" applyFill="1" applyBorder="1" applyAlignment="1">
      <alignment horizontal="center" vertical="center"/>
    </xf>
    <xf numFmtId="3" fontId="30" fillId="24" borderId="7" xfId="0" applyNumberFormat="1" applyFont="1" applyFill="1" applyBorder="1" applyAlignment="1">
      <alignment horizontal="center" vertical="center"/>
    </xf>
    <xf numFmtId="3" fontId="30" fillId="24" borderId="33" xfId="0" applyNumberFormat="1" applyFont="1" applyFill="1" applyBorder="1" applyAlignment="1">
      <alignment horizontal="center" vertical="center"/>
    </xf>
    <xf numFmtId="0" fontId="30" fillId="24" borderId="13" xfId="0" applyFont="1" applyFill="1" applyBorder="1" applyAlignment="1">
      <alignment horizontal="left" vertical="center"/>
    </xf>
    <xf numFmtId="0" fontId="23" fillId="6" borderId="13" xfId="0" applyFont="1" applyFill="1" applyBorder="1" applyAlignment="1">
      <alignment horizontal="center" vertical="center" wrapText="1"/>
    </xf>
    <xf numFmtId="0" fontId="30" fillId="6" borderId="13" xfId="0" applyFont="1" applyFill="1" applyBorder="1" applyAlignment="1">
      <alignment horizontal="left" vertical="center"/>
    </xf>
    <xf numFmtId="0" fontId="30" fillId="17" borderId="28" xfId="0" applyFont="1" applyFill="1" applyBorder="1" applyAlignment="1">
      <alignment horizontal="left" vertical="center"/>
    </xf>
    <xf numFmtId="0" fontId="17" fillId="4" borderId="13" xfId="0" applyFont="1" applyFill="1" applyBorder="1" applyAlignment="1">
      <alignment horizontal="center" vertical="center" wrapText="1"/>
    </xf>
    <xf numFmtId="0" fontId="17" fillId="0" borderId="22" xfId="0" applyFont="1" applyFill="1" applyBorder="1" applyAlignment="1">
      <alignment horizontal="right" vertical="center"/>
    </xf>
    <xf numFmtId="3" fontId="17" fillId="0" borderId="14" xfId="0" applyNumberFormat="1" applyFont="1" applyFill="1" applyBorder="1" applyAlignment="1">
      <alignment horizontal="center" vertical="center"/>
    </xf>
    <xf numFmtId="0" fontId="17" fillId="0" borderId="14" xfId="0" applyFont="1" applyFill="1" applyBorder="1" applyAlignment="1">
      <alignment horizontal="left" vertical="center"/>
    </xf>
    <xf numFmtId="3" fontId="17" fillId="0" borderId="5"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30" fillId="0" borderId="50" xfId="0" applyNumberFormat="1" applyFont="1" applyFill="1" applyBorder="1" applyAlignment="1">
      <alignment horizontal="center" vertical="center"/>
    </xf>
    <xf numFmtId="3" fontId="17" fillId="4" borderId="44" xfId="0" applyNumberFormat="1" applyFont="1" applyFill="1" applyBorder="1" applyAlignment="1">
      <alignment horizontal="center" vertical="center" wrapText="1"/>
    </xf>
    <xf numFmtId="0" fontId="24" fillId="16" borderId="0" xfId="0" applyFont="1" applyFill="1"/>
    <xf numFmtId="3" fontId="30" fillId="0" borderId="0" xfId="0" applyNumberFormat="1" applyFont="1" applyAlignment="1">
      <alignment horizontal="center" vertical="center"/>
    </xf>
    <xf numFmtId="3" fontId="24" fillId="0" borderId="0" xfId="0" applyNumberFormat="1" applyFont="1"/>
    <xf numFmtId="0" fontId="17" fillId="2" borderId="7" xfId="0" applyFont="1" applyFill="1" applyBorder="1" applyAlignment="1">
      <alignment horizontal="center" vertical="center"/>
    </xf>
    <xf numFmtId="165" fontId="17" fillId="2" borderId="7" xfId="0" applyNumberFormat="1" applyFont="1" applyFill="1" applyBorder="1" applyAlignment="1">
      <alignment horizontal="center" vertical="center"/>
    </xf>
    <xf numFmtId="3" fontId="24" fillId="0" borderId="7" xfId="0" applyNumberFormat="1" applyFont="1" applyFill="1" applyBorder="1" applyAlignment="1">
      <alignment horizontal="right" vertical="center" wrapText="1"/>
    </xf>
    <xf numFmtId="0" fontId="24" fillId="0" borderId="0" xfId="0" applyFont="1" applyAlignment="1">
      <alignment vertical="center"/>
    </xf>
    <xf numFmtId="0" fontId="18" fillId="12" borderId="13"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0" fillId="25" borderId="42" xfId="0" applyFill="1" applyBorder="1" applyAlignment="1">
      <alignment horizontal="center" vertical="center"/>
    </xf>
    <xf numFmtId="0" fontId="0" fillId="25" borderId="33" xfId="0" applyFill="1" applyBorder="1"/>
    <xf numFmtId="0" fontId="0" fillId="28" borderId="42" xfId="0" applyFill="1" applyBorder="1" applyAlignment="1">
      <alignment horizontal="center"/>
    </xf>
    <xf numFmtId="3" fontId="14" fillId="25" borderId="18" xfId="0" applyNumberFormat="1" applyFont="1" applyFill="1" applyBorder="1" applyAlignment="1">
      <alignment horizontal="center"/>
    </xf>
    <xf numFmtId="3" fontId="14" fillId="25" borderId="29" xfId="0" applyNumberFormat="1" applyFont="1" applyFill="1" applyBorder="1" applyAlignment="1">
      <alignment horizontal="center" vertical="center"/>
    </xf>
    <xf numFmtId="3" fontId="14" fillId="0" borderId="29" xfId="0" applyNumberFormat="1" applyFont="1" applyFill="1" applyBorder="1" applyAlignment="1">
      <alignment horizontal="center"/>
    </xf>
    <xf numFmtId="3" fontId="14" fillId="25" borderId="29" xfId="0" applyNumberFormat="1" applyFont="1" applyFill="1" applyBorder="1" applyAlignment="1">
      <alignment horizontal="center"/>
    </xf>
    <xf numFmtId="3" fontId="14" fillId="23" borderId="29" xfId="0" applyNumberFormat="1" applyFont="1" applyFill="1" applyBorder="1" applyAlignment="1">
      <alignment horizontal="center"/>
    </xf>
    <xf numFmtId="3" fontId="14" fillId="28" borderId="29" xfId="0" applyNumberFormat="1" applyFont="1" applyFill="1" applyBorder="1" applyAlignment="1">
      <alignment horizontal="center"/>
    </xf>
    <xf numFmtId="3" fontId="14" fillId="22" borderId="29" xfId="0" applyNumberFormat="1" applyFont="1" applyFill="1" applyBorder="1" applyAlignment="1">
      <alignment horizontal="center" vertical="center"/>
    </xf>
    <xf numFmtId="3" fontId="17" fillId="9" borderId="77" xfId="0" applyNumberFormat="1" applyFont="1" applyFill="1" applyBorder="1" applyAlignment="1">
      <alignment horizontal="center" vertical="center" wrapText="1"/>
    </xf>
    <xf numFmtId="3" fontId="0" fillId="0" borderId="77" xfId="0" applyNumberFormat="1" applyFill="1" applyBorder="1" applyAlignment="1">
      <alignment horizontal="center" vertical="center"/>
    </xf>
    <xf numFmtId="3" fontId="17" fillId="4" borderId="77" xfId="0" applyNumberFormat="1" applyFont="1" applyFill="1" applyBorder="1" applyAlignment="1">
      <alignment horizontal="center" vertical="center" wrapText="1"/>
    </xf>
    <xf numFmtId="3" fontId="14" fillId="22" borderId="77" xfId="0" applyNumberFormat="1" applyFont="1" applyFill="1" applyBorder="1" applyAlignment="1">
      <alignment horizontal="center" vertical="center"/>
    </xf>
    <xf numFmtId="3" fontId="37" fillId="5" borderId="31" xfId="0" applyNumberFormat="1" applyFont="1" applyFill="1" applyBorder="1" applyAlignment="1">
      <alignment horizontal="center" vertical="center" wrapText="1"/>
    </xf>
    <xf numFmtId="3" fontId="37" fillId="5" borderId="1" xfId="0" applyNumberFormat="1" applyFont="1" applyFill="1" applyBorder="1" applyAlignment="1">
      <alignment horizontal="center" vertical="center" wrapText="1"/>
    </xf>
    <xf numFmtId="3" fontId="58" fillId="5" borderId="31" xfId="0" applyNumberFormat="1" applyFont="1" applyFill="1" applyBorder="1" applyAlignment="1">
      <alignment horizontal="center" vertical="center" wrapText="1"/>
    </xf>
    <xf numFmtId="3" fontId="58" fillId="5" borderId="1" xfId="0" applyNumberFormat="1" applyFont="1" applyFill="1" applyBorder="1" applyAlignment="1">
      <alignment horizontal="center" vertical="center" wrapText="1"/>
    </xf>
    <xf numFmtId="3" fontId="58" fillId="5" borderId="38" xfId="0" applyNumberFormat="1" applyFont="1" applyFill="1" applyBorder="1" applyAlignment="1">
      <alignment horizontal="center" vertical="center" wrapText="1"/>
    </xf>
    <xf numFmtId="3" fontId="58" fillId="5" borderId="75" xfId="0" applyNumberFormat="1" applyFont="1" applyFill="1" applyBorder="1" applyAlignment="1">
      <alignment horizontal="center" vertical="center" wrapText="1"/>
    </xf>
    <xf numFmtId="0" fontId="37" fillId="5" borderId="1" xfId="0" applyFont="1" applyFill="1" applyBorder="1" applyAlignment="1">
      <alignment horizontal="center" vertical="center" wrapText="1"/>
    </xf>
    <xf numFmtId="1" fontId="37" fillId="5" borderId="1" xfId="0" applyNumberFormat="1" applyFont="1" applyFill="1" applyBorder="1" applyAlignment="1">
      <alignment horizontal="center" vertical="center" wrapText="1"/>
    </xf>
    <xf numFmtId="169" fontId="37" fillId="5" borderId="49"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0" fillId="4" borderId="0" xfId="0" applyFill="1" applyBorder="1"/>
    <xf numFmtId="0" fontId="0" fillId="4" borderId="17" xfId="0" applyFill="1" applyBorder="1"/>
    <xf numFmtId="0" fontId="18" fillId="6" borderId="72" xfId="0" applyFont="1" applyFill="1" applyBorder="1" applyAlignment="1">
      <alignment horizontal="center" vertical="center" wrapText="1"/>
    </xf>
    <xf numFmtId="165" fontId="18" fillId="20" borderId="6" xfId="0" applyNumberFormat="1" applyFont="1" applyFill="1" applyBorder="1" applyAlignment="1">
      <alignment horizontal="center" vertical="center" wrapText="1"/>
    </xf>
    <xf numFmtId="0" fontId="13" fillId="6" borderId="6" xfId="0" applyFont="1" applyFill="1" applyBorder="1" applyAlignment="1">
      <alignment horizontal="left" vertical="center" wrapText="1"/>
    </xf>
    <xf numFmtId="165" fontId="14" fillId="4" borderId="1" xfId="0" applyNumberFormat="1" applyFont="1" applyFill="1" applyBorder="1" applyAlignment="1">
      <alignment horizontal="center" vertical="center" wrapText="1"/>
    </xf>
    <xf numFmtId="0" fontId="14" fillId="18" borderId="12" xfId="0" applyFont="1" applyFill="1" applyBorder="1" applyAlignment="1">
      <alignment vertical="center"/>
    </xf>
    <xf numFmtId="0" fontId="0" fillId="5" borderId="57" xfId="0" applyFill="1" applyBorder="1" applyAlignment="1">
      <alignment horizontal="center" vertical="center"/>
    </xf>
    <xf numFmtId="0" fontId="19" fillId="25" borderId="76" xfId="0" applyFont="1" applyFill="1" applyBorder="1" applyAlignment="1">
      <alignment horizontal="center" vertical="center"/>
    </xf>
    <xf numFmtId="3" fontId="0" fillId="25" borderId="77" xfId="0" applyNumberFormat="1" applyFill="1" applyBorder="1" applyAlignment="1">
      <alignment horizontal="center" vertical="center"/>
    </xf>
    <xf numFmtId="0" fontId="0" fillId="25" borderId="77" xfId="0" applyFill="1" applyBorder="1" applyAlignment="1">
      <alignment horizontal="center" vertical="center"/>
    </xf>
    <xf numFmtId="0" fontId="19" fillId="23" borderId="77" xfId="0" applyFont="1" applyFill="1" applyBorder="1" applyAlignment="1">
      <alignment horizontal="center" vertical="center"/>
    </xf>
    <xf numFmtId="0" fontId="19" fillId="28" borderId="77" xfId="0" applyFont="1" applyFill="1" applyBorder="1" applyAlignment="1">
      <alignment horizontal="center" vertical="center"/>
    </xf>
    <xf numFmtId="3" fontId="0" fillId="28" borderId="77" xfId="0" applyNumberFormat="1" applyFill="1" applyBorder="1" applyAlignment="1">
      <alignment horizontal="center" vertical="center"/>
    </xf>
    <xf numFmtId="0" fontId="0" fillId="28" borderId="77" xfId="0" applyFill="1" applyBorder="1" applyAlignment="1">
      <alignment horizontal="center" vertical="center"/>
    </xf>
    <xf numFmtId="0" fontId="0" fillId="0" borderId="71" xfId="0" applyBorder="1" applyAlignment="1">
      <alignment horizontal="center" vertical="center"/>
    </xf>
    <xf numFmtId="0" fontId="14" fillId="18" borderId="12" xfId="0" applyFont="1" applyFill="1" applyBorder="1" applyAlignment="1">
      <alignment horizontal="left" vertical="center" wrapText="1"/>
    </xf>
    <xf numFmtId="0" fontId="34" fillId="18" borderId="12" xfId="0" applyFont="1" applyFill="1" applyBorder="1" applyAlignment="1">
      <alignment vertical="center" wrapText="1"/>
    </xf>
    <xf numFmtId="3" fontId="37" fillId="5" borderId="49" xfId="0" applyNumberFormat="1" applyFont="1" applyFill="1" applyBorder="1" applyAlignment="1">
      <alignment horizontal="center" vertical="center" wrapText="1"/>
    </xf>
    <xf numFmtId="3" fontId="37" fillId="5" borderId="59" xfId="0" applyNumberFormat="1" applyFont="1" applyFill="1" applyBorder="1" applyAlignment="1">
      <alignment horizontal="center" vertical="center" wrapText="1"/>
    </xf>
    <xf numFmtId="3" fontId="26" fillId="7" borderId="33" xfId="0" applyNumberFormat="1" applyFont="1" applyFill="1" applyBorder="1" applyAlignment="1">
      <alignment horizontal="left" vertical="center" wrapText="1"/>
    </xf>
    <xf numFmtId="167" fontId="14" fillId="0" borderId="0" xfId="1" applyNumberFormat="1" applyFont="1" applyBorder="1" applyAlignment="1">
      <alignment horizontal="center" wrapText="1"/>
    </xf>
    <xf numFmtId="3" fontId="14" fillId="0" borderId="7" xfId="0" applyNumberFormat="1" applyFont="1" applyFill="1" applyBorder="1" applyAlignment="1">
      <alignment horizontal="center" vertical="center"/>
    </xf>
    <xf numFmtId="169" fontId="14" fillId="0" borderId="3" xfId="0" applyNumberFormat="1" applyFont="1" applyFill="1" applyBorder="1" applyAlignment="1">
      <alignment horizontal="center" vertical="center" wrapText="1"/>
    </xf>
    <xf numFmtId="0" fontId="18" fillId="6" borderId="7" xfId="0" applyFont="1" applyFill="1" applyBorder="1" applyAlignment="1">
      <alignment horizontal="center" vertical="center" wrapText="1"/>
    </xf>
    <xf numFmtId="169" fontId="14" fillId="0" borderId="3" xfId="0" applyNumberFormat="1" applyFont="1" applyFill="1" applyBorder="1" applyAlignment="1">
      <alignment horizontal="center" vertical="center"/>
    </xf>
    <xf numFmtId="3" fontId="17" fillId="0" borderId="29" xfId="0" applyNumberFormat="1" applyFont="1" applyFill="1" applyBorder="1" applyAlignment="1">
      <alignment horizontal="center" vertical="center"/>
    </xf>
    <xf numFmtId="1" fontId="17" fillId="0" borderId="7"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0" fontId="0" fillId="0" borderId="7" xfId="0" applyFill="1" applyBorder="1" applyAlignment="1"/>
    <xf numFmtId="0" fontId="18" fillId="14" borderId="7" xfId="0" applyFont="1" applyFill="1" applyBorder="1" applyAlignment="1">
      <alignment horizontal="left" vertical="center" wrapText="1"/>
    </xf>
    <xf numFmtId="0" fontId="18" fillId="14" borderId="13"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14" fillId="0" borderId="12" xfId="0" applyFont="1" applyFill="1" applyBorder="1" applyAlignment="1">
      <alignment wrapText="1"/>
    </xf>
    <xf numFmtId="0" fontId="22" fillId="13" borderId="3" xfId="0" applyFont="1" applyFill="1" applyBorder="1" applyAlignment="1">
      <alignment horizontal="center" vertical="center"/>
    </xf>
    <xf numFmtId="0" fontId="31" fillId="0" borderId="12" xfId="0" applyFont="1" applyBorder="1"/>
    <xf numFmtId="0" fontId="31" fillId="0" borderId="24" xfId="0" applyFont="1" applyBorder="1"/>
    <xf numFmtId="1" fontId="9" fillId="0" borderId="23" xfId="0" applyNumberFormat="1" applyFont="1" applyFill="1" applyBorder="1" applyAlignment="1">
      <alignment horizontal="center"/>
    </xf>
    <xf numFmtId="1" fontId="19" fillId="23" borderId="23" xfId="0" applyNumberFormat="1" applyFont="1" applyFill="1" applyBorder="1" applyAlignment="1">
      <alignment horizontal="center"/>
    </xf>
    <xf numFmtId="3" fontId="9" fillId="15" borderId="3" xfId="0" applyNumberFormat="1" applyFont="1" applyFill="1" applyBorder="1" applyAlignment="1">
      <alignment horizontal="left" vertical="center"/>
    </xf>
    <xf numFmtId="3" fontId="35" fillId="13" borderId="14" xfId="2" applyNumberFormat="1" applyFont="1" applyFill="1" applyBorder="1" applyAlignment="1">
      <alignment horizontal="left" vertical="center" wrapText="1"/>
    </xf>
    <xf numFmtId="0" fontId="23" fillId="21" borderId="13" xfId="0" applyFont="1" applyFill="1" applyBorder="1" applyAlignment="1">
      <alignment horizontal="center" vertical="center" wrapText="1"/>
    </xf>
    <xf numFmtId="3" fontId="35" fillId="21" borderId="7" xfId="2" applyNumberFormat="1" applyFont="1" applyFill="1" applyBorder="1" applyAlignment="1">
      <alignment horizontal="left" vertical="center" wrapText="1"/>
    </xf>
    <xf numFmtId="3" fontId="35" fillId="21" borderId="14" xfId="2" applyNumberFormat="1" applyFont="1" applyFill="1" applyBorder="1" applyAlignment="1">
      <alignment horizontal="left" vertical="center" wrapText="1"/>
    </xf>
    <xf numFmtId="3" fontId="35" fillId="24" borderId="7" xfId="2" applyNumberFormat="1" applyFont="1" applyFill="1" applyBorder="1" applyAlignment="1">
      <alignment horizontal="left" vertical="center" wrapText="1"/>
    </xf>
    <xf numFmtId="3" fontId="35" fillId="24" borderId="14" xfId="2" applyNumberFormat="1" applyFont="1" applyFill="1" applyBorder="1" applyAlignment="1">
      <alignment horizontal="left" vertical="center" wrapText="1"/>
    </xf>
    <xf numFmtId="0" fontId="23" fillId="24" borderId="13" xfId="0" applyFont="1" applyFill="1" applyBorder="1" applyAlignment="1">
      <alignment horizontal="center" vertical="center" wrapText="1"/>
    </xf>
    <xf numFmtId="3" fontId="9" fillId="0" borderId="3"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20" fillId="0" borderId="0" xfId="0" applyFont="1" applyFill="1"/>
    <xf numFmtId="0" fontId="14" fillId="4" borderId="14" xfId="0" applyFont="1" applyFill="1" applyBorder="1" applyAlignment="1">
      <alignment horizontal="left" vertical="center"/>
    </xf>
    <xf numFmtId="0" fontId="23" fillId="17" borderId="28" xfId="0" applyFont="1" applyFill="1" applyBorder="1" applyAlignment="1">
      <alignment horizontal="left" vertical="center" wrapText="1"/>
    </xf>
    <xf numFmtId="3" fontId="17" fillId="0" borderId="50" xfId="0" applyNumberFormat="1" applyFont="1" applyFill="1" applyBorder="1" applyAlignment="1">
      <alignment horizontal="center" vertical="center" wrapText="1"/>
    </xf>
    <xf numFmtId="0" fontId="17" fillId="20" borderId="22" xfId="0" applyFont="1" applyFill="1" applyBorder="1" applyAlignment="1">
      <alignment horizontal="center" vertical="center" wrapText="1"/>
    </xf>
    <xf numFmtId="0" fontId="23" fillId="61" borderId="28" xfId="0" applyFont="1" applyFill="1" applyBorder="1" applyAlignment="1">
      <alignment horizontal="left" vertical="center" wrapText="1"/>
    </xf>
    <xf numFmtId="0" fontId="17" fillId="20" borderId="14" xfId="0" applyFont="1" applyFill="1" applyBorder="1" applyAlignment="1">
      <alignment horizontal="center" vertical="center" wrapText="1"/>
    </xf>
    <xf numFmtId="3" fontId="17" fillId="62" borderId="14" xfId="0" applyNumberFormat="1" applyFont="1" applyFill="1" applyBorder="1" applyAlignment="1">
      <alignment horizontal="center" vertical="center" wrapText="1"/>
    </xf>
    <xf numFmtId="49" fontId="24" fillId="0" borderId="7" xfId="0" applyNumberFormat="1" applyFont="1" applyFill="1" applyBorder="1" applyAlignment="1">
      <alignment horizontal="right" vertical="center" wrapText="1"/>
    </xf>
    <xf numFmtId="165" fontId="23" fillId="21" borderId="7" xfId="0" applyNumberFormat="1" applyFont="1" applyFill="1" applyBorder="1" applyAlignment="1">
      <alignment horizontal="center" vertical="center" wrapText="1"/>
    </xf>
    <xf numFmtId="3" fontId="17" fillId="20" borderId="7" xfId="0" applyNumberFormat="1" applyFont="1" applyFill="1" applyBorder="1" applyAlignment="1">
      <alignment horizontal="center" vertical="center"/>
    </xf>
    <xf numFmtId="165" fontId="23" fillId="62" borderId="7" xfId="0" applyNumberFormat="1" applyFont="1" applyFill="1" applyBorder="1" applyAlignment="1">
      <alignment horizontal="center" vertical="center"/>
    </xf>
    <xf numFmtId="0" fontId="24" fillId="13" borderId="13" xfId="0" applyFont="1" applyFill="1" applyBorder="1" applyAlignment="1">
      <alignment horizontal="left" vertical="center"/>
    </xf>
    <xf numFmtId="0" fontId="37" fillId="9" borderId="24" xfId="0" applyFont="1" applyFill="1" applyBorder="1" applyAlignment="1">
      <alignment horizontal="center" vertical="center"/>
    </xf>
    <xf numFmtId="0" fontId="30" fillId="61" borderId="28" xfId="0" applyFont="1" applyFill="1" applyBorder="1" applyAlignment="1">
      <alignment horizontal="left" vertical="center"/>
    </xf>
    <xf numFmtId="0" fontId="24" fillId="20" borderId="14" xfId="0" applyFont="1" applyFill="1" applyBorder="1" applyAlignment="1">
      <alignment horizontal="left" vertical="center"/>
    </xf>
    <xf numFmtId="0" fontId="23" fillId="6" borderId="7" xfId="0" applyFont="1" applyFill="1" applyBorder="1" applyAlignment="1">
      <alignment horizontal="left" vertical="center" wrapText="1"/>
    </xf>
    <xf numFmtId="0" fontId="30" fillId="6" borderId="7" xfId="0" applyFont="1" applyFill="1" applyBorder="1" applyAlignment="1">
      <alignment horizontal="center" vertical="center" wrapText="1"/>
    </xf>
    <xf numFmtId="0" fontId="23" fillId="6" borderId="33" xfId="0" applyFont="1" applyFill="1" applyBorder="1" applyAlignment="1">
      <alignment horizontal="left" vertical="center" wrapText="1"/>
    </xf>
    <xf numFmtId="0" fontId="30" fillId="6" borderId="33" xfId="0" applyFont="1" applyFill="1" applyBorder="1" applyAlignment="1">
      <alignment horizontal="center" vertical="center" wrapText="1"/>
    </xf>
    <xf numFmtId="0" fontId="23" fillId="6" borderId="3" xfId="0" applyFont="1" applyFill="1" applyBorder="1" applyAlignment="1">
      <alignment horizontal="left" vertical="center" wrapText="1"/>
    </xf>
    <xf numFmtId="0" fontId="30" fillId="6" borderId="3" xfId="0" applyFont="1" applyFill="1" applyBorder="1" applyAlignment="1">
      <alignment horizontal="center" vertical="center" wrapText="1"/>
    </xf>
    <xf numFmtId="0" fontId="34" fillId="0" borderId="0" xfId="0" applyFont="1" applyAlignment="1">
      <alignment horizontal="center"/>
    </xf>
    <xf numFmtId="0" fontId="34" fillId="0" borderId="0" xfId="0" applyFont="1" applyFill="1" applyAlignment="1">
      <alignment horizontal="center"/>
    </xf>
    <xf numFmtId="0" fontId="34" fillId="0" borderId="0" xfId="0" applyFont="1" applyFill="1"/>
    <xf numFmtId="0" fontId="34" fillId="0" borderId="0" xfId="0" applyFont="1" applyAlignment="1"/>
    <xf numFmtId="0" fontId="34" fillId="16" borderId="0" xfId="0" applyFont="1" applyFill="1" applyAlignment="1">
      <alignment horizontal="center"/>
    </xf>
    <xf numFmtId="0" fontId="34" fillId="16" borderId="0" xfId="0" applyFont="1" applyFill="1"/>
    <xf numFmtId="169" fontId="34" fillId="0" borderId="0" xfId="0" applyNumberFormat="1" applyFont="1" applyAlignment="1">
      <alignment horizontal="center"/>
    </xf>
    <xf numFmtId="3" fontId="34" fillId="0" borderId="0" xfId="0" applyNumberFormat="1" applyFont="1" applyAlignment="1">
      <alignment horizontal="right"/>
    </xf>
    <xf numFmtId="3" fontId="34" fillId="0" borderId="0" xfId="0" applyNumberFormat="1" applyFont="1" applyFill="1" applyAlignment="1">
      <alignment horizontal="right"/>
    </xf>
    <xf numFmtId="0" fontId="30" fillId="0" borderId="3" xfId="0" applyFont="1" applyFill="1" applyBorder="1" applyAlignment="1">
      <alignment horizontal="center" vertical="center" wrapText="1"/>
    </xf>
    <xf numFmtId="0" fontId="30" fillId="0" borderId="33" xfId="0" applyFont="1" applyFill="1" applyBorder="1" applyAlignment="1">
      <alignment horizontal="center" vertical="center" wrapText="1"/>
    </xf>
    <xf numFmtId="3" fontId="13" fillId="0" borderId="0" xfId="0" applyNumberFormat="1" applyFont="1" applyFill="1" applyBorder="1" applyAlignment="1">
      <alignment horizontal="center"/>
    </xf>
    <xf numFmtId="0" fontId="0" fillId="0" borderId="0" xfId="0" applyFill="1" applyAlignment="1">
      <alignment horizontal="center"/>
    </xf>
    <xf numFmtId="165" fontId="20" fillId="0" borderId="0" xfId="0" applyNumberFormat="1" applyFont="1" applyFill="1" applyAlignment="1">
      <alignment horizontal="center"/>
    </xf>
    <xf numFmtId="0" fontId="34" fillId="0" borderId="0" xfId="0" applyFont="1" applyAlignment="1">
      <alignment horizontal="center" vertical="center"/>
    </xf>
    <xf numFmtId="167" fontId="14"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14" fillId="18" borderId="12" xfId="0" applyFont="1" applyFill="1" applyBorder="1" applyAlignment="1">
      <alignment horizontal="left" vertical="center"/>
    </xf>
    <xf numFmtId="3" fontId="18" fillId="0" borderId="7" xfId="0" applyNumberFormat="1" applyFont="1" applyFill="1" applyBorder="1" applyAlignment="1">
      <alignment horizontal="center" vertical="center"/>
    </xf>
    <xf numFmtId="0" fontId="0" fillId="0" borderId="3" xfId="0" applyFill="1" applyBorder="1" applyAlignment="1">
      <alignment horizontal="center"/>
    </xf>
    <xf numFmtId="1" fontId="0" fillId="0" borderId="7" xfId="0" applyNumberFormat="1" applyFill="1" applyBorder="1"/>
    <xf numFmtId="0" fontId="22" fillId="0" borderId="7" xfId="0" applyFont="1" applyFill="1" applyBorder="1" applyAlignment="1">
      <alignment horizontal="left" vertical="center"/>
    </xf>
    <xf numFmtId="0" fontId="9" fillId="6" borderId="13" xfId="0" applyFont="1" applyFill="1" applyBorder="1" applyAlignment="1">
      <alignment horizontal="left" vertical="center"/>
    </xf>
    <xf numFmtId="0" fontId="13" fillId="0" borderId="7" xfId="0" applyFont="1" applyFill="1" applyBorder="1" applyAlignment="1">
      <alignment horizontal="left" vertical="center"/>
    </xf>
    <xf numFmtId="169" fontId="14" fillId="23" borderId="3" xfId="0" applyNumberFormat="1" applyFont="1" applyFill="1" applyBorder="1" applyAlignment="1">
      <alignment horizontal="center" vertical="center"/>
    </xf>
    <xf numFmtId="3" fontId="17" fillId="23" borderId="29" xfId="0" applyNumberFormat="1" applyFont="1" applyFill="1" applyBorder="1" applyAlignment="1">
      <alignment horizontal="center" vertical="center"/>
    </xf>
    <xf numFmtId="1" fontId="17" fillId="23" borderId="7" xfId="0" applyNumberFormat="1" applyFont="1" applyFill="1" applyBorder="1" applyAlignment="1">
      <alignment horizontal="center" vertical="center"/>
    </xf>
    <xf numFmtId="169" fontId="13" fillId="0" borderId="3" xfId="0" applyNumberFormat="1" applyFont="1" applyFill="1" applyBorder="1" applyAlignment="1">
      <alignment horizontal="center" vertical="center"/>
    </xf>
    <xf numFmtId="3" fontId="30" fillId="0" borderId="29" xfId="0" applyNumberFormat="1" applyFont="1" applyFill="1" applyBorder="1" applyAlignment="1">
      <alignment horizontal="center" vertical="center"/>
    </xf>
    <xf numFmtId="1" fontId="30" fillId="0" borderId="7" xfId="0" applyNumberFormat="1" applyFont="1" applyFill="1" applyBorder="1" applyAlignment="1">
      <alignment horizontal="center" vertical="center"/>
    </xf>
    <xf numFmtId="169" fontId="19" fillId="0" borderId="33" xfId="0" applyNumberFormat="1" applyFont="1" applyFill="1" applyBorder="1" applyAlignment="1">
      <alignment horizontal="center"/>
    </xf>
    <xf numFmtId="3" fontId="19" fillId="0" borderId="7" xfId="0" applyNumberFormat="1" applyFont="1" applyFill="1" applyBorder="1"/>
    <xf numFmtId="0" fontId="13" fillId="10" borderId="13" xfId="0" applyFont="1" applyFill="1" applyBorder="1" applyAlignment="1">
      <alignment horizontal="left" vertical="center"/>
    </xf>
    <xf numFmtId="1" fontId="21" fillId="0" borderId="7" xfId="0" applyNumberFormat="1" applyFont="1" applyFill="1" applyBorder="1" applyAlignment="1">
      <alignment horizontal="center" vertical="center"/>
    </xf>
    <xf numFmtId="0" fontId="19" fillId="0" borderId="0" xfId="0" applyFont="1" applyFill="1" applyAlignment="1"/>
    <xf numFmtId="0" fontId="22" fillId="0" borderId="3" xfId="0" applyFont="1" applyFill="1" applyBorder="1" applyAlignment="1">
      <alignment horizontal="center" vertical="center"/>
    </xf>
    <xf numFmtId="3" fontId="22" fillId="0" borderId="3" xfId="0" applyNumberFormat="1" applyFont="1" applyFill="1" applyBorder="1" applyAlignment="1">
      <alignment horizontal="left" vertical="center"/>
    </xf>
    <xf numFmtId="3" fontId="22" fillId="0" borderId="29" xfId="0" applyNumberFormat="1" applyFont="1" applyFill="1" applyBorder="1" applyAlignment="1">
      <alignment horizontal="center" vertical="center"/>
    </xf>
    <xf numFmtId="0" fontId="13" fillId="14" borderId="13" xfId="0" applyFont="1" applyFill="1" applyBorder="1" applyAlignment="1">
      <alignment horizontal="left" vertical="center"/>
    </xf>
    <xf numFmtId="169" fontId="22" fillId="0" borderId="3" xfId="0" applyNumberFormat="1" applyFont="1" applyFill="1" applyBorder="1" applyAlignment="1">
      <alignment horizontal="center" vertical="center"/>
    </xf>
    <xf numFmtId="3" fontId="13" fillId="0" borderId="7" xfId="0" applyNumberFormat="1" applyFont="1" applyFill="1" applyBorder="1" applyAlignment="1"/>
    <xf numFmtId="3" fontId="20" fillId="0" borderId="0" xfId="0" applyNumberFormat="1" applyFont="1" applyFill="1" applyAlignment="1">
      <alignment horizontal="center"/>
    </xf>
    <xf numFmtId="3" fontId="20" fillId="0" borderId="0" xfId="0" applyNumberFormat="1" applyFont="1" applyAlignment="1">
      <alignment horizontal="center"/>
    </xf>
    <xf numFmtId="3" fontId="20" fillId="0" borderId="0" xfId="0" applyNumberFormat="1" applyFont="1" applyFill="1" applyAlignment="1">
      <alignment horizontal="center" vertical="center"/>
    </xf>
    <xf numFmtId="3" fontId="20" fillId="0" borderId="0" xfId="0" applyNumberFormat="1" applyFont="1" applyAlignment="1">
      <alignment horizontal="center" vertical="center"/>
    </xf>
    <xf numFmtId="0" fontId="9" fillId="14" borderId="13" xfId="0" applyFont="1" applyFill="1" applyBorder="1" applyAlignment="1">
      <alignment horizontal="left" vertical="center"/>
    </xf>
    <xf numFmtId="0" fontId="13" fillId="24" borderId="13" xfId="0" applyFont="1" applyFill="1" applyBorder="1" applyAlignment="1">
      <alignment horizontal="left" vertical="center"/>
    </xf>
    <xf numFmtId="0" fontId="9" fillId="15" borderId="13" xfId="0" applyFont="1" applyFill="1" applyBorder="1" applyAlignment="1">
      <alignment horizontal="left" vertical="center"/>
    </xf>
    <xf numFmtId="3" fontId="9" fillId="0" borderId="3" xfId="0" applyNumberFormat="1" applyFont="1" applyFill="1" applyBorder="1" applyAlignment="1"/>
    <xf numFmtId="3" fontId="9" fillId="0" borderId="7" xfId="0" applyNumberFormat="1" applyFont="1" applyFill="1" applyBorder="1" applyAlignment="1"/>
    <xf numFmtId="3" fontId="9" fillId="0" borderId="33" xfId="0" applyNumberFormat="1" applyFont="1" applyFill="1" applyBorder="1" applyAlignment="1"/>
    <xf numFmtId="3" fontId="29" fillId="0" borderId="3" xfId="0" applyNumberFormat="1" applyFont="1" applyFill="1" applyBorder="1" applyAlignment="1">
      <alignment horizontal="left" vertical="center"/>
    </xf>
    <xf numFmtId="3" fontId="29" fillId="0" borderId="3" xfId="0" applyNumberFormat="1" applyFont="1" applyFill="1" applyBorder="1" applyAlignment="1">
      <alignment horizontal="center" vertical="center"/>
    </xf>
    <xf numFmtId="3" fontId="29" fillId="0" borderId="55" xfId="0" applyNumberFormat="1" applyFont="1" applyFill="1" applyBorder="1" applyAlignment="1">
      <alignment horizontal="left" vertical="center"/>
    </xf>
    <xf numFmtId="3" fontId="29" fillId="7" borderId="13" xfId="0" applyNumberFormat="1" applyFont="1" applyFill="1" applyBorder="1" applyAlignment="1">
      <alignment horizontal="left" vertical="center"/>
    </xf>
    <xf numFmtId="0" fontId="9" fillId="0" borderId="7" xfId="0" applyFont="1" applyFill="1" applyBorder="1" applyAlignment="1"/>
    <xf numFmtId="0" fontId="13" fillId="18" borderId="3" xfId="0" applyFont="1" applyFill="1" applyBorder="1" applyAlignment="1">
      <alignment horizontal="left" wrapText="1"/>
    </xf>
    <xf numFmtId="3" fontId="14" fillId="18" borderId="7" xfId="0" applyNumberFormat="1" applyFont="1" applyFill="1" applyBorder="1" applyAlignment="1">
      <alignment horizontal="center" vertical="center"/>
    </xf>
    <xf numFmtId="0" fontId="16" fillId="18" borderId="7" xfId="0" applyFont="1" applyFill="1" applyBorder="1" applyAlignment="1">
      <alignment vertical="center"/>
    </xf>
    <xf numFmtId="0" fontId="14" fillId="18" borderId="7" xfId="0" applyFont="1" applyFill="1" applyBorder="1" applyAlignment="1">
      <alignment horizontal="center" vertical="center" wrapText="1"/>
    </xf>
    <xf numFmtId="0" fontId="0" fillId="0" borderId="0" xfId="0" applyAlignment="1">
      <alignment horizontal="left"/>
    </xf>
    <xf numFmtId="3" fontId="17" fillId="9" borderId="7" xfId="0" applyNumberFormat="1" applyFont="1" applyFill="1" applyBorder="1" applyAlignment="1">
      <alignment horizontal="left" vertical="center" wrapText="1"/>
    </xf>
    <xf numFmtId="0" fontId="0" fillId="0" borderId="0" xfId="0" applyAlignment="1">
      <alignment horizontal="left" vertical="center"/>
    </xf>
    <xf numFmtId="0" fontId="34" fillId="0" borderId="0" xfId="0" applyFont="1" applyAlignment="1">
      <alignment horizontal="left"/>
    </xf>
    <xf numFmtId="3" fontId="16" fillId="18" borderId="7" xfId="1" applyNumberFormat="1" applyFont="1" applyFill="1" applyBorder="1" applyAlignment="1">
      <alignment horizontal="center" vertical="center"/>
    </xf>
    <xf numFmtId="3" fontId="14" fillId="9" borderId="7" xfId="0" applyNumberFormat="1" applyFont="1" applyFill="1" applyBorder="1" applyAlignment="1">
      <alignment horizontal="center" vertical="center" wrapText="1"/>
    </xf>
    <xf numFmtId="3" fontId="17" fillId="4" borderId="7" xfId="0" applyNumberFormat="1" applyFont="1" applyFill="1" applyBorder="1" applyAlignment="1">
      <alignment horizontal="left" vertical="center" wrapText="1"/>
    </xf>
    <xf numFmtId="3" fontId="21" fillId="0" borderId="0" xfId="0" applyNumberFormat="1" applyFont="1" applyAlignment="1">
      <alignment horizontal="center"/>
    </xf>
    <xf numFmtId="3" fontId="21" fillId="0" borderId="0" xfId="0" applyNumberFormat="1" applyFont="1" applyFill="1" applyAlignment="1">
      <alignment horizontal="center"/>
    </xf>
    <xf numFmtId="3" fontId="21" fillId="16" borderId="0" xfId="0" applyNumberFormat="1" applyFont="1" applyFill="1" applyAlignment="1">
      <alignment horizontal="center"/>
    </xf>
    <xf numFmtId="169" fontId="37" fillId="5" borderId="80" xfId="0" applyNumberFormat="1" applyFont="1" applyFill="1" applyBorder="1" applyAlignment="1">
      <alignment horizontal="center" vertical="center" wrapText="1"/>
    </xf>
    <xf numFmtId="3" fontId="37" fillId="5" borderId="81" xfId="0" applyNumberFormat="1" applyFont="1" applyFill="1" applyBorder="1" applyAlignment="1">
      <alignment horizontal="center" vertical="center" wrapText="1"/>
    </xf>
    <xf numFmtId="0" fontId="34" fillId="0" borderId="13" xfId="0" applyFont="1" applyFill="1" applyBorder="1" applyAlignment="1">
      <alignment horizontal="center"/>
    </xf>
    <xf numFmtId="3" fontId="34" fillId="0" borderId="7" xfId="0" applyNumberFormat="1" applyFont="1" applyFill="1" applyBorder="1" applyAlignment="1">
      <alignment horizontal="right"/>
    </xf>
    <xf numFmtId="0" fontId="34" fillId="0" borderId="33" xfId="0" applyFont="1" applyFill="1" applyBorder="1"/>
    <xf numFmtId="3" fontId="34" fillId="0" borderId="33" xfId="0" applyNumberFormat="1" applyFont="1" applyFill="1" applyBorder="1"/>
    <xf numFmtId="3" fontId="17" fillId="4" borderId="13" xfId="0" applyNumberFormat="1" applyFont="1" applyFill="1" applyBorder="1" applyAlignment="1">
      <alignment horizontal="center" vertical="center" wrapText="1"/>
    </xf>
    <xf numFmtId="3" fontId="14" fillId="4" borderId="13" xfId="0" applyNumberFormat="1" applyFont="1" applyFill="1" applyBorder="1" applyAlignment="1">
      <alignment horizontal="center" vertical="center" wrapText="1"/>
    </xf>
    <xf numFmtId="0" fontId="34" fillId="0" borderId="83" xfId="0" applyFont="1" applyFill="1" applyBorder="1" applyAlignment="1">
      <alignment horizontal="center"/>
    </xf>
    <xf numFmtId="0" fontId="17" fillId="20" borderId="14" xfId="0" applyFont="1" applyFill="1" applyBorder="1" applyAlignment="1">
      <alignment horizontal="left" vertical="center" wrapText="1"/>
    </xf>
    <xf numFmtId="0" fontId="24" fillId="20" borderId="22" xfId="0" applyFont="1" applyFill="1" applyBorder="1" applyAlignment="1">
      <alignment horizontal="center" vertical="center" wrapText="1"/>
    </xf>
    <xf numFmtId="0" fontId="13" fillId="0" borderId="7" xfId="0" applyFont="1" applyFill="1" applyBorder="1" applyAlignment="1">
      <alignment horizontal="left"/>
    </xf>
    <xf numFmtId="0" fontId="0" fillId="0" borderId="7" xfId="0" applyFill="1" applyBorder="1" applyAlignment="1">
      <alignment horizontal="left"/>
    </xf>
    <xf numFmtId="169" fontId="23" fillId="5" borderId="80" xfId="0" applyNumberFormat="1" applyFont="1" applyFill="1" applyBorder="1" applyAlignment="1">
      <alignment horizontal="center" vertical="center" wrapText="1"/>
    </xf>
    <xf numFmtId="3" fontId="23" fillId="5" borderId="81" xfId="0" applyNumberFormat="1" applyFont="1" applyFill="1" applyBorder="1" applyAlignment="1">
      <alignment horizontal="left" vertical="center" wrapText="1"/>
    </xf>
    <xf numFmtId="3" fontId="23" fillId="5" borderId="81" xfId="0" applyNumberFormat="1" applyFont="1" applyFill="1" applyBorder="1" applyAlignment="1">
      <alignment horizontal="center" vertical="center" wrapText="1"/>
    </xf>
    <xf numFmtId="3" fontId="17" fillId="5" borderId="81" xfId="0" applyNumberFormat="1" applyFont="1" applyFill="1" applyBorder="1" applyAlignment="1">
      <alignment horizontal="center" vertical="center" wrapText="1"/>
    </xf>
    <xf numFmtId="3" fontId="23" fillId="5" borderId="82" xfId="0" applyNumberFormat="1" applyFont="1" applyFill="1" applyBorder="1" applyAlignment="1">
      <alignment horizontal="center" vertical="center" wrapText="1"/>
    </xf>
    <xf numFmtId="3" fontId="19" fillId="0" borderId="33" xfId="0" applyNumberFormat="1" applyFont="1" applyFill="1" applyBorder="1"/>
    <xf numFmtId="0" fontId="13" fillId="0" borderId="13" xfId="0" applyFont="1" applyFill="1" applyBorder="1" applyAlignment="1">
      <alignment horizontal="center" vertical="center"/>
    </xf>
    <xf numFmtId="3" fontId="13" fillId="0" borderId="33" xfId="0" applyNumberFormat="1" applyFont="1" applyFill="1" applyBorder="1" applyAlignment="1">
      <alignment horizontal="center" vertical="center"/>
    </xf>
    <xf numFmtId="3" fontId="17" fillId="9" borderId="13" xfId="0" applyNumberFormat="1" applyFont="1" applyFill="1" applyBorder="1" applyAlignment="1">
      <alignment horizontal="center" vertical="center" wrapText="1"/>
    </xf>
    <xf numFmtId="0" fontId="13" fillId="0" borderId="13" xfId="0" applyFont="1" applyFill="1" applyBorder="1" applyAlignment="1">
      <alignment horizontal="center"/>
    </xf>
    <xf numFmtId="0" fontId="0" fillId="0" borderId="13" xfId="0" applyFill="1" applyBorder="1" applyAlignment="1">
      <alignment horizontal="center"/>
    </xf>
    <xf numFmtId="0" fontId="0" fillId="0" borderId="13" xfId="0" applyFill="1" applyBorder="1"/>
    <xf numFmtId="3" fontId="0" fillId="0" borderId="33" xfId="0" applyNumberFormat="1" applyFill="1" applyBorder="1"/>
    <xf numFmtId="0" fontId="0" fillId="0" borderId="84" xfId="0" applyBorder="1"/>
    <xf numFmtId="0" fontId="0" fillId="0" borderId="13" xfId="0" applyFill="1" applyBorder="1" applyAlignment="1">
      <alignment horizontal="center" vertical="center"/>
    </xf>
    <xf numFmtId="3" fontId="0" fillId="0" borderId="7" xfId="0" applyNumberFormat="1" applyFill="1" applyBorder="1" applyAlignment="1">
      <alignment vertical="center"/>
    </xf>
    <xf numFmtId="3" fontId="0" fillId="0" borderId="33" xfId="0" applyNumberFormat="1" applyFill="1" applyBorder="1" applyAlignment="1">
      <alignment vertical="center"/>
    </xf>
    <xf numFmtId="0" fontId="19" fillId="0" borderId="13" xfId="0" applyFont="1" applyFill="1" applyBorder="1" applyAlignment="1">
      <alignment horizontal="center"/>
    </xf>
    <xf numFmtId="0" fontId="9" fillId="0" borderId="13" xfId="0" applyFont="1" applyFill="1" applyBorder="1" applyAlignment="1">
      <alignment horizontal="center"/>
    </xf>
    <xf numFmtId="0" fontId="9" fillId="0" borderId="13" xfId="0" applyFont="1" applyFill="1" applyBorder="1" applyAlignment="1">
      <alignment horizontal="center" vertical="center"/>
    </xf>
    <xf numFmtId="0" fontId="9" fillId="0" borderId="7" xfId="0" applyFont="1" applyFill="1" applyBorder="1" applyAlignment="1">
      <alignment vertical="center"/>
    </xf>
    <xf numFmtId="3" fontId="9" fillId="0" borderId="7" xfId="0" applyNumberFormat="1" applyFont="1" applyFill="1" applyBorder="1" applyAlignment="1">
      <alignment vertical="center"/>
    </xf>
    <xf numFmtId="3" fontId="23" fillId="4" borderId="13" xfId="0" applyNumberFormat="1" applyFont="1" applyFill="1" applyBorder="1" applyAlignment="1">
      <alignment horizontal="center" vertical="center" wrapText="1"/>
    </xf>
    <xf numFmtId="3" fontId="23" fillId="4" borderId="7" xfId="0" applyNumberFormat="1" applyFont="1" applyFill="1" applyBorder="1" applyAlignment="1">
      <alignment horizontal="center" vertical="center" wrapText="1"/>
    </xf>
    <xf numFmtId="0" fontId="0" fillId="0" borderId="83" xfId="0" applyBorder="1" applyAlignment="1">
      <alignment horizontal="center"/>
    </xf>
    <xf numFmtId="0" fontId="19" fillId="25" borderId="13" xfId="0" applyFont="1" applyFill="1" applyBorder="1" applyAlignment="1">
      <alignment horizontal="center"/>
    </xf>
    <xf numFmtId="0" fontId="19" fillId="25" borderId="33" xfId="0" applyFont="1" applyFill="1" applyBorder="1"/>
    <xf numFmtId="3" fontId="0" fillId="25" borderId="13" xfId="0" applyNumberFormat="1" applyFill="1" applyBorder="1" applyAlignment="1">
      <alignment horizontal="center"/>
    </xf>
    <xf numFmtId="3" fontId="0" fillId="0" borderId="13" xfId="0" applyNumberFormat="1" applyFill="1" applyBorder="1" applyAlignment="1">
      <alignment horizontal="center"/>
    </xf>
    <xf numFmtId="3" fontId="13" fillId="0" borderId="13" xfId="0" applyNumberFormat="1" applyFont="1" applyFill="1" applyBorder="1" applyAlignment="1">
      <alignment horizontal="center"/>
    </xf>
    <xf numFmtId="0" fontId="0" fillId="25" borderId="13" xfId="0" applyFill="1" applyBorder="1" applyAlignment="1">
      <alignment horizontal="center"/>
    </xf>
    <xf numFmtId="3" fontId="17" fillId="0" borderId="13" xfId="0" applyNumberFormat="1" applyFont="1" applyFill="1" applyBorder="1" applyAlignment="1">
      <alignment horizontal="center" vertical="center" wrapText="1"/>
    </xf>
    <xf numFmtId="3" fontId="24" fillId="0" borderId="13" xfId="0" applyNumberFormat="1" applyFont="1" applyFill="1" applyBorder="1" applyAlignment="1">
      <alignment horizontal="center" vertical="center" wrapText="1"/>
    </xf>
    <xf numFmtId="3" fontId="13" fillId="0" borderId="33" xfId="0" applyNumberFormat="1" applyFont="1" applyFill="1" applyBorder="1"/>
    <xf numFmtId="0" fontId="19" fillId="23" borderId="13" xfId="0" applyFont="1" applyFill="1" applyBorder="1" applyAlignment="1">
      <alignment horizontal="center"/>
    </xf>
    <xf numFmtId="0" fontId="19" fillId="23" borderId="33" xfId="0" applyFont="1" applyFill="1" applyBorder="1"/>
    <xf numFmtId="3" fontId="0" fillId="26" borderId="13" xfId="0" applyNumberFormat="1" applyFill="1" applyBorder="1" applyAlignment="1">
      <alignment horizontal="center"/>
    </xf>
    <xf numFmtId="0" fontId="0" fillId="0" borderId="7" xfId="0" applyFont="1" applyFill="1" applyBorder="1"/>
    <xf numFmtId="0" fontId="19" fillId="28" borderId="13" xfId="0" applyFont="1" applyFill="1" applyBorder="1" applyAlignment="1">
      <alignment horizontal="center"/>
    </xf>
    <xf numFmtId="0" fontId="19" fillId="28" borderId="33" xfId="0" applyFont="1" applyFill="1" applyBorder="1"/>
    <xf numFmtId="3" fontId="0" fillId="28" borderId="13" xfId="0" applyNumberFormat="1" applyFill="1" applyBorder="1" applyAlignment="1">
      <alignment horizontal="center"/>
    </xf>
    <xf numFmtId="0" fontId="0" fillId="28" borderId="33" xfId="0" applyFill="1" applyBorder="1"/>
    <xf numFmtId="0" fontId="0" fillId="28" borderId="13" xfId="0" applyFill="1" applyBorder="1" applyAlignment="1">
      <alignment horizontal="center"/>
    </xf>
    <xf numFmtId="0" fontId="0" fillId="0" borderId="33" xfId="0" applyFill="1" applyBorder="1"/>
    <xf numFmtId="167" fontId="37" fillId="9" borderId="83" xfId="1" applyNumberFormat="1" applyFont="1" applyFill="1" applyBorder="1" applyAlignment="1">
      <alignment horizontal="center" vertical="center" wrapText="1"/>
    </xf>
    <xf numFmtId="0" fontId="34" fillId="19" borderId="84" xfId="0" applyFont="1" applyFill="1" applyBorder="1" applyAlignment="1">
      <alignment horizontal="center" vertical="center"/>
    </xf>
    <xf numFmtId="3" fontId="19" fillId="25" borderId="13" xfId="0" applyNumberFormat="1" applyFont="1" applyFill="1" applyBorder="1" applyAlignment="1">
      <alignment horizontal="center" vertical="center"/>
    </xf>
    <xf numFmtId="0" fontId="19" fillId="0" borderId="33" xfId="0" applyFont="1" applyFill="1" applyBorder="1"/>
    <xf numFmtId="3" fontId="0" fillId="0" borderId="13" xfId="0" applyNumberFormat="1" applyFill="1" applyBorder="1" applyAlignment="1">
      <alignment horizontal="center" vertical="center"/>
    </xf>
    <xf numFmtId="3" fontId="17" fillId="19" borderId="13" xfId="1" applyNumberFormat="1" applyFont="1" applyFill="1" applyBorder="1" applyAlignment="1">
      <alignment horizontal="center" vertical="center" wrapText="1"/>
    </xf>
    <xf numFmtId="3" fontId="26" fillId="7" borderId="13" xfId="0" applyNumberFormat="1" applyFont="1" applyFill="1" applyBorder="1" applyAlignment="1">
      <alignment horizontal="left" vertical="center" wrapText="1"/>
    </xf>
    <xf numFmtId="3" fontId="0" fillId="23" borderId="13" xfId="0" applyNumberFormat="1" applyFill="1" applyBorder="1" applyAlignment="1">
      <alignment horizontal="center" vertical="center"/>
    </xf>
    <xf numFmtId="3" fontId="17" fillId="19" borderId="13" xfId="0" applyNumberFormat="1" applyFont="1" applyFill="1" applyBorder="1" applyAlignment="1">
      <alignment horizontal="center" vertical="center" wrapText="1"/>
    </xf>
    <xf numFmtId="3" fontId="14" fillId="19" borderId="83" xfId="0" applyNumberFormat="1" applyFont="1" applyFill="1" applyBorder="1" applyAlignment="1">
      <alignment horizontal="center" vertical="center"/>
    </xf>
    <xf numFmtId="0" fontId="14" fillId="19" borderId="84" xfId="0" applyFont="1" applyFill="1" applyBorder="1" applyAlignment="1">
      <alignment vertical="center"/>
    </xf>
    <xf numFmtId="3" fontId="14" fillId="19" borderId="84" xfId="0" applyNumberFormat="1" applyFont="1" applyFill="1" applyBorder="1" applyAlignment="1">
      <alignment horizontal="center" vertical="center"/>
    </xf>
    <xf numFmtId="3" fontId="14" fillId="19" borderId="85" xfId="0" applyNumberFormat="1" applyFont="1" applyFill="1" applyBorder="1" applyAlignment="1">
      <alignment horizontal="center" vertical="center"/>
    </xf>
    <xf numFmtId="3" fontId="61" fillId="23" borderId="85" xfId="1" applyNumberFormat="1" applyFont="1" applyFill="1" applyBorder="1" applyAlignment="1">
      <alignment horizontal="center" vertical="center" wrapText="1"/>
    </xf>
    <xf numFmtId="0" fontId="20" fillId="0" borderId="0" xfId="0" applyFont="1" applyAlignment="1">
      <alignment horizontal="center"/>
    </xf>
    <xf numFmtId="0" fontId="20" fillId="0" borderId="0" xfId="0" applyFont="1" applyFill="1" applyAlignment="1">
      <alignment horizontal="center"/>
    </xf>
    <xf numFmtId="0" fontId="20" fillId="0" borderId="0" xfId="0" applyFont="1" applyAlignment="1">
      <alignment horizontal="center" vertical="center"/>
    </xf>
    <xf numFmtId="1" fontId="0" fillId="5" borderId="0" xfId="0" applyNumberFormat="1" applyFill="1" applyBorder="1" applyAlignment="1">
      <alignment horizontal="center" vertical="center" wrapText="1"/>
    </xf>
    <xf numFmtId="1" fontId="0" fillId="5" borderId="19" xfId="0" applyNumberFormat="1" applyFill="1" applyBorder="1" applyAlignment="1">
      <alignment horizontal="center" vertical="center" wrapText="1"/>
    </xf>
    <xf numFmtId="1" fontId="0" fillId="5" borderId="4" xfId="0" applyNumberFormat="1" applyFill="1" applyBorder="1" applyAlignment="1">
      <alignment horizontal="center" vertical="center" wrapText="1"/>
    </xf>
    <xf numFmtId="1" fontId="26" fillId="7" borderId="7" xfId="0" applyNumberFormat="1" applyFont="1" applyFill="1" applyBorder="1" applyAlignment="1">
      <alignment horizontal="left" vertical="center" wrapText="1"/>
    </xf>
    <xf numFmtId="3" fontId="0" fillId="5" borderId="4" xfId="0" applyNumberFormat="1" applyFill="1" applyBorder="1" applyAlignment="1">
      <alignment vertical="center" wrapText="1"/>
    </xf>
    <xf numFmtId="3" fontId="0" fillId="5" borderId="48" xfId="0" applyNumberFormat="1" applyFill="1" applyBorder="1" applyAlignment="1">
      <alignment vertical="center" wrapText="1"/>
    </xf>
    <xf numFmtId="169" fontId="0" fillId="5" borderId="16" xfId="0" applyNumberFormat="1" applyFill="1" applyBorder="1" applyAlignment="1">
      <alignment horizontal="center" vertical="center" wrapText="1"/>
    </xf>
    <xf numFmtId="169" fontId="0" fillId="5" borderId="18" xfId="0" applyNumberFormat="1" applyFill="1" applyBorder="1" applyAlignment="1">
      <alignment horizontal="center" vertical="center" wrapText="1"/>
    </xf>
    <xf numFmtId="169" fontId="0" fillId="5" borderId="4" xfId="0" applyNumberFormat="1" applyFill="1" applyBorder="1" applyAlignment="1">
      <alignment horizontal="center" vertical="center" wrapText="1"/>
    </xf>
    <xf numFmtId="169" fontId="34" fillId="6" borderId="6" xfId="0" applyNumberFormat="1" applyFont="1" applyFill="1" applyBorder="1" applyAlignment="1">
      <alignment horizontal="left" vertical="center" wrapText="1"/>
    </xf>
    <xf numFmtId="169" fontId="13" fillId="0" borderId="7" xfId="0" applyNumberFormat="1" applyFont="1" applyFill="1" applyBorder="1" applyAlignment="1">
      <alignment horizontal="center" vertical="center"/>
    </xf>
    <xf numFmtId="169" fontId="13" fillId="0" borderId="7" xfId="0" applyNumberFormat="1" applyFont="1" applyFill="1" applyBorder="1" applyAlignment="1">
      <alignment horizontal="center" vertical="center" wrapText="1"/>
    </xf>
    <xf numFmtId="169" fontId="14" fillId="4" borderId="7" xfId="0" applyNumberFormat="1" applyFont="1" applyFill="1" applyBorder="1" applyAlignment="1">
      <alignment horizontal="justify" vertical="center" wrapText="1"/>
    </xf>
    <xf numFmtId="169" fontId="60" fillId="7" borderId="7" xfId="0" applyNumberFormat="1" applyFont="1" applyFill="1" applyBorder="1" applyAlignment="1">
      <alignment horizontal="left" vertical="center" wrapText="1"/>
    </xf>
    <xf numFmtId="169" fontId="59" fillId="8" borderId="7" xfId="0" applyNumberFormat="1" applyFont="1" applyFill="1" applyBorder="1" applyAlignment="1">
      <alignment horizontal="left" vertical="center" wrapText="1"/>
    </xf>
    <xf numFmtId="169" fontId="0" fillId="0" borderId="13" xfId="0" applyNumberFormat="1" applyFill="1" applyBorder="1" applyAlignment="1">
      <alignment horizontal="center" vertical="center"/>
    </xf>
    <xf numFmtId="169" fontId="14" fillId="4" borderId="7" xfId="0" applyNumberFormat="1" applyFont="1" applyFill="1" applyBorder="1" applyAlignment="1">
      <alignment horizontal="center" vertical="center" wrapText="1"/>
    </xf>
    <xf numFmtId="169" fontId="14" fillId="9" borderId="86" xfId="1" applyNumberFormat="1" applyFont="1" applyFill="1" applyBorder="1" applyAlignment="1">
      <alignment horizontal="center" wrapText="1"/>
    </xf>
    <xf numFmtId="169" fontId="14" fillId="0" borderId="0" xfId="1" applyNumberFormat="1" applyFont="1" applyBorder="1" applyAlignment="1">
      <alignment wrapText="1"/>
    </xf>
    <xf numFmtId="169" fontId="37" fillId="0" borderId="0" xfId="0" applyNumberFormat="1" applyFont="1" applyAlignment="1">
      <alignment horizontal="center" vertical="center"/>
    </xf>
    <xf numFmtId="169" fontId="34" fillId="0" borderId="0" xfId="0" applyNumberFormat="1" applyFont="1" applyAlignment="1">
      <alignment horizontal="center" vertical="center"/>
    </xf>
    <xf numFmtId="169" fontId="14" fillId="0" borderId="25" xfId="1" applyNumberFormat="1" applyFont="1" applyBorder="1" applyAlignment="1">
      <alignment wrapText="1"/>
    </xf>
    <xf numFmtId="169" fontId="0" fillId="0" borderId="0" xfId="0" applyNumberFormat="1"/>
    <xf numFmtId="169" fontId="33" fillId="5" borderId="16" xfId="0" applyNumberFormat="1" applyFont="1" applyFill="1" applyBorder="1" applyAlignment="1">
      <alignment horizontal="center" vertical="center" wrapText="1"/>
    </xf>
    <xf numFmtId="169" fontId="37" fillId="5" borderId="1" xfId="0" applyNumberFormat="1" applyFont="1" applyFill="1" applyBorder="1" applyAlignment="1">
      <alignment horizontal="center" vertical="center" wrapText="1"/>
    </xf>
    <xf numFmtId="169" fontId="13" fillId="6" borderId="19" xfId="0" applyNumberFormat="1" applyFont="1" applyFill="1" applyBorder="1" applyAlignment="1">
      <alignment horizontal="left" vertical="center" wrapText="1"/>
    </xf>
    <xf numFmtId="169" fontId="34" fillId="6" borderId="2" xfId="0" applyNumberFormat="1" applyFont="1" applyFill="1" applyBorder="1" applyAlignment="1">
      <alignment horizontal="left" vertical="center" wrapText="1"/>
    </xf>
    <xf numFmtId="169" fontId="13" fillId="9" borderId="2" xfId="0" applyNumberFormat="1" applyFont="1" applyFill="1" applyBorder="1" applyAlignment="1">
      <alignment horizontal="justify" vertical="center" wrapText="1"/>
    </xf>
    <xf numFmtId="169" fontId="13" fillId="9" borderId="2" xfId="0" applyNumberFormat="1" applyFont="1" applyFill="1" applyBorder="1" applyAlignment="1">
      <alignment horizontal="left" vertical="center"/>
    </xf>
    <xf numFmtId="169" fontId="34" fillId="23" borderId="2" xfId="0" applyNumberFormat="1" applyFont="1" applyFill="1" applyBorder="1" applyAlignment="1">
      <alignment horizontal="left" vertical="center" wrapText="1"/>
    </xf>
    <xf numFmtId="169" fontId="13" fillId="8" borderId="2" xfId="0" applyNumberFormat="1" applyFont="1" applyFill="1" applyBorder="1" applyAlignment="1">
      <alignment horizontal="left" vertical="center"/>
    </xf>
    <xf numFmtId="169" fontId="14" fillId="4" borderId="2" xfId="0" applyNumberFormat="1" applyFont="1" applyFill="1" applyBorder="1" applyAlignment="1">
      <alignment horizontal="left" vertical="center"/>
    </xf>
    <xf numFmtId="169" fontId="13" fillId="12" borderId="2" xfId="0" applyNumberFormat="1" applyFont="1" applyFill="1" applyBorder="1" applyAlignment="1">
      <alignment horizontal="left" vertical="center" wrapText="1"/>
    </xf>
    <xf numFmtId="169" fontId="59" fillId="12" borderId="2" xfId="0" applyNumberFormat="1" applyFont="1" applyFill="1" applyBorder="1" applyAlignment="1">
      <alignment horizontal="left" vertical="center" wrapText="1"/>
    </xf>
    <xf numFmtId="169" fontId="14" fillId="9" borderId="2" xfId="0" applyNumberFormat="1" applyFont="1" applyFill="1" applyBorder="1" applyAlignment="1">
      <alignment horizontal="left" vertical="center"/>
    </xf>
    <xf numFmtId="169" fontId="14" fillId="4" borderId="2" xfId="0" applyNumberFormat="1" applyFont="1" applyFill="1" applyBorder="1" applyAlignment="1">
      <alignment horizontal="center" vertical="center" wrapText="1"/>
    </xf>
    <xf numFmtId="169" fontId="37" fillId="9" borderId="25" xfId="1" applyNumberFormat="1" applyFont="1" applyFill="1" applyBorder="1" applyAlignment="1">
      <alignment horizontal="center" vertical="center" wrapText="1"/>
    </xf>
    <xf numFmtId="169" fontId="14" fillId="0" borderId="0" xfId="1" applyNumberFormat="1" applyFont="1" applyBorder="1" applyAlignment="1">
      <alignment horizontal="center" vertical="center" wrapText="1"/>
    </xf>
    <xf numFmtId="169" fontId="37" fillId="0" borderId="0" xfId="0" applyNumberFormat="1" applyFont="1" applyBorder="1" applyAlignment="1">
      <alignment horizontal="center" vertical="center"/>
    </xf>
    <xf numFmtId="169" fontId="34" fillId="0" borderId="0" xfId="0" applyNumberFormat="1" applyFont="1" applyBorder="1" applyAlignment="1">
      <alignment horizontal="center" vertical="center"/>
    </xf>
    <xf numFmtId="169" fontId="0" fillId="0" borderId="0" xfId="0" applyNumberFormat="1" applyFill="1" applyBorder="1"/>
    <xf numFmtId="169" fontId="0" fillId="0" borderId="25" xfId="0" applyNumberFormat="1" applyFill="1" applyBorder="1"/>
    <xf numFmtId="169" fontId="0" fillId="0" borderId="0" xfId="0" applyNumberFormat="1" applyFill="1"/>
    <xf numFmtId="169" fontId="0" fillId="0" borderId="0" xfId="0" applyNumberFormat="1" applyBorder="1"/>
    <xf numFmtId="169" fontId="32" fillId="0" borderId="0" xfId="0" applyNumberFormat="1" applyFont="1" applyBorder="1" applyAlignment="1">
      <alignment horizontal="center"/>
    </xf>
    <xf numFmtId="169" fontId="32" fillId="0" borderId="0" xfId="0" applyNumberFormat="1" applyFont="1"/>
    <xf numFmtId="169" fontId="9" fillId="0" borderId="2" xfId="0" applyNumberFormat="1" applyFont="1" applyFill="1" applyBorder="1" applyAlignment="1">
      <alignment horizontal="left" vertical="center"/>
    </xf>
    <xf numFmtId="1" fontId="33" fillId="5" borderId="0" xfId="0" applyNumberFormat="1" applyFont="1" applyFill="1" applyBorder="1" applyAlignment="1">
      <alignment horizontal="center" vertical="center" wrapText="1"/>
    </xf>
    <xf numFmtId="1" fontId="0" fillId="28" borderId="7" xfId="0" applyNumberFormat="1" applyFill="1" applyBorder="1"/>
    <xf numFmtId="1" fontId="14" fillId="0" borderId="0" xfId="1" applyNumberFormat="1" applyFont="1" applyBorder="1" applyAlignment="1">
      <alignment horizontal="center" wrapText="1"/>
    </xf>
    <xf numFmtId="1" fontId="37" fillId="9" borderId="36" xfId="1"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169" fontId="9" fillId="6" borderId="4" xfId="0" applyNumberFormat="1" applyFont="1" applyFill="1" applyBorder="1" applyAlignment="1">
      <alignment horizontal="center" vertical="center" wrapText="1"/>
    </xf>
    <xf numFmtId="169" fontId="18" fillId="6" borderId="2" xfId="0" applyNumberFormat="1" applyFont="1" applyFill="1" applyBorder="1" applyAlignment="1">
      <alignment horizontal="center" vertical="center" wrapText="1"/>
    </xf>
    <xf numFmtId="169" fontId="14" fillId="8" borderId="2" xfId="0" applyNumberFormat="1" applyFont="1" applyFill="1" applyBorder="1" applyAlignment="1">
      <alignment horizontal="left" vertical="center" wrapText="1"/>
    </xf>
    <xf numFmtId="169" fontId="14" fillId="10" borderId="2" xfId="0" applyNumberFormat="1" applyFont="1" applyFill="1" applyBorder="1" applyAlignment="1">
      <alignment horizontal="left" vertical="center" wrapText="1"/>
    </xf>
    <xf numFmtId="169" fontId="18" fillId="13" borderId="2" xfId="0" applyNumberFormat="1" applyFont="1" applyFill="1" applyBorder="1" applyAlignment="1">
      <alignment horizontal="left" vertical="center" wrapText="1"/>
    </xf>
    <xf numFmtId="169" fontId="22" fillId="14" borderId="2" xfId="0" applyNumberFormat="1" applyFont="1" applyFill="1" applyBorder="1" applyAlignment="1">
      <alignment horizontal="left" vertical="center" wrapText="1"/>
    </xf>
    <xf numFmtId="169" fontId="18" fillId="14" borderId="2" xfId="0" applyNumberFormat="1" applyFont="1" applyFill="1" applyBorder="1" applyAlignment="1">
      <alignment horizontal="left" vertical="center" wrapText="1"/>
    </xf>
    <xf numFmtId="169" fontId="18" fillId="24" borderId="2" xfId="0" applyNumberFormat="1" applyFont="1" applyFill="1" applyBorder="1" applyAlignment="1">
      <alignment horizontal="left" vertical="center" wrapText="1"/>
    </xf>
    <xf numFmtId="169" fontId="18" fillId="4" borderId="2" xfId="0" applyNumberFormat="1" applyFont="1" applyFill="1" applyBorder="1" applyAlignment="1">
      <alignment horizontal="justify" vertical="center" wrapText="1"/>
    </xf>
    <xf numFmtId="169" fontId="18" fillId="0" borderId="4" xfId="0" applyNumberFormat="1" applyFont="1" applyFill="1" applyBorder="1" applyAlignment="1">
      <alignment horizontal="justify" vertical="center" wrapText="1"/>
    </xf>
    <xf numFmtId="169" fontId="14" fillId="9" borderId="48" xfId="0" applyNumberFormat="1" applyFont="1" applyFill="1" applyBorder="1" applyAlignment="1">
      <alignment horizontal="justify" vertical="center" wrapText="1"/>
    </xf>
    <xf numFmtId="169" fontId="14" fillId="0" borderId="0" xfId="0" applyNumberFormat="1" applyFont="1" applyFill="1" applyBorder="1" applyAlignment="1">
      <alignment horizontal="justify" vertical="center" wrapText="1"/>
    </xf>
    <xf numFmtId="169" fontId="34" fillId="0" borderId="0" xfId="0" applyNumberFormat="1" applyFont="1" applyBorder="1" applyAlignment="1">
      <alignment horizontal="center" vertical="top"/>
    </xf>
    <xf numFmtId="169" fontId="0" fillId="0" borderId="25" xfId="0" applyNumberFormat="1" applyBorder="1"/>
    <xf numFmtId="169" fontId="9" fillId="0" borderId="2" xfId="0" applyNumberFormat="1" applyFont="1" applyFill="1" applyBorder="1" applyAlignment="1">
      <alignment horizontal="center" vertical="center"/>
    </xf>
    <xf numFmtId="169" fontId="13" fillId="0" borderId="2" xfId="0" applyNumberFormat="1" applyFont="1" applyFill="1" applyBorder="1" applyAlignment="1">
      <alignment horizontal="left" vertical="center"/>
    </xf>
    <xf numFmtId="1" fontId="0" fillId="5" borderId="2" xfId="0" applyNumberFormat="1" applyFill="1" applyBorder="1" applyAlignment="1">
      <alignment horizontal="center" vertical="center" wrapText="1"/>
    </xf>
    <xf numFmtId="1" fontId="17" fillId="25" borderId="14" xfId="0" applyNumberFormat="1" applyFont="1" applyFill="1" applyBorder="1" applyAlignment="1">
      <alignment horizontal="center" vertical="center" wrapText="1"/>
    </xf>
    <xf numFmtId="3" fontId="17" fillId="25" borderId="26" xfId="0" applyNumberFormat="1" applyFont="1" applyFill="1" applyBorder="1" applyAlignment="1">
      <alignment horizontal="center" vertical="center" wrapText="1"/>
    </xf>
    <xf numFmtId="3" fontId="0" fillId="0" borderId="29" xfId="0" applyNumberFormat="1" applyFill="1" applyBorder="1"/>
    <xf numFmtId="3" fontId="22" fillId="0" borderId="7" xfId="0" applyNumberFormat="1" applyFont="1" applyFill="1" applyBorder="1" applyAlignment="1">
      <alignment horizontal="left" vertical="center"/>
    </xf>
    <xf numFmtId="1" fontId="0" fillId="5" borderId="0" xfId="0" applyNumberFormat="1" applyFill="1" applyBorder="1" applyAlignment="1">
      <alignment horizontal="center"/>
    </xf>
    <xf numFmtId="1" fontId="0" fillId="5" borderId="19" xfId="0" applyNumberFormat="1" applyFill="1" applyBorder="1" applyAlignment="1">
      <alignment horizontal="center"/>
    </xf>
    <xf numFmtId="1" fontId="22" fillId="13" borderId="7" xfId="0" applyNumberFormat="1" applyFont="1" applyFill="1" applyBorder="1" applyAlignment="1">
      <alignment horizontal="center" vertical="center"/>
    </xf>
    <xf numFmtId="1" fontId="0" fillId="5" borderId="0" xfId="0" applyNumberFormat="1" applyFill="1" applyBorder="1" applyAlignment="1">
      <alignment horizontal="center" vertical="center"/>
    </xf>
    <xf numFmtId="1" fontId="0" fillId="5" borderId="19" xfId="0" applyNumberFormat="1" applyFill="1" applyBorder="1" applyAlignment="1">
      <alignment horizontal="center" vertical="center"/>
    </xf>
    <xf numFmtId="1" fontId="0" fillId="25" borderId="7" xfId="0" applyNumberFormat="1" applyFill="1" applyBorder="1" applyAlignment="1">
      <alignment horizontal="center" vertical="center"/>
    </xf>
    <xf numFmtId="1" fontId="0" fillId="0" borderId="7"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25" xfId="0" applyNumberFormat="1" applyBorder="1" applyAlignment="1">
      <alignment horizontal="center" vertical="center"/>
    </xf>
    <xf numFmtId="1" fontId="14" fillId="0" borderId="0" xfId="0" applyNumberFormat="1" applyFont="1" applyAlignment="1">
      <alignment horizontal="center" vertical="center"/>
    </xf>
    <xf numFmtId="169" fontId="13" fillId="0" borderId="33" xfId="0" applyNumberFormat="1" applyFont="1" applyFill="1" applyBorder="1" applyAlignment="1">
      <alignment horizontal="center"/>
    </xf>
    <xf numFmtId="1" fontId="0" fillId="18" borderId="0" xfId="0" applyNumberFormat="1" applyFill="1" applyBorder="1"/>
    <xf numFmtId="1" fontId="0" fillId="5" borderId="16" xfId="0" applyNumberFormat="1" applyFill="1" applyBorder="1" applyAlignment="1">
      <alignment horizontal="center"/>
    </xf>
    <xf numFmtId="1" fontId="0" fillId="5" borderId="18" xfId="0" applyNumberFormat="1" applyFill="1" applyBorder="1" applyAlignment="1">
      <alignment horizontal="center"/>
    </xf>
    <xf numFmtId="1" fontId="29" fillId="7" borderId="3" xfId="0" applyNumberFormat="1" applyFont="1" applyFill="1" applyBorder="1" applyAlignment="1">
      <alignment horizontal="left" vertical="center" wrapText="1"/>
    </xf>
    <xf numFmtId="1" fontId="13" fillId="9" borderId="2" xfId="0" applyNumberFormat="1" applyFont="1" applyFill="1" applyBorder="1" applyAlignment="1">
      <alignment horizontal="left" vertical="center"/>
    </xf>
    <xf numFmtId="1" fontId="9" fillId="8" borderId="3" xfId="0" applyNumberFormat="1" applyFont="1" applyFill="1" applyBorder="1" applyAlignment="1">
      <alignment horizontal="left" vertical="center" wrapText="1"/>
    </xf>
    <xf numFmtId="1" fontId="14" fillId="4" borderId="2" xfId="0" applyNumberFormat="1" applyFont="1" applyFill="1" applyBorder="1" applyAlignment="1">
      <alignment horizontal="left" vertical="center"/>
    </xf>
    <xf numFmtId="1" fontId="14" fillId="9" borderId="2" xfId="0" applyNumberFormat="1" applyFont="1" applyFill="1" applyBorder="1" applyAlignment="1">
      <alignment horizontal="justify" vertical="center" wrapText="1"/>
    </xf>
    <xf numFmtId="1" fontId="14" fillId="0" borderId="0" xfId="0" applyNumberFormat="1" applyFont="1" applyFill="1" applyBorder="1" applyAlignment="1">
      <alignment horizontal="justify" vertical="center" wrapText="1"/>
    </xf>
    <xf numFmtId="1" fontId="37" fillId="0" borderId="0" xfId="0" applyNumberFormat="1" applyFont="1" applyBorder="1" applyAlignment="1">
      <alignment horizontal="center" vertical="center"/>
    </xf>
    <xf numFmtId="1" fontId="34" fillId="0" borderId="0" xfId="0" applyNumberFormat="1" applyFont="1" applyBorder="1" applyAlignment="1">
      <alignment horizontal="center" vertical="top"/>
    </xf>
    <xf numFmtId="1" fontId="32" fillId="0" borderId="25" xfId="0" applyNumberFormat="1" applyFont="1" applyBorder="1" applyAlignment="1">
      <alignment horizontal="center"/>
    </xf>
    <xf numFmtId="1" fontId="29" fillId="0" borderId="3" xfId="0" applyNumberFormat="1" applyFont="1" applyFill="1" applyBorder="1" applyAlignment="1">
      <alignment horizontal="center" vertical="center"/>
    </xf>
    <xf numFmtId="1" fontId="14" fillId="9" borderId="3" xfId="0" applyNumberFormat="1" applyFont="1" applyFill="1" applyBorder="1" applyAlignment="1">
      <alignment horizontal="center" vertical="center" wrapText="1"/>
    </xf>
    <xf numFmtId="1" fontId="9" fillId="23"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xf>
    <xf numFmtId="1" fontId="14" fillId="4" borderId="3"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1" fontId="37" fillId="0" borderId="0" xfId="1" applyNumberFormat="1" applyFont="1" applyBorder="1" applyAlignment="1">
      <alignment horizontal="center" wrapText="1"/>
    </xf>
    <xf numFmtId="1" fontId="9" fillId="0" borderId="3" xfId="0" applyNumberFormat="1" applyFont="1" applyFill="1" applyBorder="1" applyAlignment="1">
      <alignment horizontal="left" vertical="center"/>
    </xf>
    <xf numFmtId="1" fontId="9" fillId="15" borderId="7" xfId="0" applyNumberFormat="1" applyFont="1" applyFill="1" applyBorder="1" applyAlignment="1">
      <alignment horizontal="center" vertical="center"/>
    </xf>
    <xf numFmtId="0" fontId="9" fillId="15" borderId="7" xfId="0" applyFont="1" applyFill="1" applyBorder="1" applyAlignment="1">
      <alignment horizontal="center" vertical="center"/>
    </xf>
    <xf numFmtId="1" fontId="17" fillId="20" borderId="14" xfId="0" applyNumberFormat="1" applyFont="1" applyFill="1" applyBorder="1" applyAlignment="1">
      <alignment horizontal="center" vertical="center" wrapText="1"/>
    </xf>
    <xf numFmtId="0" fontId="34" fillId="20" borderId="13" xfId="0" applyFont="1" applyFill="1" applyBorder="1" applyAlignment="1">
      <alignment horizontal="center"/>
    </xf>
    <xf numFmtId="3" fontId="34" fillId="20" borderId="7" xfId="0" applyNumberFormat="1" applyFont="1" applyFill="1" applyBorder="1" applyAlignment="1">
      <alignment horizontal="right"/>
    </xf>
    <xf numFmtId="0" fontId="34" fillId="20" borderId="33" xfId="0" applyFont="1" applyFill="1" applyBorder="1"/>
    <xf numFmtId="1" fontId="0" fillId="3" borderId="0" xfId="0" applyNumberFormat="1" applyFill="1" applyAlignment="1">
      <alignment horizontal="center" vertical="center" wrapText="1"/>
    </xf>
    <xf numFmtId="1" fontId="0" fillId="3" borderId="0" xfId="0" applyNumberFormat="1" applyFill="1" applyBorder="1" applyAlignment="1">
      <alignment horizontal="center" vertical="center" wrapText="1"/>
    </xf>
    <xf numFmtId="1" fontId="17" fillId="5" borderId="81" xfId="0" applyNumberFormat="1" applyFont="1" applyFill="1" applyBorder="1" applyAlignment="1">
      <alignment horizontal="center" vertical="center" wrapText="1"/>
    </xf>
    <xf numFmtId="1" fontId="14" fillId="25" borderId="7" xfId="0" applyNumberFormat="1" applyFont="1" applyFill="1" applyBorder="1" applyAlignment="1">
      <alignment horizontal="center" vertical="center"/>
    </xf>
    <xf numFmtId="1" fontId="14" fillId="19" borderId="7" xfId="0" applyNumberFormat="1" applyFont="1" applyFill="1" applyBorder="1" applyAlignment="1">
      <alignment horizontal="center" vertical="center"/>
    </xf>
    <xf numFmtId="1" fontId="19" fillId="23" borderId="7" xfId="0" applyNumberFormat="1" applyFont="1" applyFill="1" applyBorder="1" applyAlignment="1">
      <alignment horizontal="center" vertical="center"/>
    </xf>
    <xf numFmtId="1" fontId="0" fillId="19" borderId="7" xfId="0" applyNumberFormat="1" applyFill="1" applyBorder="1" applyAlignment="1">
      <alignment horizontal="center" vertical="center"/>
    </xf>
    <xf numFmtId="1" fontId="14" fillId="19" borderId="84" xfId="0" applyNumberFormat="1" applyFont="1" applyFill="1" applyBorder="1" applyAlignment="1">
      <alignment horizontal="center" vertical="center"/>
    </xf>
    <xf numFmtId="1" fontId="26" fillId="7" borderId="7" xfId="0" applyNumberFormat="1" applyFont="1" applyFill="1" applyBorder="1" applyAlignment="1">
      <alignment horizontal="center" vertical="center" wrapText="1"/>
    </xf>
    <xf numFmtId="1" fontId="23" fillId="5" borderId="81" xfId="0" applyNumberFormat="1" applyFont="1" applyFill="1" applyBorder="1" applyAlignment="1">
      <alignment horizontal="center" vertical="center" wrapText="1"/>
    </xf>
    <xf numFmtId="1" fontId="19" fillId="25" borderId="7" xfId="0" applyNumberFormat="1" applyFont="1" applyFill="1" applyBorder="1" applyAlignment="1">
      <alignment horizontal="center"/>
    </xf>
    <xf numFmtId="1" fontId="0" fillId="19" borderId="7" xfId="0" applyNumberFormat="1" applyFill="1" applyBorder="1" applyAlignment="1">
      <alignment horizontal="center"/>
    </xf>
    <xf numFmtId="1" fontId="0" fillId="25" borderId="7" xfId="0" applyNumberFormat="1" applyFill="1" applyBorder="1" applyAlignment="1">
      <alignment horizontal="center"/>
    </xf>
    <xf numFmtId="1" fontId="19" fillId="28" borderId="7" xfId="0" applyNumberFormat="1" applyFont="1" applyFill="1" applyBorder="1" applyAlignment="1">
      <alignment horizontal="center"/>
    </xf>
    <xf numFmtId="1" fontId="0" fillId="28" borderId="7" xfId="0" applyNumberFormat="1" applyFill="1" applyBorder="1" applyAlignment="1">
      <alignment horizontal="center"/>
    </xf>
    <xf numFmtId="1" fontId="34" fillId="19" borderId="84" xfId="0" applyNumberFormat="1" applyFont="1" applyFill="1" applyBorder="1" applyAlignment="1">
      <alignment horizontal="center" vertical="center"/>
    </xf>
    <xf numFmtId="1" fontId="0" fillId="5" borderId="2" xfId="0" applyNumberFormat="1" applyFill="1" applyBorder="1" applyAlignment="1">
      <alignment horizontal="center"/>
    </xf>
    <xf numFmtId="1" fontId="22" fillId="0" borderId="7" xfId="0" applyNumberFormat="1" applyFont="1" applyFill="1" applyBorder="1" applyAlignment="1">
      <alignment horizontal="center" vertical="center"/>
    </xf>
    <xf numFmtId="49" fontId="13" fillId="0" borderId="7" xfId="0" applyNumberFormat="1" applyFont="1" applyFill="1" applyBorder="1" applyAlignment="1">
      <alignment horizontal="center"/>
    </xf>
    <xf numFmtId="1" fontId="19" fillId="0" borderId="7" xfId="0" applyNumberFormat="1" applyFont="1" applyFill="1" applyBorder="1"/>
    <xf numFmtId="1" fontId="0" fillId="0" borderId="84" xfId="0" applyNumberFormat="1" applyBorder="1"/>
    <xf numFmtId="1" fontId="0" fillId="0" borderId="0" xfId="0" applyNumberFormat="1" applyFill="1"/>
    <xf numFmtId="1" fontId="0" fillId="0" borderId="0" xfId="0" applyNumberFormat="1" applyAlignment="1">
      <alignment vertical="center"/>
    </xf>
    <xf numFmtId="1" fontId="9" fillId="15" borderId="23" xfId="0" applyNumberFormat="1" applyFont="1" applyFill="1" applyBorder="1" applyAlignment="1">
      <alignment horizontal="center" vertical="center"/>
    </xf>
    <xf numFmtId="1" fontId="34" fillId="0" borderId="0" xfId="0" applyNumberFormat="1" applyFont="1"/>
    <xf numFmtId="1" fontId="17" fillId="20" borderId="50" xfId="0" applyNumberFormat="1" applyFont="1" applyFill="1" applyBorder="1" applyAlignment="1">
      <alignment horizontal="center" vertical="center" wrapText="1"/>
    </xf>
    <xf numFmtId="1" fontId="34" fillId="0" borderId="0" xfId="0" applyNumberFormat="1" applyFont="1" applyFill="1" applyAlignment="1">
      <alignment horizontal="center"/>
    </xf>
    <xf numFmtId="1" fontId="34" fillId="0" borderId="7" xfId="0" applyNumberFormat="1" applyFont="1" applyFill="1" applyBorder="1" applyAlignment="1">
      <alignment horizontal="center"/>
    </xf>
    <xf numFmtId="1" fontId="34" fillId="20" borderId="7" xfId="0" applyNumberFormat="1" applyFont="1" applyFill="1" applyBorder="1" applyAlignment="1">
      <alignment horizontal="center"/>
    </xf>
    <xf numFmtId="1" fontId="34" fillId="0" borderId="84" xfId="0" applyNumberFormat="1" applyFont="1" applyFill="1" applyBorder="1" applyAlignment="1">
      <alignment horizontal="center"/>
    </xf>
    <xf numFmtId="1" fontId="34" fillId="16" borderId="0" xfId="0" applyNumberFormat="1" applyFont="1" applyFill="1" applyAlignment="1">
      <alignment horizontal="center"/>
    </xf>
    <xf numFmtId="1" fontId="24" fillId="4" borderId="7" xfId="0" applyNumberFormat="1" applyFont="1" applyFill="1" applyBorder="1" applyAlignment="1">
      <alignment horizontal="center" vertical="center" wrapText="1"/>
    </xf>
    <xf numFmtId="1" fontId="34" fillId="5" borderId="81" xfId="0" applyNumberFormat="1" applyFont="1" applyFill="1" applyBorder="1" applyAlignment="1">
      <alignment horizontal="center" vertical="center" wrapText="1"/>
    </xf>
    <xf numFmtId="167" fontId="14"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4" fillId="0" borderId="0" xfId="0" applyNumberFormat="1" applyFont="1" applyFill="1"/>
    <xf numFmtId="3" fontId="34" fillId="0" borderId="0" xfId="0" applyNumberFormat="1" applyFont="1" applyAlignment="1"/>
    <xf numFmtId="3" fontId="34" fillId="0" borderId="7" xfId="0" applyNumberFormat="1" applyFont="1" applyFill="1" applyBorder="1"/>
    <xf numFmtId="3" fontId="37" fillId="0" borderId="7" xfId="0" applyNumberFormat="1" applyFont="1" applyFill="1" applyBorder="1"/>
    <xf numFmtId="3" fontId="34" fillId="20" borderId="7" xfId="0" applyNumberFormat="1" applyFont="1" applyFill="1" applyBorder="1"/>
    <xf numFmtId="3" fontId="34" fillId="0" borderId="84" xfId="0" applyNumberFormat="1" applyFont="1" applyFill="1" applyBorder="1"/>
    <xf numFmtId="3" fontId="34" fillId="16" borderId="0" xfId="0" applyNumberFormat="1" applyFont="1" applyFill="1"/>
    <xf numFmtId="3" fontId="34" fillId="0" borderId="0" xfId="0" applyNumberFormat="1" applyFont="1" applyAlignment="1">
      <alignment horizontal="center"/>
    </xf>
    <xf numFmtId="1" fontId="0" fillId="0" borderId="0" xfId="0" applyNumberFormat="1" applyAlignment="1">
      <alignment horizontal="left"/>
    </xf>
    <xf numFmtId="1" fontId="23" fillId="5" borderId="81" xfId="0" applyNumberFormat="1" applyFont="1" applyFill="1" applyBorder="1" applyAlignment="1">
      <alignment horizontal="left" vertical="center" wrapText="1"/>
    </xf>
    <xf numFmtId="1" fontId="13" fillId="0" borderId="7" xfId="0" applyNumberFormat="1" applyFont="1" applyFill="1" applyBorder="1" applyAlignment="1">
      <alignment horizontal="left" vertical="center"/>
    </xf>
    <xf numFmtId="1" fontId="17" fillId="9" borderId="7" xfId="0" applyNumberFormat="1" applyFont="1" applyFill="1" applyBorder="1" applyAlignment="1">
      <alignment horizontal="left" vertical="center" wrapText="1"/>
    </xf>
    <xf numFmtId="1" fontId="13" fillId="0" borderId="7" xfId="0" applyNumberFormat="1" applyFont="1" applyFill="1" applyBorder="1" applyAlignment="1">
      <alignment horizontal="left"/>
    </xf>
    <xf numFmtId="1" fontId="17" fillId="4" borderId="7" xfId="0" applyNumberFormat="1" applyFont="1" applyFill="1" applyBorder="1" applyAlignment="1">
      <alignment horizontal="left" vertical="center" wrapText="1"/>
    </xf>
    <xf numFmtId="1" fontId="0" fillId="0" borderId="7" xfId="0" applyNumberFormat="1" applyFill="1" applyBorder="1" applyAlignment="1">
      <alignment horizontal="left"/>
    </xf>
    <xf numFmtId="1" fontId="0" fillId="0" borderId="0" xfId="0" applyNumberFormat="1" applyAlignment="1">
      <alignment horizontal="left" vertical="center"/>
    </xf>
    <xf numFmtId="1" fontId="34" fillId="0" borderId="0" xfId="0" applyNumberFormat="1" applyFont="1" applyAlignment="1">
      <alignment horizontal="left"/>
    </xf>
    <xf numFmtId="169" fontId="14" fillId="27" borderId="3" xfId="0" applyNumberFormat="1" applyFont="1" applyFill="1" applyBorder="1" applyAlignment="1">
      <alignment horizontal="center" vertical="center" wrapText="1"/>
    </xf>
    <xf numFmtId="1" fontId="17" fillId="27" borderId="7" xfId="0" applyNumberFormat="1" applyFont="1" applyFill="1" applyBorder="1" applyAlignment="1">
      <alignment horizontal="center" vertical="center" wrapText="1"/>
    </xf>
    <xf numFmtId="3" fontId="17" fillId="27" borderId="29" xfId="0" applyNumberFormat="1" applyFont="1" applyFill="1" applyBorder="1" applyAlignment="1">
      <alignment horizontal="center" vertical="center" wrapText="1"/>
    </xf>
    <xf numFmtId="3" fontId="17" fillId="27" borderId="33" xfId="0" applyNumberFormat="1" applyFont="1" applyFill="1" applyBorder="1" applyAlignment="1">
      <alignment horizontal="center" vertical="center" wrapText="1"/>
    </xf>
    <xf numFmtId="3" fontId="17" fillId="27" borderId="2" xfId="0" applyNumberFormat="1" applyFont="1" applyFill="1" applyBorder="1" applyAlignment="1">
      <alignment horizontal="center" vertical="center" wrapText="1"/>
    </xf>
    <xf numFmtId="3" fontId="0" fillId="27" borderId="33" xfId="0" applyNumberFormat="1" applyFill="1" applyBorder="1" applyAlignment="1">
      <alignment horizontal="center" vertical="center"/>
    </xf>
    <xf numFmtId="3" fontId="0" fillId="27" borderId="55" xfId="0" applyNumberFormat="1" applyFill="1" applyBorder="1" applyAlignment="1">
      <alignment horizontal="center" vertical="center"/>
    </xf>
    <xf numFmtId="0" fontId="0" fillId="27" borderId="0" xfId="0" applyFill="1"/>
    <xf numFmtId="0" fontId="0" fillId="27" borderId="13" xfId="0" applyFill="1" applyBorder="1" applyAlignment="1">
      <alignment horizontal="center"/>
    </xf>
    <xf numFmtId="0" fontId="0" fillId="27" borderId="7" xfId="0" applyFill="1" applyBorder="1"/>
    <xf numFmtId="1" fontId="0" fillId="27" borderId="7" xfId="0" applyNumberFormat="1" applyFill="1" applyBorder="1"/>
    <xf numFmtId="3" fontId="0" fillId="27" borderId="7" xfId="0" applyNumberFormat="1" applyFill="1" applyBorder="1"/>
    <xf numFmtId="3" fontId="0" fillId="27" borderId="33" xfId="0" applyNumberFormat="1" applyFill="1" applyBorder="1"/>
    <xf numFmtId="3" fontId="29" fillId="0" borderId="3" xfId="0" applyNumberFormat="1" applyFont="1" applyFill="1" applyBorder="1" applyAlignment="1">
      <alignment horizontal="right" vertical="center"/>
    </xf>
    <xf numFmtId="0" fontId="62" fillId="64" borderId="0" xfId="0" applyFont="1" applyFill="1" applyAlignment="1">
      <alignment horizontal="center" vertical="center"/>
    </xf>
    <xf numFmtId="0" fontId="24" fillId="64" borderId="0" xfId="0" applyFont="1" applyFill="1" applyAlignment="1">
      <alignment vertical="center"/>
    </xf>
    <xf numFmtId="0" fontId="0" fillId="64" borderId="1" xfId="0" applyFill="1" applyBorder="1" applyAlignment="1">
      <alignment vertical="center" wrapText="1"/>
    </xf>
    <xf numFmtId="3" fontId="0" fillId="64" borderId="1" xfId="0" applyNumberFormat="1" applyFill="1" applyBorder="1" applyAlignment="1">
      <alignment vertical="center"/>
    </xf>
    <xf numFmtId="10" fontId="24" fillId="64" borderId="31" xfId="0" applyNumberFormat="1" applyFont="1" applyFill="1" applyBorder="1" applyAlignment="1">
      <alignment horizontal="left" vertical="center"/>
    </xf>
    <xf numFmtId="9" fontId="24" fillId="64" borderId="1" xfId="0" applyNumberFormat="1" applyFont="1" applyFill="1" applyBorder="1" applyAlignment="1">
      <alignment horizontal="center" vertical="center"/>
    </xf>
    <xf numFmtId="2" fontId="24" fillId="64" borderId="1" xfId="0" applyNumberFormat="1" applyFont="1" applyFill="1" applyBorder="1" applyAlignment="1">
      <alignment horizontal="center" vertical="center"/>
    </xf>
    <xf numFmtId="10" fontId="24" fillId="64" borderId="1" xfId="0" applyNumberFormat="1" applyFont="1" applyFill="1" applyBorder="1" applyAlignment="1">
      <alignment horizontal="left" vertical="center"/>
    </xf>
    <xf numFmtId="10" fontId="24" fillId="64" borderId="1" xfId="0" applyNumberFormat="1" applyFont="1" applyFill="1" applyBorder="1" applyAlignment="1">
      <alignment vertical="center"/>
    </xf>
    <xf numFmtId="0" fontId="0" fillId="64" borderId="1" xfId="0" applyFill="1" applyBorder="1" applyAlignment="1">
      <alignment vertical="center"/>
    </xf>
    <xf numFmtId="0" fontId="17" fillId="62" borderId="38" xfId="0" applyFont="1" applyFill="1" applyBorder="1" applyAlignment="1">
      <alignment horizontal="center" vertical="center"/>
    </xf>
    <xf numFmtId="3" fontId="17" fillId="62" borderId="38" xfId="0" applyNumberFormat="1" applyFont="1" applyFill="1" applyBorder="1" applyAlignment="1">
      <alignment horizontal="center" vertical="center"/>
    </xf>
    <xf numFmtId="173" fontId="17" fillId="62" borderId="38" xfId="0" applyNumberFormat="1" applyFont="1" applyFill="1" applyBorder="1" applyAlignment="1">
      <alignment horizontal="center" vertical="center"/>
    </xf>
    <xf numFmtId="10" fontId="24" fillId="62" borderId="31" xfId="0" applyNumberFormat="1" applyFont="1" applyFill="1" applyBorder="1" applyAlignment="1">
      <alignment horizontal="left" vertical="center"/>
    </xf>
    <xf numFmtId="9" fontId="24" fillId="62" borderId="1" xfId="0" applyNumberFormat="1" applyFont="1" applyFill="1" applyBorder="1" applyAlignment="1">
      <alignment horizontal="center" vertical="center"/>
    </xf>
    <xf numFmtId="2" fontId="24" fillId="62" borderId="1" xfId="0" applyNumberFormat="1" applyFont="1" applyFill="1" applyBorder="1" applyAlignment="1">
      <alignment horizontal="center" vertical="center"/>
    </xf>
    <xf numFmtId="10" fontId="24" fillId="62" borderId="1" xfId="0" applyNumberFormat="1" applyFont="1" applyFill="1" applyBorder="1" applyAlignment="1">
      <alignment horizontal="left" vertical="center"/>
    </xf>
    <xf numFmtId="10" fontId="24" fillId="62" borderId="1" xfId="0" applyNumberFormat="1" applyFont="1" applyFill="1" applyBorder="1" applyAlignment="1">
      <alignment vertical="center"/>
    </xf>
    <xf numFmtId="0" fontId="0" fillId="64" borderId="0" xfId="0" applyFill="1" applyBorder="1" applyAlignment="1">
      <alignment vertical="center" wrapText="1"/>
    </xf>
    <xf numFmtId="3" fontId="0" fillId="64" borderId="0" xfId="0" applyNumberFormat="1" applyFill="1" applyBorder="1" applyAlignment="1">
      <alignment vertical="center"/>
    </xf>
    <xf numFmtId="10" fontId="24" fillId="64" borderId="0" xfId="0" applyNumberFormat="1" applyFont="1" applyFill="1" applyBorder="1" applyAlignment="1">
      <alignment horizontal="left" vertical="center"/>
    </xf>
    <xf numFmtId="9" fontId="24" fillId="64" borderId="0" xfId="0" applyNumberFormat="1" applyFont="1" applyFill="1" applyBorder="1" applyAlignment="1">
      <alignment horizontal="center" vertical="center"/>
    </xf>
    <xf numFmtId="2" fontId="24" fillId="64" borderId="0" xfId="0" applyNumberFormat="1" applyFont="1" applyFill="1" applyBorder="1" applyAlignment="1">
      <alignment horizontal="center" vertical="center"/>
    </xf>
    <xf numFmtId="10" fontId="24" fillId="64" borderId="0" xfId="0" applyNumberFormat="1" applyFont="1" applyFill="1" applyBorder="1" applyAlignment="1">
      <alignment vertical="center"/>
    </xf>
    <xf numFmtId="10" fontId="24" fillId="64" borderId="31" xfId="0" applyNumberFormat="1" applyFont="1" applyFill="1" applyBorder="1" applyAlignment="1">
      <alignment horizontal="right" vertical="center"/>
    </xf>
    <xf numFmtId="10" fontId="24" fillId="64" borderId="1" xfId="0" applyNumberFormat="1" applyFont="1" applyFill="1" applyBorder="1" applyAlignment="1">
      <alignment horizontal="right" vertical="center"/>
    </xf>
    <xf numFmtId="10" fontId="24" fillId="62" borderId="31" xfId="0" applyNumberFormat="1" applyFont="1" applyFill="1" applyBorder="1" applyAlignment="1">
      <alignment horizontal="right" vertical="center"/>
    </xf>
    <xf numFmtId="10" fontId="24" fillId="62" borderId="1" xfId="0" applyNumberFormat="1" applyFont="1" applyFill="1" applyBorder="1" applyAlignment="1">
      <alignment horizontal="right" vertical="center"/>
    </xf>
    <xf numFmtId="10" fontId="24" fillId="20" borderId="31" xfId="0" applyNumberFormat="1" applyFont="1" applyFill="1" applyBorder="1" applyAlignment="1">
      <alignment horizontal="right" vertical="center"/>
    </xf>
    <xf numFmtId="9" fontId="24" fillId="20" borderId="1" xfId="0" applyNumberFormat="1" applyFont="1" applyFill="1" applyBorder="1" applyAlignment="1">
      <alignment horizontal="center" vertical="center"/>
    </xf>
    <xf numFmtId="2" fontId="24" fillId="20" borderId="1" xfId="0" applyNumberFormat="1" applyFont="1" applyFill="1" applyBorder="1" applyAlignment="1">
      <alignment horizontal="center" vertical="center"/>
    </xf>
    <xf numFmtId="10" fontId="24" fillId="20" borderId="1" xfId="0" applyNumberFormat="1" applyFont="1" applyFill="1" applyBorder="1" applyAlignment="1">
      <alignment horizontal="right" vertical="center"/>
    </xf>
    <xf numFmtId="10" fontId="24" fillId="20" borderId="1" xfId="0" applyNumberFormat="1" applyFont="1" applyFill="1" applyBorder="1" applyAlignment="1">
      <alignment vertical="center"/>
    </xf>
    <xf numFmtId="3" fontId="0" fillId="64" borderId="1" xfId="0" applyNumberFormat="1" applyFill="1" applyBorder="1" applyAlignment="1">
      <alignment vertical="center" wrapText="1"/>
    </xf>
    <xf numFmtId="3" fontId="0" fillId="64" borderId="38" xfId="0" applyNumberFormat="1" applyFill="1" applyBorder="1" applyAlignment="1">
      <alignment vertical="center"/>
    </xf>
    <xf numFmtId="10" fontId="24" fillId="62" borderId="88" xfId="0" applyNumberFormat="1" applyFont="1" applyFill="1" applyBorder="1" applyAlignment="1">
      <alignment horizontal="right" vertical="center"/>
    </xf>
    <xf numFmtId="0" fontId="24" fillId="0" borderId="0" xfId="0" applyFont="1" applyFill="1" applyAlignment="1">
      <alignment vertical="center"/>
    </xf>
    <xf numFmtId="0" fontId="17" fillId="67" borderId="1" xfId="0" applyFont="1" applyFill="1" applyBorder="1" applyAlignment="1">
      <alignment horizontal="center" vertical="center"/>
    </xf>
    <xf numFmtId="0" fontId="24" fillId="0" borderId="1" xfId="0" applyFont="1" applyFill="1" applyBorder="1" applyAlignment="1">
      <alignment vertical="center"/>
    </xf>
    <xf numFmtId="168" fontId="24" fillId="0" borderId="1" xfId="0" applyNumberFormat="1" applyFont="1" applyFill="1" applyBorder="1" applyAlignment="1">
      <alignment vertical="center"/>
    </xf>
    <xf numFmtId="167" fontId="24" fillId="0" borderId="1" xfId="0" applyNumberFormat="1" applyFont="1" applyFill="1" applyBorder="1" applyAlignment="1">
      <alignment vertical="center"/>
    </xf>
    <xf numFmtId="0" fontId="17" fillId="62" borderId="1" xfId="0" applyFont="1" applyFill="1" applyBorder="1" applyAlignment="1">
      <alignment horizontal="center" vertical="center"/>
    </xf>
    <xf numFmtId="168" fontId="17" fillId="62" borderId="1" xfId="0" applyNumberFormat="1" applyFont="1" applyFill="1" applyBorder="1" applyAlignment="1">
      <alignment vertical="center"/>
    </xf>
    <xf numFmtId="168" fontId="0" fillId="0" borderId="0" xfId="0" applyNumberFormat="1" applyAlignment="1">
      <alignment vertical="center"/>
    </xf>
    <xf numFmtId="0" fontId="24" fillId="0" borderId="1" xfId="0" applyFont="1" applyBorder="1" applyAlignment="1">
      <alignment horizontal="left" vertical="center" wrapText="1"/>
    </xf>
    <xf numFmtId="168" fontId="17" fillId="64" borderId="1" xfId="0" applyNumberFormat="1" applyFont="1" applyFill="1" applyBorder="1" applyAlignment="1">
      <alignment vertical="center"/>
    </xf>
    <xf numFmtId="0" fontId="17" fillId="0" borderId="0" xfId="0" applyFont="1" applyFill="1" applyBorder="1" applyAlignment="1">
      <alignment vertical="center"/>
    </xf>
    <xf numFmtId="168" fontId="17" fillId="0" borderId="0" xfId="0" applyNumberFormat="1" applyFont="1" applyFill="1" applyBorder="1" applyAlignment="1">
      <alignment vertical="center"/>
    </xf>
    <xf numFmtId="10" fontId="17" fillId="0" borderId="0" xfId="0" applyNumberFormat="1" applyFont="1" applyFill="1" applyBorder="1" applyAlignment="1">
      <alignment horizontal="right" vertical="center"/>
    </xf>
    <xf numFmtId="0" fontId="17" fillId="64" borderId="1" xfId="0" applyFont="1" applyFill="1" applyBorder="1" applyAlignment="1">
      <alignment horizontal="left" vertical="center" wrapText="1"/>
    </xf>
    <xf numFmtId="168" fontId="14" fillId="64" borderId="1" xfId="0" applyNumberFormat="1" applyFont="1" applyFill="1" applyBorder="1" applyAlignment="1">
      <alignment vertical="center"/>
    </xf>
    <xf numFmtId="3" fontId="14" fillId="25" borderId="3" xfId="0" applyNumberFormat="1" applyFont="1" applyFill="1" applyBorder="1" applyAlignment="1">
      <alignment horizontal="center" vertical="center" wrapText="1"/>
    </xf>
    <xf numFmtId="3" fontId="17" fillId="25" borderId="33" xfId="0" applyNumberFormat="1" applyFont="1" applyFill="1" applyBorder="1" applyAlignment="1">
      <alignment horizontal="center" vertical="center" wrapText="1"/>
    </xf>
    <xf numFmtId="3" fontId="17" fillId="25" borderId="2" xfId="0" applyNumberFormat="1" applyFont="1" applyFill="1" applyBorder="1" applyAlignment="1">
      <alignment horizontal="center" vertical="center" wrapText="1"/>
    </xf>
    <xf numFmtId="3" fontId="17" fillId="25" borderId="13" xfId="0" applyNumberFormat="1" applyFont="1" applyFill="1" applyBorder="1" applyAlignment="1">
      <alignment horizontal="center" vertical="center" wrapText="1"/>
    </xf>
    <xf numFmtId="3" fontId="17" fillId="25" borderId="7" xfId="0" applyNumberFormat="1" applyFont="1" applyFill="1" applyBorder="1" applyAlignment="1">
      <alignment horizontal="center" vertical="center" wrapText="1"/>
    </xf>
    <xf numFmtId="0" fontId="63" fillId="65" borderId="52" xfId="0" applyFont="1" applyFill="1" applyBorder="1" applyAlignment="1">
      <alignment horizontal="center" vertical="center" wrapText="1"/>
    </xf>
    <xf numFmtId="0" fontId="63" fillId="65" borderId="1" xfId="0" applyFont="1" applyFill="1" applyBorder="1" applyAlignment="1">
      <alignment horizontal="center" vertical="center" wrapText="1"/>
    </xf>
    <xf numFmtId="0" fontId="17" fillId="25" borderId="1" xfId="0" applyFont="1" applyFill="1" applyBorder="1" applyAlignment="1">
      <alignment horizontal="center" vertical="center" wrapText="1"/>
    </xf>
    <xf numFmtId="0" fontId="13" fillId="64" borderId="38" xfId="0" applyFont="1" applyFill="1" applyBorder="1" applyAlignment="1">
      <alignment vertical="center" wrapText="1"/>
    </xf>
    <xf numFmtId="0" fontId="13" fillId="64" borderId="1" xfId="0" applyFont="1" applyFill="1" applyBorder="1" applyAlignment="1">
      <alignment vertical="center" wrapText="1"/>
    </xf>
    <xf numFmtId="3" fontId="0" fillId="20" borderId="1" xfId="0" applyNumberFormat="1" applyFill="1" applyBorder="1" applyAlignment="1">
      <alignment horizontal="center" vertical="center"/>
    </xf>
    <xf numFmtId="0" fontId="14" fillId="20" borderId="1" xfId="0" applyFont="1" applyFill="1" applyBorder="1" applyAlignment="1">
      <alignment horizontal="center" vertical="center" wrapText="1"/>
    </xf>
    <xf numFmtId="3" fontId="14" fillId="20" borderId="1" xfId="0" applyNumberFormat="1" applyFont="1" applyFill="1" applyBorder="1" applyAlignment="1">
      <alignment horizontal="center" vertical="center"/>
    </xf>
    <xf numFmtId="0" fontId="17" fillId="67" borderId="1" xfId="0" applyFont="1" applyFill="1" applyBorder="1" applyAlignment="1">
      <alignment horizontal="center" vertical="center"/>
    </xf>
    <xf numFmtId="0" fontId="24" fillId="0" borderId="33" xfId="0" applyFont="1" applyFill="1" applyBorder="1" applyAlignment="1">
      <alignment horizontal="center" vertical="center"/>
    </xf>
    <xf numFmtId="169" fontId="13" fillId="0" borderId="33" xfId="0" applyNumberFormat="1" applyFont="1" applyFill="1" applyBorder="1" applyAlignment="1">
      <alignment horizontal="left"/>
    </xf>
    <xf numFmtId="3" fontId="22" fillId="13" borderId="7" xfId="0" applyNumberFormat="1" applyFont="1" applyFill="1" applyBorder="1" applyAlignment="1">
      <alignment horizontal="center" vertical="center"/>
    </xf>
    <xf numFmtId="1" fontId="13" fillId="0" borderId="23" xfId="0" applyNumberFormat="1" applyFont="1" applyFill="1" applyBorder="1" applyAlignment="1">
      <alignment horizontal="center"/>
    </xf>
    <xf numFmtId="3" fontId="24" fillId="0" borderId="14" xfId="0" applyNumberFormat="1" applyFont="1" applyFill="1" applyBorder="1" applyAlignment="1">
      <alignment horizontal="center" vertical="center" wrapText="1"/>
    </xf>
    <xf numFmtId="3" fontId="0" fillId="0" borderId="1" xfId="0" applyNumberFormat="1" applyBorder="1"/>
    <xf numFmtId="3" fontId="18" fillId="22" borderId="7" xfId="0" applyNumberFormat="1" applyFont="1" applyFill="1" applyBorder="1" applyAlignment="1">
      <alignment horizontal="center" vertical="center"/>
    </xf>
    <xf numFmtId="1" fontId="23" fillId="69" borderId="7" xfId="0" applyNumberFormat="1" applyFont="1" applyFill="1" applyBorder="1" applyAlignment="1">
      <alignment horizontal="center" vertical="center" wrapText="1"/>
    </xf>
    <xf numFmtId="3" fontId="23" fillId="69" borderId="29" xfId="0" applyNumberFormat="1" applyFont="1" applyFill="1" applyBorder="1" applyAlignment="1">
      <alignment horizontal="center" vertical="center" wrapText="1"/>
    </xf>
    <xf numFmtId="3" fontId="19" fillId="69" borderId="7" xfId="0" applyNumberFormat="1" applyFont="1" applyFill="1" applyBorder="1" applyAlignment="1">
      <alignment horizontal="center" vertical="center"/>
    </xf>
    <xf numFmtId="169" fontId="19" fillId="69" borderId="33" xfId="0" applyNumberFormat="1" applyFont="1" applyFill="1" applyBorder="1" applyAlignment="1">
      <alignment horizontal="center"/>
    </xf>
    <xf numFmtId="3" fontId="19" fillId="69" borderId="3" xfId="0" applyNumberFormat="1" applyFont="1" applyFill="1" applyBorder="1" applyAlignment="1">
      <alignment horizontal="center" vertical="center"/>
    </xf>
    <xf numFmtId="3" fontId="19" fillId="69" borderId="33" xfId="0" applyNumberFormat="1" applyFont="1" applyFill="1" applyBorder="1" applyAlignment="1">
      <alignment horizontal="center" vertical="center"/>
    </xf>
    <xf numFmtId="3" fontId="19" fillId="69" borderId="55" xfId="0" applyNumberFormat="1" applyFont="1" applyFill="1" applyBorder="1" applyAlignment="1">
      <alignment horizontal="center" vertical="center"/>
    </xf>
    <xf numFmtId="1" fontId="30" fillId="69" borderId="7" xfId="0" applyNumberFormat="1" applyFont="1" applyFill="1" applyBorder="1" applyAlignment="1">
      <alignment horizontal="center" vertical="center" wrapText="1"/>
    </xf>
    <xf numFmtId="3" fontId="30" fillId="69" borderId="29" xfId="0" applyNumberFormat="1" applyFont="1" applyFill="1" applyBorder="1" applyAlignment="1">
      <alignment horizontal="center" vertical="center" wrapText="1"/>
    </xf>
    <xf numFmtId="3" fontId="22" fillId="69" borderId="7" xfId="0" applyNumberFormat="1" applyFont="1" applyFill="1" applyBorder="1" applyAlignment="1">
      <alignment horizontal="center" vertical="center"/>
    </xf>
    <xf numFmtId="169" fontId="22" fillId="69" borderId="33" xfId="0" applyNumberFormat="1" applyFont="1" applyFill="1" applyBorder="1" applyAlignment="1">
      <alignment horizontal="center"/>
    </xf>
    <xf numFmtId="3" fontId="0" fillId="69" borderId="7" xfId="0" applyNumberFormat="1" applyFill="1" applyBorder="1" applyAlignment="1">
      <alignment horizontal="center" vertical="center"/>
    </xf>
    <xf numFmtId="3" fontId="0" fillId="69" borderId="33" xfId="0" applyNumberFormat="1" applyFill="1" applyBorder="1" applyAlignment="1">
      <alignment horizontal="center" vertical="center"/>
    </xf>
    <xf numFmtId="3" fontId="0" fillId="69" borderId="55" xfId="0" applyNumberFormat="1" applyFill="1" applyBorder="1" applyAlignment="1">
      <alignment horizontal="center" vertical="center"/>
    </xf>
    <xf numFmtId="0" fontId="19" fillId="69" borderId="13" xfId="0" applyFont="1" applyFill="1" applyBorder="1" applyAlignment="1">
      <alignment horizontal="center"/>
    </xf>
    <xf numFmtId="0" fontId="19" fillId="69" borderId="7" xfId="0" applyFont="1" applyFill="1" applyBorder="1"/>
    <xf numFmtId="1" fontId="19" fillId="69" borderId="7" xfId="0" applyNumberFormat="1" applyFont="1" applyFill="1" applyBorder="1"/>
    <xf numFmtId="3" fontId="19" fillId="69" borderId="7" xfId="0" applyNumberFormat="1" applyFont="1" applyFill="1" applyBorder="1"/>
    <xf numFmtId="3" fontId="19" fillId="69" borderId="33" xfId="0" applyNumberFormat="1" applyFont="1" applyFill="1" applyBorder="1"/>
    <xf numFmtId="3" fontId="20" fillId="23" borderId="85" xfId="0" applyNumberFormat="1" applyFont="1" applyFill="1" applyBorder="1" applyAlignment="1">
      <alignment horizontal="center" vertical="center"/>
    </xf>
    <xf numFmtId="0" fontId="20" fillId="3" borderId="0" xfId="0" applyFont="1" applyFill="1" applyAlignment="1">
      <alignment horizontal="center" vertical="center" wrapText="1"/>
    </xf>
    <xf numFmtId="0" fontId="20" fillId="3" borderId="0" xfId="0" applyFont="1" applyFill="1" applyBorder="1" applyAlignment="1">
      <alignment horizontal="center" vertical="center" wrapText="1"/>
    </xf>
    <xf numFmtId="3" fontId="37" fillId="5" borderId="82" xfId="0" applyNumberFormat="1" applyFont="1" applyFill="1" applyBorder="1" applyAlignment="1">
      <alignment horizontal="center" vertical="center" wrapText="1"/>
    </xf>
    <xf numFmtId="3" fontId="17" fillId="23" borderId="47" xfId="0" applyNumberFormat="1" applyFont="1" applyFill="1" applyBorder="1" applyAlignment="1">
      <alignment horizontal="center" vertical="center" wrapText="1"/>
    </xf>
    <xf numFmtId="3" fontId="30" fillId="29" borderId="13" xfId="0" applyNumberFormat="1" applyFont="1" applyFill="1" applyBorder="1" applyAlignment="1">
      <alignment horizontal="center" vertical="center"/>
    </xf>
    <xf numFmtId="3" fontId="36" fillId="13" borderId="22" xfId="2" applyNumberFormat="1" applyFont="1" applyFill="1" applyBorder="1" applyAlignment="1">
      <alignment horizontal="left" vertical="center"/>
    </xf>
    <xf numFmtId="3" fontId="30" fillId="21" borderId="13" xfId="0" applyNumberFormat="1" applyFont="1" applyFill="1" applyBorder="1" applyAlignment="1">
      <alignment horizontal="center" vertical="center"/>
    </xf>
    <xf numFmtId="3" fontId="30" fillId="24" borderId="13" xfId="0" applyNumberFormat="1" applyFont="1" applyFill="1" applyBorder="1" applyAlignment="1">
      <alignment horizontal="center" vertical="center"/>
    </xf>
    <xf numFmtId="3" fontId="30" fillId="24" borderId="55" xfId="0" applyNumberFormat="1" applyFont="1" applyFill="1" applyBorder="1" applyAlignment="1">
      <alignment horizontal="center" vertical="center"/>
    </xf>
    <xf numFmtId="0" fontId="23" fillId="6" borderId="13" xfId="0" applyFont="1" applyFill="1" applyBorder="1" applyAlignment="1">
      <alignment horizontal="left" vertical="center" wrapText="1"/>
    </xf>
    <xf numFmtId="0" fontId="30" fillId="6" borderId="13" xfId="0" applyFont="1" applyFill="1" applyBorder="1" applyAlignment="1">
      <alignment horizontal="center" vertical="center" wrapText="1"/>
    </xf>
    <xf numFmtId="49" fontId="13" fillId="0" borderId="33" xfId="0" applyNumberFormat="1" applyFont="1" applyFill="1" applyBorder="1" applyAlignment="1">
      <alignment horizontal="center"/>
    </xf>
    <xf numFmtId="167" fontId="14" fillId="0" borderId="0" xfId="1" applyNumberFormat="1" applyFont="1" applyBorder="1" applyAlignment="1">
      <alignment horizontal="center" wrapText="1"/>
    </xf>
    <xf numFmtId="174" fontId="24" fillId="0" borderId="33" xfId="1" applyNumberFormat="1" applyFont="1" applyFill="1" applyBorder="1" applyAlignment="1">
      <alignment horizontal="center" vertical="center" wrapText="1"/>
    </xf>
    <xf numFmtId="0" fontId="0" fillId="5" borderId="0" xfId="0" applyFill="1" applyBorder="1" applyAlignment="1">
      <alignment horizontal="center"/>
    </xf>
    <xf numFmtId="0" fontId="0" fillId="5" borderId="19" xfId="0" applyFill="1" applyBorder="1" applyAlignment="1">
      <alignment horizontal="center"/>
    </xf>
    <xf numFmtId="0" fontId="13" fillId="5" borderId="0" xfId="0" applyFont="1" applyFill="1" applyBorder="1" applyAlignment="1">
      <alignment horizontal="center"/>
    </xf>
    <xf numFmtId="0" fontId="13" fillId="5" borderId="19" xfId="0" applyFont="1" applyFill="1" applyBorder="1" applyAlignment="1">
      <alignment horizontal="center"/>
    </xf>
    <xf numFmtId="167" fontId="13" fillId="5" borderId="2" xfId="0" applyNumberFormat="1" applyFont="1" applyFill="1" applyBorder="1" applyAlignment="1">
      <alignment horizontal="center" vertical="center" wrapText="1"/>
    </xf>
    <xf numFmtId="3" fontId="9" fillId="7" borderId="3" xfId="0" applyNumberFormat="1" applyFont="1" applyFill="1" applyBorder="1" applyAlignment="1">
      <alignment horizontal="center" vertical="center"/>
    </xf>
    <xf numFmtId="0" fontId="13" fillId="0" borderId="0" xfId="0" applyFont="1" applyBorder="1" applyAlignment="1">
      <alignment horizontal="center"/>
    </xf>
    <xf numFmtId="3" fontId="13" fillId="5" borderId="0" xfId="0" applyNumberFormat="1" applyFont="1" applyFill="1" applyBorder="1" applyAlignment="1">
      <alignment horizontal="center"/>
    </xf>
    <xf numFmtId="3" fontId="13" fillId="5" borderId="19" xfId="0" applyNumberFormat="1" applyFont="1" applyFill="1" applyBorder="1" applyAlignment="1">
      <alignment horizontal="center"/>
    </xf>
    <xf numFmtId="3" fontId="13" fillId="5" borderId="2" xfId="0" applyNumberFormat="1" applyFont="1" applyFill="1" applyBorder="1" applyAlignment="1">
      <alignment horizontal="center"/>
    </xf>
    <xf numFmtId="3" fontId="18" fillId="23" borderId="7" xfId="0" applyNumberFormat="1" applyFont="1" applyFill="1" applyBorder="1" applyAlignment="1">
      <alignment horizontal="center" vertical="center" wrapText="1"/>
    </xf>
    <xf numFmtId="3" fontId="14" fillId="5" borderId="14" xfId="0" applyNumberFormat="1" applyFont="1" applyFill="1" applyBorder="1" applyAlignment="1">
      <alignment horizontal="center" vertical="center" wrapText="1"/>
    </xf>
    <xf numFmtId="3" fontId="14" fillId="11" borderId="7" xfId="0" applyNumberFormat="1"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3" fontId="18" fillId="5" borderId="52" xfId="0" applyNumberFormat="1" applyFont="1" applyFill="1" applyBorder="1" applyAlignment="1">
      <alignment horizontal="center" vertical="center" wrapText="1"/>
    </xf>
    <xf numFmtId="3" fontId="14" fillId="5" borderId="15" xfId="0" applyNumberFormat="1" applyFont="1" applyFill="1" applyBorder="1" applyAlignment="1">
      <alignment horizontal="center" vertical="center" wrapText="1"/>
    </xf>
    <xf numFmtId="1" fontId="13" fillId="5" borderId="0" xfId="0" applyNumberFormat="1" applyFont="1" applyFill="1" applyBorder="1" applyAlignment="1">
      <alignment horizontal="center"/>
    </xf>
    <xf numFmtId="1" fontId="13" fillId="5" borderId="19" xfId="0" applyNumberFormat="1" applyFont="1" applyFill="1" applyBorder="1" applyAlignment="1">
      <alignment horizontal="center"/>
    </xf>
    <xf numFmtId="1" fontId="13" fillId="5" borderId="2" xfId="0" applyNumberFormat="1" applyFont="1" applyFill="1" applyBorder="1" applyAlignment="1">
      <alignment horizontal="center" vertical="center" wrapText="1"/>
    </xf>
    <xf numFmtId="1" fontId="9" fillId="7" borderId="3" xfId="0" applyNumberFormat="1" applyFont="1" applyFill="1" applyBorder="1" applyAlignment="1">
      <alignment horizontal="center" vertical="center"/>
    </xf>
    <xf numFmtId="1" fontId="13" fillId="0" borderId="0" xfId="0" applyNumberFormat="1" applyFont="1" applyBorder="1" applyAlignment="1">
      <alignment horizontal="center"/>
    </xf>
    <xf numFmtId="1" fontId="13" fillId="5" borderId="2" xfId="0" applyNumberFormat="1" applyFont="1" applyFill="1" applyBorder="1" applyAlignment="1">
      <alignment horizontal="center"/>
    </xf>
    <xf numFmtId="1" fontId="9" fillId="0" borderId="7" xfId="0" applyNumberFormat="1" applyFont="1" applyFill="1" applyBorder="1" applyAlignment="1">
      <alignment horizontal="center" vertical="center"/>
    </xf>
    <xf numFmtId="1" fontId="14" fillId="9" borderId="7" xfId="0" applyNumberFormat="1" applyFont="1" applyFill="1" applyBorder="1" applyAlignment="1">
      <alignment horizontal="center" vertical="center" wrapText="1"/>
    </xf>
    <xf numFmtId="1" fontId="18" fillId="23" borderId="7" xfId="0" applyNumberFormat="1" applyFont="1" applyFill="1" applyBorder="1" applyAlignment="1">
      <alignment horizontal="center" vertical="center" wrapText="1"/>
    </xf>
    <xf numFmtId="1" fontId="18" fillId="0" borderId="7"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1" fontId="14" fillId="0" borderId="0" xfId="1" applyNumberFormat="1" applyFont="1" applyBorder="1" applyAlignment="1">
      <alignment horizontal="center"/>
    </xf>
    <xf numFmtId="1" fontId="14" fillId="5" borderId="52"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5" borderId="14" xfId="0" applyNumberFormat="1" applyFont="1" applyFill="1" applyBorder="1" applyAlignment="1">
      <alignment horizontal="center" vertical="center" wrapText="1"/>
    </xf>
    <xf numFmtId="1" fontId="14" fillId="11" borderId="7" xfId="0" applyNumberFormat="1" applyFont="1" applyFill="1" applyBorder="1" applyAlignment="1">
      <alignment horizontal="center" vertical="center" wrapText="1"/>
    </xf>
    <xf numFmtId="1" fontId="9" fillId="7" borderId="79" xfId="0" applyNumberFormat="1" applyFont="1" applyFill="1" applyBorder="1" applyAlignment="1">
      <alignment horizontal="center" vertical="center"/>
    </xf>
    <xf numFmtId="1" fontId="9" fillId="0" borderId="79" xfId="0" applyNumberFormat="1" applyFont="1" applyFill="1" applyBorder="1" applyAlignment="1">
      <alignment horizontal="center" vertical="center"/>
    </xf>
    <xf numFmtId="1" fontId="13" fillId="0" borderId="27" xfId="0" applyNumberFormat="1" applyFont="1" applyFill="1" applyBorder="1" applyAlignment="1">
      <alignment horizontal="center"/>
    </xf>
    <xf numFmtId="1" fontId="14" fillId="9" borderId="23" xfId="0" applyNumberFormat="1" applyFont="1" applyFill="1" applyBorder="1" applyAlignment="1">
      <alignment horizontal="center" vertical="center" wrapText="1"/>
    </xf>
    <xf numFmtId="1" fontId="14" fillId="4" borderId="23" xfId="0" applyNumberFormat="1" applyFont="1" applyFill="1" applyBorder="1" applyAlignment="1">
      <alignment horizontal="center" vertical="center" wrapText="1"/>
    </xf>
    <xf numFmtId="0" fontId="0" fillId="5" borderId="2" xfId="0" applyFill="1" applyBorder="1" applyAlignment="1">
      <alignment horizontal="center"/>
    </xf>
    <xf numFmtId="1" fontId="14" fillId="22" borderId="7" xfId="0" applyNumberFormat="1" applyFont="1" applyFill="1" applyBorder="1" applyAlignment="1">
      <alignment horizontal="center" vertical="center"/>
    </xf>
    <xf numFmtId="3" fontId="24" fillId="0" borderId="7" xfId="1" applyNumberFormat="1" applyFont="1" applyFill="1" applyBorder="1" applyAlignment="1">
      <alignment horizontal="right" vertical="center" wrapText="1"/>
    </xf>
    <xf numFmtId="1" fontId="13" fillId="0" borderId="7" xfId="0" applyNumberFormat="1" applyFont="1" applyFill="1" applyBorder="1" applyAlignment="1">
      <alignment horizontal="center"/>
    </xf>
    <xf numFmtId="3" fontId="24" fillId="0" borderId="33" xfId="0" applyNumberFormat="1" applyFont="1" applyFill="1" applyBorder="1" applyAlignment="1">
      <alignment horizontal="center" vertical="center" wrapText="1"/>
    </xf>
    <xf numFmtId="0" fontId="9" fillId="13" borderId="13" xfId="0" applyFont="1" applyFill="1" applyBorder="1" applyAlignment="1">
      <alignment horizontal="left" vertical="center"/>
    </xf>
    <xf numFmtId="0" fontId="9" fillId="13" borderId="7" xfId="0" applyFont="1" applyFill="1" applyBorder="1" applyAlignment="1">
      <alignment horizontal="left" vertical="center"/>
    </xf>
    <xf numFmtId="0" fontId="18" fillId="15" borderId="7" xfId="0" applyFont="1" applyFill="1" applyBorder="1" applyAlignment="1">
      <alignment horizontal="left" vertical="center" wrapText="1"/>
    </xf>
    <xf numFmtId="0" fontId="18" fillId="8" borderId="7" xfId="0" applyFont="1" applyFill="1" applyBorder="1" applyAlignment="1">
      <alignment horizontal="left" vertical="center" wrapText="1"/>
    </xf>
    <xf numFmtId="3" fontId="25" fillId="7" borderId="3" xfId="0" applyNumberFormat="1" applyFont="1" applyFill="1" applyBorder="1" applyAlignment="1">
      <alignment horizontal="left" vertical="center" wrapText="1"/>
    </xf>
    <xf numFmtId="3" fontId="24" fillId="4" borderId="7" xfId="0" applyNumberFormat="1" applyFont="1" applyFill="1" applyBorder="1" applyAlignment="1">
      <alignment horizontal="center" vertical="center"/>
    </xf>
    <xf numFmtId="3" fontId="17" fillId="70" borderId="3" xfId="0" applyNumberFormat="1" applyFont="1" applyFill="1" applyBorder="1" applyAlignment="1">
      <alignment horizontal="center" vertical="center" wrapText="1"/>
    </xf>
    <xf numFmtId="3" fontId="17" fillId="70" borderId="7" xfId="0" applyNumberFormat="1" applyFont="1" applyFill="1" applyBorder="1" applyAlignment="1">
      <alignment horizontal="center" vertical="center" wrapText="1"/>
    </xf>
    <xf numFmtId="3" fontId="17" fillId="70" borderId="33" xfId="0" applyNumberFormat="1" applyFont="1" applyFill="1" applyBorder="1" applyAlignment="1">
      <alignment horizontal="center" vertical="center" wrapText="1"/>
    </xf>
    <xf numFmtId="3" fontId="17" fillId="70" borderId="13" xfId="0" applyNumberFormat="1" applyFont="1" applyFill="1" applyBorder="1" applyAlignment="1">
      <alignment horizontal="center" vertical="center" wrapText="1"/>
    </xf>
    <xf numFmtId="1" fontId="24" fillId="70" borderId="7" xfId="0" applyNumberFormat="1" applyFont="1" applyFill="1" applyBorder="1" applyAlignment="1">
      <alignment horizontal="center" vertical="center" wrapText="1"/>
    </xf>
    <xf numFmtId="0" fontId="17" fillId="4" borderId="26" xfId="0" applyFont="1" applyFill="1" applyBorder="1" applyAlignment="1">
      <alignment horizontal="left" vertical="center"/>
    </xf>
    <xf numFmtId="3" fontId="24" fillId="0" borderId="7" xfId="0" applyNumberFormat="1" applyFont="1" applyFill="1" applyBorder="1" applyAlignment="1">
      <alignment horizontal="center" vertical="center"/>
    </xf>
    <xf numFmtId="3" fontId="17" fillId="70" borderId="29" xfId="0" applyNumberFormat="1" applyFont="1" applyFill="1" applyBorder="1" applyAlignment="1">
      <alignment horizontal="center" vertical="center" wrapText="1"/>
    </xf>
    <xf numFmtId="0" fontId="34" fillId="6" borderId="7" xfId="0" applyFont="1" applyFill="1" applyBorder="1" applyAlignment="1">
      <alignment horizontal="left" vertical="top" wrapText="1"/>
    </xf>
    <xf numFmtId="0" fontId="37" fillId="6" borderId="7" xfId="0" applyFont="1" applyFill="1" applyBorder="1" applyAlignment="1">
      <alignment horizontal="left" vertical="center" wrapText="1"/>
    </xf>
    <xf numFmtId="0" fontId="37" fillId="6" borderId="7" xfId="0" applyFont="1" applyFill="1" applyBorder="1" applyAlignment="1">
      <alignment horizontal="left" vertical="top" wrapText="1"/>
    </xf>
    <xf numFmtId="0" fontId="37" fillId="12" borderId="7" xfId="0" applyFont="1" applyFill="1" applyBorder="1" applyAlignment="1">
      <alignment horizontal="left" vertical="top" wrapText="1"/>
    </xf>
    <xf numFmtId="0" fontId="66" fillId="12" borderId="7" xfId="0" applyFont="1" applyFill="1" applyBorder="1" applyAlignment="1">
      <alignment horizontal="left" vertical="top" wrapText="1"/>
    </xf>
    <xf numFmtId="0" fontId="34" fillId="23" borderId="7" xfId="0" applyFont="1" applyFill="1" applyBorder="1" applyAlignment="1">
      <alignment horizontal="left" vertical="top" wrapText="1"/>
    </xf>
    <xf numFmtId="0" fontId="37" fillId="23" borderId="7" xfId="0" applyFont="1" applyFill="1" applyBorder="1" applyAlignment="1">
      <alignment horizontal="left" vertical="center" wrapText="1"/>
    </xf>
    <xf numFmtId="0" fontId="37" fillId="23" borderId="7" xfId="0" applyFont="1" applyFill="1" applyBorder="1" applyAlignment="1">
      <alignment horizontal="left" vertical="top" wrapText="1"/>
    </xf>
    <xf numFmtId="0" fontId="13" fillId="12" borderId="7" xfId="0" applyFont="1" applyFill="1" applyBorder="1" applyAlignment="1">
      <alignment horizontal="left" vertical="top" wrapText="1"/>
    </xf>
    <xf numFmtId="0" fontId="14" fillId="12" borderId="7" xfId="0" applyFont="1" applyFill="1" applyBorder="1" applyAlignment="1">
      <alignment horizontal="left" vertical="top" wrapText="1"/>
    </xf>
    <xf numFmtId="165" fontId="14" fillId="0" borderId="7"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0" fontId="34" fillId="6" borderId="7" xfId="0" applyFont="1" applyFill="1" applyBorder="1" applyAlignment="1">
      <alignment horizontal="left" vertical="top"/>
    </xf>
    <xf numFmtId="169" fontId="13" fillId="71" borderId="2" xfId="0" applyNumberFormat="1" applyFont="1" applyFill="1" applyBorder="1" applyAlignment="1">
      <alignment horizontal="left" vertical="center"/>
    </xf>
    <xf numFmtId="0" fontId="14" fillId="71" borderId="3" xfId="0" applyFont="1" applyFill="1" applyBorder="1" applyAlignment="1">
      <alignment horizontal="center" vertical="center" wrapText="1"/>
    </xf>
    <xf numFmtId="3" fontId="14" fillId="71" borderId="3" xfId="0" applyNumberFormat="1" applyFont="1" applyFill="1" applyBorder="1" applyAlignment="1">
      <alignment horizontal="center" vertical="center" wrapText="1"/>
    </xf>
    <xf numFmtId="1" fontId="17" fillId="71" borderId="7" xfId="0" applyNumberFormat="1" applyFont="1" applyFill="1" applyBorder="1" applyAlignment="1">
      <alignment horizontal="center" vertical="center" wrapText="1"/>
    </xf>
    <xf numFmtId="3" fontId="17" fillId="71" borderId="29" xfId="0" applyNumberFormat="1" applyFont="1" applyFill="1" applyBorder="1" applyAlignment="1">
      <alignment horizontal="center" vertical="center" wrapText="1"/>
    </xf>
    <xf numFmtId="3" fontId="17" fillId="71" borderId="33" xfId="0" applyNumberFormat="1" applyFont="1" applyFill="1" applyBorder="1" applyAlignment="1">
      <alignment horizontal="center" vertical="center" wrapText="1"/>
    </xf>
    <xf numFmtId="3" fontId="17" fillId="71" borderId="2" xfId="0" applyNumberFormat="1" applyFont="1" applyFill="1" applyBorder="1" applyAlignment="1">
      <alignment horizontal="center" vertical="center" wrapText="1"/>
    </xf>
    <xf numFmtId="3" fontId="17" fillId="71" borderId="77" xfId="0" applyNumberFormat="1" applyFont="1" applyFill="1" applyBorder="1" applyAlignment="1">
      <alignment horizontal="center" vertical="center" wrapText="1"/>
    </xf>
    <xf numFmtId="3" fontId="17" fillId="71" borderId="13" xfId="0" applyNumberFormat="1" applyFont="1" applyFill="1" applyBorder="1" applyAlignment="1">
      <alignment horizontal="center" vertical="center" wrapText="1"/>
    </xf>
    <xf numFmtId="0" fontId="0" fillId="71" borderId="7" xfId="0" applyFill="1" applyBorder="1"/>
    <xf numFmtId="1" fontId="0" fillId="71" borderId="7" xfId="0" applyNumberFormat="1" applyFill="1" applyBorder="1" applyAlignment="1">
      <alignment horizontal="center"/>
    </xf>
    <xf numFmtId="3" fontId="17" fillId="71" borderId="7" xfId="0" applyNumberFormat="1" applyFont="1" applyFill="1" applyBorder="1" applyAlignment="1">
      <alignment horizontal="center" vertical="center" wrapText="1"/>
    </xf>
    <xf numFmtId="0" fontId="14" fillId="62" borderId="1" xfId="0" applyFont="1" applyFill="1" applyBorder="1" applyAlignment="1">
      <alignment horizontal="center" vertical="center" wrapText="1"/>
    </xf>
    <xf numFmtId="3" fontId="0" fillId="62" borderId="1" xfId="0" applyNumberFormat="1" applyFill="1" applyBorder="1" applyAlignment="1">
      <alignment vertical="center"/>
    </xf>
    <xf numFmtId="3" fontId="67" fillId="7" borderId="7" xfId="0" applyNumberFormat="1" applyFont="1" applyFill="1" applyBorder="1" applyAlignment="1">
      <alignment horizontal="left" vertical="top" wrapText="1"/>
    </xf>
    <xf numFmtId="0" fontId="59" fillId="8" borderId="7" xfId="0" applyFont="1" applyFill="1" applyBorder="1" applyAlignment="1">
      <alignment horizontal="left" vertical="top" wrapText="1"/>
    </xf>
    <xf numFmtId="0" fontId="66" fillId="8" borderId="7" xfId="0" applyFont="1" applyFill="1" applyBorder="1" applyAlignment="1">
      <alignment horizontal="left" vertical="top" wrapText="1"/>
    </xf>
    <xf numFmtId="3" fontId="35" fillId="13" borderId="7" xfId="2" applyNumberFormat="1" applyFont="1" applyFill="1" applyBorder="1" applyAlignment="1">
      <alignment horizontal="left" vertical="top" wrapText="1"/>
    </xf>
    <xf numFmtId="3" fontId="35" fillId="13" borderId="14" xfId="2" applyNumberFormat="1" applyFont="1" applyFill="1" applyBorder="1" applyAlignment="1">
      <alignment horizontal="left" vertical="top" wrapText="1"/>
    </xf>
    <xf numFmtId="3" fontId="36" fillId="13" borderId="14" xfId="2" applyNumberFormat="1" applyFont="1" applyFill="1" applyBorder="1" applyAlignment="1">
      <alignment horizontal="left" vertical="top"/>
    </xf>
    <xf numFmtId="3" fontId="35" fillId="13" borderId="14" xfId="2" applyNumberFormat="1" applyFont="1" applyFill="1" applyBorder="1" applyAlignment="1">
      <alignment horizontal="left" vertical="top"/>
    </xf>
    <xf numFmtId="0" fontId="17" fillId="13" borderId="13" xfId="0" applyFont="1" applyFill="1" applyBorder="1" applyAlignment="1">
      <alignment horizontal="center" vertical="top" wrapText="1"/>
    </xf>
    <xf numFmtId="3" fontId="35" fillId="21" borderId="7" xfId="2" applyNumberFormat="1" applyFont="1" applyFill="1" applyBorder="1" applyAlignment="1">
      <alignment horizontal="left" vertical="top" wrapText="1"/>
    </xf>
    <xf numFmtId="3" fontId="35" fillId="21" borderId="14" xfId="2" applyNumberFormat="1" applyFont="1" applyFill="1" applyBorder="1" applyAlignment="1">
      <alignment horizontal="left" vertical="top" wrapText="1"/>
    </xf>
    <xf numFmtId="0" fontId="23" fillId="21" borderId="13" xfId="0" applyFont="1" applyFill="1" applyBorder="1" applyAlignment="1">
      <alignment horizontal="center" vertical="top" wrapText="1"/>
    </xf>
    <xf numFmtId="3" fontId="35" fillId="24" borderId="7" xfId="2" applyNumberFormat="1" applyFont="1" applyFill="1" applyBorder="1" applyAlignment="1">
      <alignment horizontal="left" vertical="top" wrapText="1"/>
    </xf>
    <xf numFmtId="3" fontId="35" fillId="24" borderId="14" xfId="2" applyNumberFormat="1" applyFont="1" applyFill="1" applyBorder="1" applyAlignment="1">
      <alignment horizontal="left" vertical="top" wrapText="1"/>
    </xf>
    <xf numFmtId="0" fontId="23" fillId="17" borderId="28" xfId="0" applyFont="1" applyFill="1" applyBorder="1" applyAlignment="1">
      <alignment horizontal="left" vertical="top" wrapText="1"/>
    </xf>
    <xf numFmtId="3" fontId="24" fillId="0" borderId="7" xfId="0" applyNumberFormat="1" applyFont="1" applyFill="1" applyBorder="1" applyAlignment="1">
      <alignment horizontal="left" vertical="center"/>
    </xf>
    <xf numFmtId="0" fontId="24" fillId="13" borderId="13" xfId="0" applyFont="1" applyFill="1" applyBorder="1" applyAlignment="1">
      <alignment horizontal="center" vertical="top" wrapText="1"/>
    </xf>
    <xf numFmtId="0" fontId="30" fillId="21" borderId="13" xfId="0" applyFont="1" applyFill="1" applyBorder="1" applyAlignment="1">
      <alignment horizontal="left" vertical="top"/>
    </xf>
    <xf numFmtId="1" fontId="34" fillId="0" borderId="4" xfId="0" applyNumberFormat="1" applyFont="1" applyFill="1" applyBorder="1" applyAlignment="1">
      <alignment horizontal="center"/>
    </xf>
    <xf numFmtId="0" fontId="21" fillId="0" borderId="0" xfId="0" applyFont="1" applyFill="1" applyAlignment="1">
      <alignment vertical="center"/>
    </xf>
    <xf numFmtId="0" fontId="34" fillId="0" borderId="7" xfId="0" applyFont="1" applyFill="1" applyBorder="1" applyAlignment="1">
      <alignment vertical="center"/>
    </xf>
    <xf numFmtId="3" fontId="34" fillId="0" borderId="33" xfId="0" applyNumberFormat="1" applyFont="1" applyFill="1" applyBorder="1" applyAlignment="1">
      <alignment vertical="center"/>
    </xf>
    <xf numFmtId="3" fontId="21" fillId="0" borderId="0" xfId="0" applyNumberFormat="1" applyFont="1" applyFill="1" applyAlignment="1">
      <alignment horizontal="center" vertical="center"/>
    </xf>
    <xf numFmtId="0" fontId="18" fillId="6" borderId="7" xfId="0" applyFont="1" applyFill="1" applyBorder="1" applyAlignment="1">
      <alignment horizontal="left" vertical="top" wrapText="1"/>
    </xf>
    <xf numFmtId="0" fontId="18" fillId="6" borderId="7" xfId="0" applyFont="1" applyFill="1" applyBorder="1" applyAlignment="1">
      <alignment horizontal="center" vertical="top" wrapText="1"/>
    </xf>
    <xf numFmtId="0" fontId="14" fillId="8" borderId="7" xfId="0" applyFont="1" applyFill="1" applyBorder="1" applyAlignment="1">
      <alignment horizontal="left" vertical="top" wrapText="1"/>
    </xf>
    <xf numFmtId="0" fontId="14" fillId="10" borderId="7" xfId="0" applyFont="1" applyFill="1" applyBorder="1" applyAlignment="1">
      <alignment horizontal="left" vertical="top" wrapText="1"/>
    </xf>
    <xf numFmtId="0" fontId="18" fillId="13" borderId="7" xfId="0" applyFont="1" applyFill="1" applyBorder="1" applyAlignment="1">
      <alignment horizontal="left" vertical="top" wrapText="1"/>
    </xf>
    <xf numFmtId="0" fontId="18" fillId="14" borderId="7" xfId="0" applyFont="1" applyFill="1" applyBorder="1" applyAlignment="1">
      <alignment horizontal="left" vertical="top" wrapText="1"/>
    </xf>
    <xf numFmtId="0" fontId="18" fillId="24" borderId="7" xfId="0" applyFont="1" applyFill="1" applyBorder="1" applyAlignment="1">
      <alignment horizontal="left" vertical="top" wrapText="1"/>
    </xf>
    <xf numFmtId="0" fontId="0" fillId="5" borderId="0" xfId="0" applyFill="1" applyBorder="1" applyAlignment="1">
      <alignment horizontal="center"/>
    </xf>
    <xf numFmtId="0" fontId="0" fillId="5" borderId="19" xfId="0" applyFill="1" applyBorder="1" applyAlignment="1">
      <alignment horizontal="center"/>
    </xf>
    <xf numFmtId="169" fontId="13" fillId="0" borderId="2" xfId="0" applyNumberFormat="1" applyFont="1" applyFill="1" applyBorder="1" applyAlignment="1">
      <alignment horizontal="center" vertical="center"/>
    </xf>
    <xf numFmtId="169" fontId="17" fillId="71" borderId="33" xfId="0" applyNumberFormat="1" applyFont="1" applyFill="1" applyBorder="1" applyAlignment="1">
      <alignment horizontal="center" vertical="center" wrapText="1"/>
    </xf>
    <xf numFmtId="3" fontId="0" fillId="71" borderId="33" xfId="0" applyNumberFormat="1" applyFill="1" applyBorder="1" applyAlignment="1">
      <alignment horizontal="center" vertical="center"/>
    </xf>
    <xf numFmtId="3" fontId="0" fillId="71" borderId="55" xfId="0" applyNumberFormat="1" applyFill="1" applyBorder="1" applyAlignment="1">
      <alignment horizontal="center" vertical="center"/>
    </xf>
    <xf numFmtId="168" fontId="0" fillId="0" borderId="0" xfId="0" applyNumberFormat="1"/>
    <xf numFmtId="3" fontId="17" fillId="4" borderId="22" xfId="0" applyNumberFormat="1" applyFont="1" applyFill="1" applyBorder="1" applyAlignment="1">
      <alignment horizontal="center" vertical="center" wrapText="1"/>
    </xf>
    <xf numFmtId="1" fontId="24" fillId="4" borderId="14" xfId="0" applyNumberFormat="1"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0" fontId="24" fillId="13" borderId="13" xfId="0" applyFont="1" applyFill="1" applyBorder="1" applyAlignment="1">
      <alignment horizontal="center" vertical="top"/>
    </xf>
    <xf numFmtId="3" fontId="36" fillId="13" borderId="14" xfId="2" applyNumberFormat="1" applyFont="1" applyFill="1" applyBorder="1" applyAlignment="1">
      <alignment horizontal="center" vertical="center"/>
    </xf>
    <xf numFmtId="1" fontId="34" fillId="0" borderId="7" xfId="0" applyNumberFormat="1" applyFont="1" applyFill="1" applyBorder="1" applyAlignment="1">
      <alignment horizontal="center" vertical="center"/>
    </xf>
    <xf numFmtId="0" fontId="23" fillId="6" borderId="7" xfId="0" applyFont="1" applyFill="1" applyBorder="1" applyAlignment="1">
      <alignment horizontal="center" vertical="center" wrapText="1"/>
    </xf>
    <xf numFmtId="1" fontId="17" fillId="20" borderId="5" xfId="0" applyNumberFormat="1" applyFont="1" applyFill="1" applyBorder="1" applyAlignment="1">
      <alignment horizontal="center"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0" fontId="34" fillId="20" borderId="7" xfId="0" applyFont="1" applyFill="1" applyBorder="1" applyAlignment="1">
      <alignment vertical="center"/>
    </xf>
    <xf numFmtId="0" fontId="34" fillId="0" borderId="84" xfId="0" applyFont="1" applyFill="1" applyBorder="1" applyAlignment="1">
      <alignment vertical="center"/>
    </xf>
    <xf numFmtId="0" fontId="34" fillId="16" borderId="0" xfId="0" applyFont="1" applyFill="1" applyAlignment="1">
      <alignment vertical="center"/>
    </xf>
    <xf numFmtId="166" fontId="17" fillId="2" borderId="7" xfId="1" applyNumberFormat="1" applyFont="1" applyFill="1" applyBorder="1" applyAlignment="1">
      <alignment horizontal="center" wrapText="1"/>
    </xf>
    <xf numFmtId="3" fontId="24" fillId="0" borderId="7" xfId="0" applyNumberFormat="1" applyFont="1" applyFill="1" applyBorder="1" applyAlignment="1">
      <alignment horizontal="right" vertical="center"/>
    </xf>
    <xf numFmtId="3" fontId="24" fillId="0" borderId="7" xfId="0" applyNumberFormat="1" applyFont="1" applyFill="1" applyBorder="1"/>
    <xf numFmtId="171" fontId="13" fillId="0" borderId="0" xfId="0" applyNumberFormat="1" applyFont="1" applyAlignment="1">
      <alignment horizontal="center"/>
    </xf>
    <xf numFmtId="49" fontId="0" fillId="0" borderId="0" xfId="0" applyNumberFormat="1" applyAlignment="1">
      <alignment horizontal="right"/>
    </xf>
    <xf numFmtId="49" fontId="13" fillId="0" borderId="0" xfId="0" applyNumberFormat="1" applyFont="1" applyAlignment="1">
      <alignment horizontal="right"/>
    </xf>
    <xf numFmtId="0" fontId="9" fillId="6" borderId="7" xfId="0" applyFont="1" applyFill="1" applyBorder="1" applyAlignment="1">
      <alignment horizontal="left" vertical="top"/>
    </xf>
    <xf numFmtId="49" fontId="13" fillId="0" borderId="12" xfId="0" applyNumberFormat="1" applyFont="1" applyBorder="1" applyAlignment="1">
      <alignment horizontal="right"/>
    </xf>
    <xf numFmtId="0" fontId="13" fillId="0" borderId="2" xfId="0" applyFont="1" applyFill="1" applyBorder="1" applyAlignment="1">
      <alignment horizontal="center"/>
    </xf>
    <xf numFmtId="3" fontId="61" fillId="0" borderId="0" xfId="0" applyNumberFormat="1" applyFont="1" applyAlignment="1">
      <alignment horizontal="center" vertical="center"/>
    </xf>
    <xf numFmtId="3" fontId="61" fillId="23" borderId="9" xfId="1" applyNumberFormat="1" applyFont="1" applyFill="1" applyBorder="1" applyAlignment="1">
      <alignment horizontal="center" vertical="center" wrapText="1"/>
    </xf>
    <xf numFmtId="0" fontId="0" fillId="5" borderId="0" xfId="0" applyFill="1" applyBorder="1" applyAlignment="1">
      <alignment horizontal="center" vertical="center"/>
    </xf>
    <xf numFmtId="0" fontId="0" fillId="5" borderId="19" xfId="0" applyFill="1" applyBorder="1" applyAlignment="1">
      <alignment horizontal="center" vertical="center"/>
    </xf>
    <xf numFmtId="0" fontId="0" fillId="5" borderId="2" xfId="0" applyFill="1" applyBorder="1" applyAlignment="1">
      <alignment horizontal="center" vertical="center"/>
    </xf>
    <xf numFmtId="3" fontId="9" fillId="23" borderId="7"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0" xfId="0" applyNumberFormat="1" applyFont="1" applyAlignment="1">
      <alignment horizontal="center" vertical="center"/>
    </xf>
    <xf numFmtId="0" fontId="9" fillId="0" borderId="2" xfId="0" applyFont="1" applyFill="1" applyBorder="1" applyAlignment="1">
      <alignment horizontal="center"/>
    </xf>
    <xf numFmtId="0" fontId="13" fillId="0" borderId="0" xfId="0" applyFont="1" applyFill="1"/>
    <xf numFmtId="3" fontId="16" fillId="18" borderId="29" xfId="1" applyNumberFormat="1" applyFont="1" applyFill="1" applyBorder="1" applyAlignment="1">
      <alignment horizontal="center" vertical="center" wrapText="1"/>
    </xf>
    <xf numFmtId="0" fontId="13" fillId="4" borderId="3" xfId="0" applyFont="1" applyFill="1" applyBorder="1" applyAlignment="1">
      <alignment horizontal="left" wrapText="1"/>
    </xf>
    <xf numFmtId="0" fontId="14" fillId="4" borderId="89" xfId="0" applyFont="1" applyFill="1" applyBorder="1" applyAlignment="1">
      <alignment horizontal="center" vertical="center" wrapText="1"/>
    </xf>
    <xf numFmtId="0" fontId="17" fillId="4" borderId="7" xfId="0" applyFont="1" applyFill="1" applyBorder="1" applyAlignment="1">
      <alignment horizontal="center" wrapText="1"/>
    </xf>
    <xf numFmtId="3" fontId="14" fillId="18" borderId="7" xfId="0" applyNumberFormat="1" applyFont="1" applyFill="1" applyBorder="1" applyAlignment="1">
      <alignment horizontal="center"/>
    </xf>
    <xf numFmtId="3" fontId="25" fillId="7" borderId="3" xfId="0" applyNumberFormat="1" applyFont="1" applyFill="1" applyBorder="1" applyAlignment="1">
      <alignment horizontal="left" vertical="top" wrapText="1"/>
    </xf>
    <xf numFmtId="0" fontId="17" fillId="4" borderId="0" xfId="0" applyFont="1" applyFill="1" applyBorder="1" applyAlignment="1">
      <alignment horizontal="center" vertical="center" wrapText="1"/>
    </xf>
    <xf numFmtId="3" fontId="34" fillId="0" borderId="7" xfId="0" applyNumberFormat="1" applyFont="1" applyFill="1" applyBorder="1" applyAlignment="1"/>
    <xf numFmtId="169" fontId="0" fillId="0" borderId="33" xfId="0" applyNumberFormat="1" applyFill="1" applyBorder="1" applyAlignment="1">
      <alignment horizontal="left"/>
    </xf>
    <xf numFmtId="0" fontId="13" fillId="0" borderId="13" xfId="0" applyFont="1" applyFill="1" applyBorder="1" applyAlignment="1">
      <alignment horizontal="left"/>
    </xf>
    <xf numFmtId="0" fontId="34" fillId="0" borderId="13" xfId="0" applyFont="1" applyFill="1" applyBorder="1" applyAlignment="1">
      <alignment horizontal="center" vertical="center"/>
    </xf>
    <xf numFmtId="3" fontId="34" fillId="0" borderId="7" xfId="0" applyNumberFormat="1" applyFont="1" applyFill="1" applyBorder="1" applyAlignment="1">
      <alignment horizontal="right" vertical="center"/>
    </xf>
    <xf numFmtId="3" fontId="19" fillId="0" borderId="2" xfId="0" applyNumberFormat="1" applyFont="1" applyFill="1" applyBorder="1" applyAlignment="1">
      <alignment horizontal="center" vertical="center"/>
    </xf>
    <xf numFmtId="3" fontId="19" fillId="0" borderId="29"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10" fontId="24" fillId="0" borderId="1" xfId="0" applyNumberFormat="1" applyFont="1" applyFill="1" applyBorder="1" applyAlignment="1">
      <alignment horizontal="right" vertical="center"/>
    </xf>
    <xf numFmtId="10" fontId="17" fillId="62" borderId="1" xfId="0" applyNumberFormat="1" applyFont="1" applyFill="1" applyBorder="1" applyAlignment="1">
      <alignment horizontal="right" vertical="center"/>
    </xf>
    <xf numFmtId="169" fontId="24" fillId="0" borderId="33" xfId="0" applyNumberFormat="1" applyFont="1" applyFill="1" applyBorder="1" applyAlignment="1">
      <alignment horizontal="center" vertical="center" wrapText="1"/>
    </xf>
    <xf numFmtId="173" fontId="14" fillId="62" borderId="1" xfId="0" applyNumberFormat="1" applyFont="1" applyFill="1" applyBorder="1" applyAlignment="1">
      <alignment vertical="center"/>
    </xf>
    <xf numFmtId="0" fontId="13" fillId="0" borderId="3" xfId="0" applyFont="1" applyFill="1" applyBorder="1" applyAlignment="1">
      <alignment horizontal="center"/>
    </xf>
    <xf numFmtId="3" fontId="29" fillId="7" borderId="33" xfId="0" applyNumberFormat="1" applyFont="1" applyFill="1" applyBorder="1" applyAlignment="1">
      <alignment horizontal="left" vertical="center"/>
    </xf>
    <xf numFmtId="0" fontId="9" fillId="8" borderId="33" xfId="0" applyFont="1" applyFill="1" applyBorder="1" applyAlignment="1">
      <alignment horizontal="left" vertical="center"/>
    </xf>
    <xf numFmtId="0" fontId="9" fillId="15" borderId="33" xfId="0" applyFont="1" applyFill="1" applyBorder="1" applyAlignment="1">
      <alignment horizontal="left" vertical="center"/>
    </xf>
    <xf numFmtId="1" fontId="9" fillId="15" borderId="3" xfId="0" applyNumberFormat="1" applyFont="1" applyFill="1" applyBorder="1" applyAlignment="1">
      <alignment horizontal="left" vertical="center" wrapText="1"/>
    </xf>
    <xf numFmtId="10" fontId="24" fillId="0" borderId="1" xfId="0" applyNumberFormat="1" applyFont="1" applyFill="1" applyBorder="1" applyAlignment="1">
      <alignment horizontal="right" vertical="center"/>
    </xf>
    <xf numFmtId="0" fontId="24" fillId="13" borderId="13" xfId="0" applyFont="1" applyFill="1" applyBorder="1" applyAlignment="1">
      <alignment horizontal="center" vertical="center"/>
    </xf>
    <xf numFmtId="3" fontId="35" fillId="0" borderId="4" xfId="2" applyNumberFormat="1" applyFont="1" applyFill="1" applyBorder="1" applyAlignment="1">
      <alignment horizontal="left" vertical="top" wrapText="1"/>
    </xf>
    <xf numFmtId="3" fontId="35" fillId="13" borderId="13" xfId="2" applyNumberFormat="1" applyFont="1" applyFill="1" applyBorder="1" applyAlignment="1">
      <alignment horizontal="left" vertical="top" wrapText="1"/>
    </xf>
    <xf numFmtId="3" fontId="35" fillId="13" borderId="33" xfId="2" applyNumberFormat="1" applyFont="1" applyFill="1" applyBorder="1" applyAlignment="1">
      <alignment horizontal="left" vertical="top" wrapText="1"/>
    </xf>
    <xf numFmtId="3" fontId="35" fillId="13" borderId="26" xfId="2" applyNumberFormat="1" applyFont="1" applyFill="1" applyBorder="1" applyAlignment="1">
      <alignment horizontal="left" vertical="top" wrapText="1"/>
    </xf>
    <xf numFmtId="3" fontId="35" fillId="13" borderId="3" xfId="2" applyNumberFormat="1" applyFont="1" applyFill="1" applyBorder="1" applyAlignment="1">
      <alignment horizontal="left" vertical="top" wrapText="1"/>
    </xf>
    <xf numFmtId="3" fontId="17" fillId="0" borderId="7" xfId="0" applyNumberFormat="1" applyFont="1" applyFill="1" applyBorder="1" applyAlignment="1">
      <alignment horizontal="left" vertical="center" wrapText="1"/>
    </xf>
    <xf numFmtId="173" fontId="0" fillId="0" borderId="1" xfId="0" applyNumberFormat="1" applyFill="1" applyBorder="1" applyAlignment="1">
      <alignment vertical="center"/>
    </xf>
    <xf numFmtId="3" fontId="0" fillId="0" borderId="1" xfId="0" applyNumberFormat="1" applyFill="1" applyBorder="1" applyAlignment="1">
      <alignment vertical="center"/>
    </xf>
    <xf numFmtId="1" fontId="34" fillId="0" borderId="2" xfId="0" applyNumberFormat="1" applyFont="1" applyFill="1" applyBorder="1" applyAlignment="1">
      <alignment horizontal="center"/>
    </xf>
    <xf numFmtId="0" fontId="0" fillId="0" borderId="2" xfId="0" applyFill="1" applyBorder="1" applyAlignment="1">
      <alignment horizontal="center" vertical="center"/>
    </xf>
    <xf numFmtId="3" fontId="30"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1" fontId="0" fillId="0" borderId="7" xfId="0" applyNumberFormat="1" applyFill="1" applyBorder="1" applyAlignment="1">
      <alignment vertical="center"/>
    </xf>
    <xf numFmtId="0" fontId="9" fillId="0" borderId="7" xfId="0" applyFont="1" applyFill="1" applyBorder="1" applyAlignment="1" applyProtection="1">
      <alignment horizontal="left" vertical="center"/>
      <protection locked="0"/>
    </xf>
    <xf numFmtId="3" fontId="34" fillId="0" borderId="7" xfId="0" applyNumberFormat="1" applyFont="1" applyFill="1" applyBorder="1" applyAlignment="1">
      <alignment vertical="center"/>
    </xf>
    <xf numFmtId="0" fontId="19" fillId="23" borderId="13" xfId="0" applyFont="1" applyFill="1" applyBorder="1"/>
    <xf numFmtId="0" fontId="19" fillId="23" borderId="7" xfId="0" applyFont="1" applyFill="1" applyBorder="1" applyAlignment="1">
      <alignment horizontal="left"/>
    </xf>
    <xf numFmtId="1" fontId="19" fillId="23" borderId="7" xfId="0" applyNumberFormat="1" applyFont="1" applyFill="1" applyBorder="1" applyAlignment="1">
      <alignment horizontal="left"/>
    </xf>
    <xf numFmtId="1" fontId="19" fillId="23" borderId="7" xfId="0" applyNumberFormat="1" applyFont="1" applyFill="1" applyBorder="1"/>
    <xf numFmtId="3" fontId="19" fillId="23" borderId="33" xfId="0" applyNumberFormat="1" applyFont="1" applyFill="1" applyBorder="1"/>
    <xf numFmtId="3" fontId="29" fillId="7" borderId="13" xfId="0" applyNumberFormat="1" applyFont="1" applyFill="1" applyBorder="1" applyAlignment="1">
      <alignment horizontal="center" vertical="center"/>
    </xf>
    <xf numFmtId="3" fontId="29" fillId="7" borderId="55" xfId="0" applyNumberFormat="1" applyFont="1" applyFill="1" applyBorder="1" applyAlignment="1">
      <alignment horizontal="center" vertical="center"/>
    </xf>
    <xf numFmtId="0" fontId="6" fillId="0" borderId="0" xfId="50" applyFill="1" applyBorder="1"/>
    <xf numFmtId="3" fontId="9" fillId="15" borderId="13" xfId="0" applyNumberFormat="1" applyFont="1" applyFill="1" applyBorder="1" applyAlignment="1">
      <alignment horizontal="center" vertical="center"/>
    </xf>
    <xf numFmtId="3" fontId="9" fillId="15" borderId="33" xfId="0" applyNumberFormat="1" applyFont="1" applyFill="1" applyBorder="1" applyAlignment="1">
      <alignment horizontal="center" vertical="center"/>
    </xf>
    <xf numFmtId="0" fontId="37" fillId="9" borderId="73" xfId="0" applyFont="1" applyFill="1" applyBorder="1" applyAlignment="1">
      <alignment wrapText="1"/>
    </xf>
    <xf numFmtId="3" fontId="37" fillId="9" borderId="8" xfId="1" applyNumberFormat="1" applyFont="1" applyFill="1" applyBorder="1" applyAlignment="1">
      <alignment horizontal="center" wrapText="1"/>
    </xf>
    <xf numFmtId="167" fontId="37" fillId="9" borderId="8" xfId="1" applyNumberFormat="1" applyFont="1" applyFill="1" applyBorder="1" applyAlignment="1">
      <alignment horizontal="center" wrapText="1"/>
    </xf>
    <xf numFmtId="167" fontId="37" fillId="9" borderId="9" xfId="1" applyNumberFormat="1" applyFont="1" applyFill="1" applyBorder="1" applyAlignment="1">
      <alignment horizontal="center" wrapText="1"/>
    </xf>
    <xf numFmtId="167" fontId="37" fillId="9" borderId="10" xfId="1" applyNumberFormat="1" applyFont="1" applyFill="1" applyBorder="1" applyAlignment="1">
      <alignment horizontal="center" wrapText="1"/>
    </xf>
    <xf numFmtId="1" fontId="37" fillId="9" borderId="86" xfId="1" applyNumberFormat="1" applyFont="1" applyFill="1" applyBorder="1" applyAlignment="1">
      <alignment horizontal="center" wrapText="1"/>
    </xf>
    <xf numFmtId="1" fontId="37" fillId="9" borderId="9" xfId="1" applyNumberFormat="1" applyFont="1" applyFill="1" applyBorder="1" applyAlignment="1">
      <alignment horizontal="center" wrapText="1"/>
    </xf>
    <xf numFmtId="3" fontId="37" fillId="9" borderId="9" xfId="1" applyNumberFormat="1" applyFont="1" applyFill="1" applyBorder="1" applyAlignment="1">
      <alignment horizontal="center" wrapText="1"/>
    </xf>
    <xf numFmtId="1" fontId="37" fillId="9" borderId="8" xfId="1" applyNumberFormat="1" applyFont="1" applyFill="1" applyBorder="1" applyAlignment="1">
      <alignment horizontal="center" wrapText="1"/>
    </xf>
    <xf numFmtId="166" fontId="37" fillId="9" borderId="8" xfId="1" applyNumberFormat="1" applyFont="1" applyFill="1" applyBorder="1" applyAlignment="1">
      <alignment horizontal="center" wrapText="1"/>
    </xf>
    <xf numFmtId="1" fontId="37" fillId="9" borderId="44" xfId="1" applyNumberFormat="1" applyFont="1" applyFill="1" applyBorder="1" applyAlignment="1">
      <alignment horizontal="center" wrapText="1"/>
    </xf>
    <xf numFmtId="1" fontId="37" fillId="9" borderId="10" xfId="1" applyNumberFormat="1" applyFont="1" applyFill="1" applyBorder="1" applyAlignment="1">
      <alignment horizontal="center" wrapText="1"/>
    </xf>
    <xf numFmtId="0" fontId="34" fillId="0" borderId="83" xfId="0" applyFont="1" applyBorder="1"/>
    <xf numFmtId="0" fontId="34" fillId="0" borderId="84" xfId="0" applyFont="1" applyBorder="1" applyAlignment="1">
      <alignment horizontal="left"/>
    </xf>
    <xf numFmtId="1" fontId="34" fillId="0" borderId="84" xfId="0" applyNumberFormat="1" applyFont="1" applyBorder="1" applyAlignment="1">
      <alignment horizontal="left"/>
    </xf>
    <xf numFmtId="1" fontId="34" fillId="0" borderId="84" xfId="0" applyNumberFormat="1" applyFont="1" applyBorder="1"/>
    <xf numFmtId="3" fontId="37" fillId="9" borderId="35" xfId="1" applyNumberFormat="1" applyFont="1" applyFill="1" applyBorder="1" applyAlignment="1">
      <alignment horizontal="center" wrapText="1"/>
    </xf>
    <xf numFmtId="3" fontId="37" fillId="9" borderId="74" xfId="1" applyNumberFormat="1" applyFont="1" applyFill="1" applyBorder="1" applyAlignment="1">
      <alignment horizontal="center" wrapText="1"/>
    </xf>
    <xf numFmtId="3" fontId="18" fillId="22" borderId="33" xfId="0" applyNumberFormat="1" applyFont="1" applyFill="1" applyBorder="1" applyAlignment="1">
      <alignment horizontal="center" vertical="center"/>
    </xf>
    <xf numFmtId="3" fontId="37" fillId="11" borderId="29" xfId="0" applyNumberFormat="1" applyFont="1" applyFill="1" applyBorder="1" applyAlignment="1">
      <alignment horizontal="center" vertical="center" wrapText="1"/>
    </xf>
    <xf numFmtId="3" fontId="37" fillId="11" borderId="77" xfId="0" applyNumberFormat="1" applyFont="1" applyFill="1" applyBorder="1" applyAlignment="1">
      <alignment horizontal="center" vertical="center" wrapText="1"/>
    </xf>
    <xf numFmtId="3" fontId="37" fillId="22" borderId="7" xfId="0" applyNumberFormat="1" applyFont="1" applyFill="1" applyBorder="1" applyAlignment="1">
      <alignment horizontal="center" vertical="center"/>
    </xf>
    <xf numFmtId="3" fontId="37" fillId="22" borderId="33" xfId="0" applyNumberFormat="1" applyFont="1" applyFill="1" applyBorder="1" applyAlignment="1">
      <alignment horizontal="center" vertical="center"/>
    </xf>
    <xf numFmtId="3" fontId="37" fillId="19" borderId="51" xfId="0" applyNumberFormat="1" applyFont="1" applyFill="1" applyBorder="1" applyAlignment="1">
      <alignment horizontal="center" vertical="center"/>
    </xf>
    <xf numFmtId="3" fontId="37" fillId="19" borderId="57" xfId="0" applyNumberFormat="1" applyFont="1" applyFill="1" applyBorder="1" applyAlignment="1">
      <alignment horizontal="center" vertical="center"/>
    </xf>
    <xf numFmtId="3" fontId="34" fillId="16" borderId="0" xfId="0" applyNumberFormat="1" applyFont="1" applyFill="1" applyAlignment="1">
      <alignment horizontal="center"/>
    </xf>
    <xf numFmtId="3" fontId="34" fillId="0" borderId="7" xfId="0" applyNumberFormat="1" applyFont="1" applyFill="1" applyBorder="1" applyAlignment="1">
      <alignment horizontal="left" vertical="center"/>
    </xf>
    <xf numFmtId="0" fontId="33" fillId="5" borderId="71" xfId="0" applyFont="1" applyFill="1" applyBorder="1" applyAlignment="1">
      <alignment horizontal="center" vertical="center" wrapText="1"/>
    </xf>
    <xf numFmtId="0" fontId="0" fillId="18" borderId="0" xfId="0"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3" fontId="37" fillId="0" borderId="0" xfId="0" applyNumberFormat="1" applyFont="1" applyFill="1" applyBorder="1" applyAlignment="1">
      <alignment horizontal="center" vertical="center" wrapText="1"/>
    </xf>
    <xf numFmtId="3" fontId="19" fillId="0" borderId="19" xfId="0" applyNumberFormat="1" applyFont="1" applyFill="1" applyBorder="1" applyAlignment="1">
      <alignment horizontal="center" vertical="center"/>
    </xf>
    <xf numFmtId="3" fontId="17" fillId="0" borderId="2" xfId="1" applyNumberFormat="1" applyFont="1" applyFill="1" applyBorder="1" applyAlignment="1">
      <alignment horizontal="center" vertical="center" wrapText="1"/>
    </xf>
    <xf numFmtId="3" fontId="26" fillId="0" borderId="2" xfId="0" applyNumberFormat="1" applyFont="1" applyFill="1" applyBorder="1" applyAlignment="1">
      <alignment horizontal="left" vertical="center" wrapText="1"/>
    </xf>
    <xf numFmtId="3" fontId="37" fillId="0" borderId="4"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Alignment="1">
      <alignment horizontal="center" vertical="center"/>
    </xf>
    <xf numFmtId="3" fontId="0" fillId="0" borderId="99" xfId="0" applyNumberFormat="1" applyFill="1" applyBorder="1" applyAlignment="1">
      <alignment horizontal="center" vertical="center"/>
    </xf>
    <xf numFmtId="3" fontId="0" fillId="0" borderId="100"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3" fontId="58" fillId="0" borderId="12" xfId="0" applyNumberFormat="1" applyFont="1" applyFill="1" applyBorder="1" applyAlignment="1">
      <alignment horizontal="center" vertical="center" wrapText="1"/>
    </xf>
    <xf numFmtId="0" fontId="19" fillId="0" borderId="21" xfId="0" applyFont="1" applyFill="1" applyBorder="1" applyAlignment="1">
      <alignment horizontal="center" vertical="center"/>
    </xf>
    <xf numFmtId="0" fontId="0" fillId="0" borderId="99" xfId="0" applyFill="1" applyBorder="1" applyAlignment="1">
      <alignment horizontal="center" vertical="center"/>
    </xf>
    <xf numFmtId="3" fontId="17" fillId="0" borderId="99" xfId="0" applyNumberFormat="1" applyFont="1" applyFill="1" applyBorder="1" applyAlignment="1">
      <alignment horizontal="center" vertical="center" wrapText="1"/>
    </xf>
    <xf numFmtId="0" fontId="19" fillId="0" borderId="99" xfId="0" applyFont="1" applyFill="1" applyBorder="1" applyAlignment="1">
      <alignment horizontal="center" vertical="center"/>
    </xf>
    <xf numFmtId="3" fontId="37" fillId="0" borderId="25" xfId="1"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xf>
    <xf numFmtId="0" fontId="0" fillId="0" borderId="0" xfId="0" applyFill="1" applyAlignment="1">
      <alignment horizontal="center" vertical="center"/>
    </xf>
    <xf numFmtId="3" fontId="13" fillId="5" borderId="2" xfId="0" applyNumberFormat="1"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3" fontId="13" fillId="25" borderId="5" xfId="0" applyNumberFormat="1" applyFont="1" applyFill="1" applyBorder="1" applyAlignment="1">
      <alignment horizontal="center" vertical="center" wrapText="1"/>
    </xf>
    <xf numFmtId="3" fontId="13" fillId="9" borderId="3" xfId="0" applyNumberFormat="1" applyFont="1" applyFill="1" applyBorder="1" applyAlignment="1">
      <alignment horizontal="center" vertical="center" wrapText="1"/>
    </xf>
    <xf numFmtId="3" fontId="19" fillId="23" borderId="3" xfId="0" applyNumberFormat="1" applyFont="1" applyFill="1" applyBorder="1" applyAlignment="1">
      <alignment horizontal="center" vertical="center" wrapText="1"/>
    </xf>
    <xf numFmtId="3" fontId="13" fillId="23" borderId="3" xfId="0" applyNumberFormat="1" applyFont="1" applyFill="1" applyBorder="1" applyAlignment="1">
      <alignment horizontal="center" vertical="center"/>
    </xf>
    <xf numFmtId="3" fontId="13" fillId="4" borderId="3" xfId="0" applyNumberFormat="1" applyFont="1" applyFill="1" applyBorder="1" applyAlignment="1">
      <alignment horizontal="center" vertical="center" wrapText="1"/>
    </xf>
    <xf numFmtId="3" fontId="13" fillId="23" borderId="3" xfId="0" applyNumberFormat="1" applyFont="1" applyFill="1" applyBorder="1" applyAlignment="1">
      <alignment horizontal="center" vertical="center" wrapText="1"/>
    </xf>
    <xf numFmtId="3" fontId="19" fillId="22" borderId="3" xfId="0" applyNumberFormat="1" applyFont="1" applyFill="1" applyBorder="1" applyAlignment="1">
      <alignment horizontal="center" vertical="center" wrapText="1"/>
    </xf>
    <xf numFmtId="3" fontId="9" fillId="13" borderId="7" xfId="0" applyNumberFormat="1" applyFont="1" applyFill="1" applyBorder="1" applyAlignment="1">
      <alignment horizontal="left" vertical="center"/>
    </xf>
    <xf numFmtId="3" fontId="9" fillId="0" borderId="3" xfId="0" applyNumberFormat="1" applyFont="1" applyFill="1" applyBorder="1" applyAlignment="1">
      <alignment horizontal="left" vertical="center"/>
    </xf>
    <xf numFmtId="169" fontId="9" fillId="14" borderId="2" xfId="0" applyNumberFormat="1" applyFont="1" applyFill="1" applyBorder="1" applyAlignment="1">
      <alignment horizontal="left" vertical="center" wrapText="1"/>
    </xf>
    <xf numFmtId="3" fontId="13" fillId="27" borderId="3" xfId="0" applyNumberFormat="1" applyFont="1" applyFill="1" applyBorder="1" applyAlignment="1">
      <alignment horizontal="center" vertical="center" wrapText="1"/>
    </xf>
    <xf numFmtId="3" fontId="9" fillId="24" borderId="3"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13" fillId="9" borderId="47"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13" fillId="0" borderId="0" xfId="1" applyNumberFormat="1" applyFont="1" applyBorder="1" applyAlignment="1">
      <alignment horizontal="center" wrapText="1"/>
    </xf>
    <xf numFmtId="3" fontId="13" fillId="0" borderId="0" xfId="1"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34" fillId="0" borderId="7" xfId="0" applyNumberFormat="1" applyFont="1" applyFill="1" applyBorder="1" applyAlignment="1">
      <alignment horizontal="center" vertical="center" wrapText="1"/>
    </xf>
    <xf numFmtId="0" fontId="24" fillId="13" borderId="13" xfId="0" applyFont="1" applyFill="1" applyBorder="1" applyAlignment="1">
      <alignment horizontal="left" vertical="center" wrapText="1"/>
    </xf>
    <xf numFmtId="0" fontId="18" fillId="15" borderId="7" xfId="0" applyFont="1" applyFill="1" applyBorder="1" applyAlignment="1">
      <alignment horizontal="left" vertical="top" wrapText="1"/>
    </xf>
    <xf numFmtId="3" fontId="37" fillId="9" borderId="51" xfId="0" applyNumberFormat="1" applyFont="1" applyFill="1" applyBorder="1" applyAlignment="1">
      <alignment horizontal="center" vertical="center" wrapText="1"/>
    </xf>
    <xf numFmtId="3" fontId="37" fillId="9" borderId="78" xfId="0" applyNumberFormat="1" applyFont="1" applyFill="1" applyBorder="1" applyAlignment="1">
      <alignment horizontal="center" vertical="center" wrapText="1"/>
    </xf>
    <xf numFmtId="3" fontId="37" fillId="0" borderId="71"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xf>
    <xf numFmtId="3" fontId="34" fillId="0" borderId="71" xfId="0" applyNumberFormat="1" applyFont="1" applyFill="1" applyBorder="1" applyAlignment="1">
      <alignment horizontal="center" vertical="center"/>
    </xf>
    <xf numFmtId="3" fontId="34" fillId="0" borderId="0" xfId="0" applyNumberFormat="1" applyFont="1" applyBorder="1" applyAlignment="1">
      <alignment horizontal="center" vertical="center"/>
    </xf>
    <xf numFmtId="3" fontId="34" fillId="0" borderId="71" xfId="0" applyNumberFormat="1" applyFont="1" applyBorder="1" applyAlignment="1">
      <alignment horizontal="center" vertical="center"/>
    </xf>
    <xf numFmtId="166" fontId="37" fillId="11" borderId="33" xfId="0" applyNumberFormat="1" applyFont="1" applyFill="1" applyBorder="1" applyAlignment="1">
      <alignment horizontal="center" vertical="center" wrapText="1"/>
    </xf>
    <xf numFmtId="3" fontId="13" fillId="0" borderId="7" xfId="0" applyNumberFormat="1" applyFont="1" applyFill="1" applyBorder="1" applyAlignment="1">
      <alignment horizontal="right"/>
    </xf>
    <xf numFmtId="167" fontId="17" fillId="16" borderId="104" xfId="1" applyNumberFormat="1" applyFont="1" applyFill="1" applyBorder="1" applyAlignment="1">
      <alignment horizontal="center" wrapText="1"/>
    </xf>
    <xf numFmtId="3" fontId="17" fillId="16" borderId="104" xfId="1" applyNumberFormat="1" applyFont="1" applyFill="1" applyBorder="1" applyAlignment="1">
      <alignment horizontal="center" wrapText="1"/>
    </xf>
    <xf numFmtId="3" fontId="30" fillId="16" borderId="104" xfId="0" applyNumberFormat="1" applyFont="1" applyFill="1" applyBorder="1" applyAlignment="1">
      <alignment horizontal="center" vertical="center"/>
    </xf>
    <xf numFmtId="0" fontId="17" fillId="16" borderId="104" xfId="0" applyFont="1" applyFill="1" applyBorder="1" applyAlignment="1">
      <alignment wrapText="1"/>
    </xf>
    <xf numFmtId="0" fontId="17" fillId="10" borderId="104" xfId="0" applyFont="1" applyFill="1" applyBorder="1" applyAlignment="1">
      <alignment wrapText="1"/>
    </xf>
    <xf numFmtId="0" fontId="17" fillId="10" borderId="104" xfId="0" applyFont="1" applyFill="1" applyBorder="1" applyAlignment="1">
      <alignment horizontal="center" wrapText="1"/>
    </xf>
    <xf numFmtId="167" fontId="17" fillId="0" borderId="104" xfId="1" applyNumberFormat="1" applyFont="1" applyFill="1" applyBorder="1" applyAlignment="1">
      <alignment horizontal="center" wrapText="1"/>
    </xf>
    <xf numFmtId="3" fontId="30" fillId="0" borderId="104" xfId="0" applyNumberFormat="1" applyFont="1" applyBorder="1" applyAlignment="1">
      <alignment horizontal="center" vertical="center"/>
    </xf>
    <xf numFmtId="3" fontId="23" fillId="22" borderId="104" xfId="0" applyNumberFormat="1" applyFont="1" applyFill="1" applyBorder="1" applyAlignment="1">
      <alignment horizontal="center" vertical="center"/>
    </xf>
    <xf numFmtId="0" fontId="17" fillId="11" borderId="104" xfId="0" applyFont="1" applyFill="1" applyBorder="1" applyAlignment="1">
      <alignment horizontal="center" vertical="center" wrapText="1"/>
    </xf>
    <xf numFmtId="3" fontId="17" fillId="11" borderId="104" xfId="0" applyNumberFormat="1" applyFont="1" applyFill="1" applyBorder="1" applyAlignment="1">
      <alignment horizontal="center" vertical="center" wrapText="1"/>
    </xf>
    <xf numFmtId="10" fontId="17" fillId="0" borderId="104" xfId="1" applyNumberFormat="1" applyFont="1" applyFill="1" applyBorder="1" applyAlignment="1">
      <alignment horizontal="center" vertical="center" wrapText="1"/>
    </xf>
    <xf numFmtId="167" fontId="14" fillId="0" borderId="104" xfId="1" applyNumberFormat="1" applyFont="1" applyBorder="1" applyAlignment="1">
      <alignment wrapText="1"/>
    </xf>
    <xf numFmtId="0" fontId="17" fillId="0" borderId="104" xfId="0" applyFont="1" applyFill="1" applyBorder="1" applyAlignment="1">
      <alignment wrapText="1"/>
    </xf>
    <xf numFmtId="166" fontId="17" fillId="11" borderId="104" xfId="0" applyNumberFormat="1" applyFont="1" applyFill="1" applyBorder="1" applyAlignment="1">
      <alignment horizontal="center" vertical="center" wrapText="1"/>
    </xf>
    <xf numFmtId="0" fontId="24" fillId="0" borderId="104" xfId="0" applyFont="1" applyFill="1" applyBorder="1"/>
    <xf numFmtId="3" fontId="30" fillId="0" borderId="104" xfId="0" applyNumberFormat="1" applyFont="1" applyFill="1" applyBorder="1" applyAlignment="1">
      <alignment horizontal="center" vertical="center"/>
    </xf>
    <xf numFmtId="167" fontId="17" fillId="16" borderId="104" xfId="1" applyNumberFormat="1" applyFont="1" applyFill="1" applyBorder="1" applyAlignment="1">
      <alignment horizontal="center" vertical="center" wrapText="1"/>
    </xf>
    <xf numFmtId="167" fontId="17" fillId="16" borderId="104" xfId="1" applyNumberFormat="1" applyFont="1" applyFill="1" applyBorder="1" applyAlignment="1">
      <alignment horizontal="left" wrapText="1"/>
    </xf>
    <xf numFmtId="3" fontId="30" fillId="16" borderId="106" xfId="0" applyNumberFormat="1" applyFont="1" applyFill="1" applyBorder="1" applyAlignment="1">
      <alignment horizontal="center" vertical="center"/>
    </xf>
    <xf numFmtId="3" fontId="30" fillId="0" borderId="106" xfId="0" applyNumberFormat="1" applyFont="1" applyBorder="1" applyAlignment="1">
      <alignment horizontal="center" vertical="center"/>
    </xf>
    <xf numFmtId="3" fontId="23" fillId="22" borderId="106" xfId="0" applyNumberFormat="1" applyFont="1" applyFill="1" applyBorder="1" applyAlignment="1">
      <alignment horizontal="center" vertical="center"/>
    </xf>
    <xf numFmtId="0" fontId="24" fillId="16" borderId="105" xfId="0" applyFont="1" applyFill="1" applyBorder="1"/>
    <xf numFmtId="0" fontId="34" fillId="16" borderId="105" xfId="0" applyFont="1" applyFill="1" applyBorder="1" applyAlignment="1">
      <alignment horizontal="center"/>
    </xf>
    <xf numFmtId="0" fontId="34" fillId="16" borderId="105" xfId="0" applyFont="1" applyFill="1" applyBorder="1" applyAlignment="1">
      <alignment vertical="center"/>
    </xf>
    <xf numFmtId="3" fontId="34" fillId="16" borderId="105" xfId="0" applyNumberFormat="1" applyFont="1" applyFill="1" applyBorder="1"/>
    <xf numFmtId="1" fontId="34" fillId="16" borderId="105" xfId="0" applyNumberFormat="1" applyFont="1" applyFill="1" applyBorder="1" applyAlignment="1">
      <alignment horizontal="center"/>
    </xf>
    <xf numFmtId="3" fontId="34" fillId="16" borderId="105" xfId="0" applyNumberFormat="1" applyFont="1" applyFill="1" applyBorder="1" applyAlignment="1">
      <alignment horizontal="right"/>
    </xf>
    <xf numFmtId="0" fontId="34" fillId="16" borderId="105" xfId="0" applyFont="1" applyFill="1" applyBorder="1"/>
    <xf numFmtId="3" fontId="21" fillId="16" borderId="105" xfId="0" applyNumberFormat="1" applyFont="1" applyFill="1" applyBorder="1" applyAlignment="1">
      <alignment horizontal="center"/>
    </xf>
    <xf numFmtId="0" fontId="24" fillId="0" borderId="105" xfId="0" applyFont="1" applyBorder="1"/>
    <xf numFmtId="0" fontId="34" fillId="0" borderId="105" xfId="0" applyFont="1" applyBorder="1" applyAlignment="1">
      <alignment horizontal="center"/>
    </xf>
    <xf numFmtId="0" fontId="34" fillId="0" borderId="105" xfId="0" applyFont="1" applyBorder="1" applyAlignment="1">
      <alignment vertical="center"/>
    </xf>
    <xf numFmtId="3" fontId="34" fillId="0" borderId="105" xfId="0" applyNumberFormat="1" applyFont="1" applyBorder="1"/>
    <xf numFmtId="1" fontId="34" fillId="0" borderId="105" xfId="0" applyNumberFormat="1" applyFont="1" applyBorder="1" applyAlignment="1">
      <alignment horizontal="center"/>
    </xf>
    <xf numFmtId="3" fontId="34" fillId="0" borderId="105" xfId="0" applyNumberFormat="1" applyFont="1" applyBorder="1" applyAlignment="1">
      <alignment horizontal="right"/>
    </xf>
    <xf numFmtId="0" fontId="34" fillId="0" borderId="105" xfId="0" applyFont="1" applyBorder="1"/>
    <xf numFmtId="3" fontId="21" fillId="0" borderId="105" xfId="0" applyNumberFormat="1" applyFont="1" applyBorder="1" applyAlignment="1">
      <alignment horizont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4" fillId="0" borderId="29" xfId="0" applyNumberFormat="1" applyFont="1" applyFill="1" applyBorder="1" applyAlignment="1">
      <alignment horizontal="center" vertical="center" wrapText="1"/>
    </xf>
    <xf numFmtId="0" fontId="24" fillId="0" borderId="104" xfId="0" applyFont="1" applyFill="1" applyBorder="1" applyAlignment="1">
      <alignment vertical="center" wrapText="1"/>
    </xf>
    <xf numFmtId="3" fontId="24" fillId="0" borderId="104" xfId="0" applyNumberFormat="1" applyFont="1" applyFill="1" applyBorder="1" applyAlignment="1">
      <alignment vertical="center" wrapText="1"/>
    </xf>
    <xf numFmtId="3" fontId="30" fillId="0" borderId="104" xfId="0" applyNumberFormat="1" applyFont="1" applyFill="1" applyBorder="1" applyAlignment="1">
      <alignment horizontal="center" vertical="center" wrapText="1"/>
    </xf>
    <xf numFmtId="0" fontId="24" fillId="0" borderId="0" xfId="0" applyFont="1" applyFill="1" applyAlignment="1">
      <alignment vertical="center" wrapText="1"/>
    </xf>
    <xf numFmtId="0" fontId="34" fillId="0" borderId="0" xfId="0" applyFont="1" applyFill="1" applyAlignment="1">
      <alignment horizontal="center" vertical="center" wrapText="1"/>
    </xf>
    <xf numFmtId="0" fontId="34" fillId="0" borderId="0" xfId="0" applyFont="1" applyFill="1" applyAlignment="1">
      <alignment vertical="center" wrapText="1"/>
    </xf>
    <xf numFmtId="3" fontId="34" fillId="0" borderId="0" xfId="0" applyNumberFormat="1" applyFont="1" applyFill="1" applyAlignment="1">
      <alignment vertical="center" wrapText="1"/>
    </xf>
    <xf numFmtId="1" fontId="34" fillId="0" borderId="0" xfId="0" applyNumberFormat="1" applyFont="1" applyFill="1" applyAlignment="1">
      <alignment horizontal="center" vertical="center" wrapText="1"/>
    </xf>
    <xf numFmtId="3" fontId="34" fillId="0" borderId="0" xfId="0" applyNumberFormat="1" applyFont="1" applyFill="1" applyAlignment="1">
      <alignment horizontal="right" vertical="center" wrapText="1"/>
    </xf>
    <xf numFmtId="3" fontId="21" fillId="0" borderId="0" xfId="0" applyNumberFormat="1" applyFont="1" applyFill="1" applyAlignment="1">
      <alignment horizontal="center" vertical="center" wrapText="1"/>
    </xf>
    <xf numFmtId="0" fontId="17" fillId="0" borderId="0" xfId="0" applyFont="1" applyFill="1"/>
    <xf numFmtId="3" fontId="17" fillId="0" borderId="0" xfId="0" applyNumberFormat="1" applyFont="1" applyFill="1"/>
    <xf numFmtId="3" fontId="0" fillId="0" borderId="0" xfId="0" applyNumberFormat="1" applyFill="1" applyAlignment="1"/>
    <xf numFmtId="3" fontId="13" fillId="0" borderId="0" xfId="0" applyNumberFormat="1" applyFont="1" applyFill="1" applyAlignment="1"/>
    <xf numFmtId="3" fontId="13" fillId="0" borderId="0" xfId="0" applyNumberFormat="1" applyFont="1" applyFill="1"/>
    <xf numFmtId="0" fontId="13" fillId="0" borderId="0" xfId="0" applyFont="1" applyAlignment="1">
      <alignment vertical="center"/>
    </xf>
    <xf numFmtId="3" fontId="9" fillId="0" borderId="0" xfId="0" applyNumberFormat="1" applyFont="1" applyFill="1"/>
    <xf numFmtId="168" fontId="0" fillId="0" borderId="0" xfId="1" applyNumberFormat="1" applyFont="1" applyFill="1"/>
    <xf numFmtId="0" fontId="59" fillId="12" borderId="7" xfId="0" applyFont="1" applyFill="1" applyBorder="1" applyAlignment="1">
      <alignment horizontal="left" vertical="top" wrapText="1"/>
    </xf>
    <xf numFmtId="0" fontId="34" fillId="12" borderId="7" xfId="0" applyFont="1" applyFill="1" applyBorder="1" applyAlignment="1">
      <alignment horizontal="left" vertical="top" wrapText="1"/>
    </xf>
    <xf numFmtId="1" fontId="34" fillId="0" borderId="4"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0" fillId="25" borderId="33" xfId="0" applyNumberFormat="1" applyFill="1" applyBorder="1"/>
    <xf numFmtId="0" fontId="0" fillId="23" borderId="13" xfId="0" applyFill="1" applyBorder="1" applyAlignment="1">
      <alignment horizontal="center"/>
    </xf>
    <xf numFmtId="0" fontId="0" fillId="23" borderId="7" xfId="0" applyFill="1" applyBorder="1" applyAlignment="1"/>
    <xf numFmtId="1" fontId="0" fillId="23" borderId="7" xfId="0" applyNumberFormat="1" applyFill="1" applyBorder="1" applyAlignment="1"/>
    <xf numFmtId="3" fontId="0" fillId="23" borderId="7" xfId="0" applyNumberFormat="1" applyFill="1" applyBorder="1" applyAlignment="1"/>
    <xf numFmtId="3" fontId="0" fillId="23" borderId="33" xfId="0" applyNumberFormat="1" applyFill="1" applyBorder="1" applyAlignment="1"/>
    <xf numFmtId="3" fontId="36" fillId="13" borderId="26" xfId="2" applyNumberFormat="1" applyFont="1" applyFill="1" applyBorder="1" applyAlignment="1">
      <alignment horizontal="left" vertical="center"/>
    </xf>
    <xf numFmtId="3" fontId="36" fillId="21" borderId="26" xfId="2" applyNumberFormat="1" applyFont="1" applyFill="1" applyBorder="1" applyAlignment="1">
      <alignment horizontal="left" vertical="center"/>
    </xf>
    <xf numFmtId="3" fontId="36" fillId="24" borderId="26" xfId="2" applyNumberFormat="1" applyFont="1" applyFill="1" applyBorder="1" applyAlignment="1">
      <alignment horizontal="left" vertical="center"/>
    </xf>
    <xf numFmtId="0" fontId="30" fillId="6" borderId="29" xfId="0" applyFont="1" applyFill="1" applyBorder="1" applyAlignment="1">
      <alignment horizontal="left" vertical="center"/>
    </xf>
    <xf numFmtId="1" fontId="34" fillId="0" borderId="0" xfId="0" applyNumberFormat="1" applyFont="1" applyFill="1" applyBorder="1" applyAlignment="1">
      <alignment horizontal="center"/>
    </xf>
    <xf numFmtId="3" fontId="13" fillId="23" borderId="13" xfId="0" applyNumberFormat="1" applyFont="1" applyFill="1" applyBorder="1" applyAlignment="1">
      <alignment horizontal="center"/>
    </xf>
    <xf numFmtId="3" fontId="0" fillId="23" borderId="7" xfId="0" applyNumberFormat="1" applyFill="1" applyBorder="1"/>
    <xf numFmtId="3" fontId="0" fillId="23" borderId="29" xfId="0" applyNumberFormat="1" applyFill="1" applyBorder="1"/>
    <xf numFmtId="3" fontId="0" fillId="23" borderId="13" xfId="0" applyNumberFormat="1" applyFill="1" applyBorder="1" applyAlignment="1">
      <alignment horizontal="center"/>
    </xf>
    <xf numFmtId="0" fontId="13" fillId="9" borderId="29" xfId="0" applyFont="1" applyFill="1" applyBorder="1" applyAlignment="1">
      <alignment horizontal="left" vertical="center"/>
    </xf>
    <xf numFmtId="1" fontId="14" fillId="0" borderId="7"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1" fontId="14" fillId="0" borderId="23" xfId="0" applyNumberFormat="1" applyFont="1" applyFill="1" applyBorder="1" applyAlignment="1">
      <alignment horizontal="center" vertical="center" wrapText="1"/>
    </xf>
    <xf numFmtId="1" fontId="17" fillId="0" borderId="7" xfId="0" applyNumberFormat="1" applyFont="1" applyFill="1" applyBorder="1" applyAlignment="1">
      <alignment horizontal="left" vertical="center" wrapText="1"/>
    </xf>
    <xf numFmtId="3" fontId="70" fillId="72" borderId="7" xfId="2" applyNumberFormat="1" applyFont="1" applyFill="1" applyBorder="1" applyAlignment="1">
      <alignment horizontal="left" vertical="top" wrapText="1"/>
    </xf>
    <xf numFmtId="3" fontId="71" fillId="72" borderId="7" xfId="2" applyNumberFormat="1" applyFont="1" applyFill="1" applyBorder="1" applyAlignment="1">
      <alignment horizontal="left" vertical="top"/>
    </xf>
    <xf numFmtId="1" fontId="13" fillId="72" borderId="2" xfId="0" applyNumberFormat="1" applyFont="1" applyFill="1" applyBorder="1" applyAlignment="1">
      <alignment horizontal="left" vertical="center"/>
    </xf>
    <xf numFmtId="1" fontId="14" fillId="72" borderId="3" xfId="0" applyNumberFormat="1" applyFont="1" applyFill="1" applyBorder="1" applyAlignment="1">
      <alignment horizontal="center" vertical="center" wrapText="1"/>
    </xf>
    <xf numFmtId="3" fontId="14" fillId="72" borderId="3" xfId="0" applyNumberFormat="1" applyFont="1" applyFill="1" applyBorder="1" applyAlignment="1">
      <alignment horizontal="center" vertical="center" wrapText="1"/>
    </xf>
    <xf numFmtId="1" fontId="14" fillId="72" borderId="7" xfId="0" applyNumberFormat="1" applyFont="1" applyFill="1" applyBorder="1" applyAlignment="1">
      <alignment horizontal="center" vertical="center" wrapText="1"/>
    </xf>
    <xf numFmtId="3" fontId="14" fillId="72" borderId="7" xfId="0" applyNumberFormat="1" applyFont="1" applyFill="1" applyBorder="1" applyAlignment="1">
      <alignment horizontal="center" vertical="center" wrapText="1"/>
    </xf>
    <xf numFmtId="1" fontId="14" fillId="72" borderId="23" xfId="0" applyNumberFormat="1" applyFont="1" applyFill="1" applyBorder="1" applyAlignment="1">
      <alignment horizontal="center" vertical="center" wrapText="1"/>
    </xf>
    <xf numFmtId="3" fontId="17" fillId="72" borderId="3" xfId="0" applyNumberFormat="1" applyFont="1" applyFill="1" applyBorder="1" applyAlignment="1">
      <alignment horizontal="center" vertical="center" wrapText="1"/>
    </xf>
    <xf numFmtId="3" fontId="17" fillId="72" borderId="7" xfId="0" applyNumberFormat="1" applyFont="1" applyFill="1" applyBorder="1" applyAlignment="1">
      <alignment horizontal="center" vertical="center" wrapText="1"/>
    </xf>
    <xf numFmtId="3" fontId="17" fillId="72" borderId="13" xfId="0" applyNumberFormat="1" applyFont="1" applyFill="1" applyBorder="1" applyAlignment="1">
      <alignment horizontal="center" vertical="center" wrapText="1"/>
    </xf>
    <xf numFmtId="3" fontId="17" fillId="72" borderId="7" xfId="0" applyNumberFormat="1" applyFont="1" applyFill="1" applyBorder="1" applyAlignment="1">
      <alignment horizontal="left" vertical="center" wrapText="1"/>
    </xf>
    <xf numFmtId="1" fontId="17" fillId="72" borderId="7" xfId="0" applyNumberFormat="1" applyFont="1" applyFill="1" applyBorder="1" applyAlignment="1">
      <alignment horizontal="left" vertical="center" wrapText="1"/>
    </xf>
    <xf numFmtId="3" fontId="17" fillId="72" borderId="33" xfId="0" applyNumberFormat="1" applyFont="1" applyFill="1" applyBorder="1" applyAlignment="1">
      <alignment horizontal="center" vertical="center" wrapText="1"/>
    </xf>
    <xf numFmtId="0" fontId="18" fillId="8" borderId="33" xfId="0" applyFont="1" applyFill="1" applyBorder="1" applyAlignment="1">
      <alignment horizontal="left" vertical="center" wrapText="1"/>
    </xf>
    <xf numFmtId="1" fontId="13" fillId="0" borderId="3"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xf>
    <xf numFmtId="0" fontId="32" fillId="0" borderId="3" xfId="0" applyFont="1" applyFill="1" applyBorder="1" applyAlignment="1">
      <alignment horizontal="center" vertical="center"/>
    </xf>
    <xf numFmtId="3" fontId="37" fillId="5" borderId="0" xfId="0" applyNumberFormat="1" applyFont="1" applyFill="1" applyBorder="1" applyAlignment="1">
      <alignment horizontal="center" vertical="center" wrapText="1"/>
    </xf>
    <xf numFmtId="3" fontId="34" fillId="5" borderId="0" xfId="0" applyNumberFormat="1" applyFont="1" applyFill="1" applyBorder="1"/>
    <xf numFmtId="3" fontId="34" fillId="5" borderId="19" xfId="0" applyNumberFormat="1" applyFont="1" applyFill="1" applyBorder="1"/>
    <xf numFmtId="3" fontId="34" fillId="5" borderId="4" xfId="0" applyNumberFormat="1" applyFont="1" applyFill="1" applyBorder="1" applyAlignment="1"/>
    <xf numFmtId="3" fontId="61" fillId="25" borderId="18" xfId="0" applyNumberFormat="1" applyFont="1" applyFill="1" applyBorder="1" applyAlignment="1">
      <alignment horizontal="center" vertical="center" wrapText="1"/>
    </xf>
    <xf numFmtId="3" fontId="34" fillId="25" borderId="7" xfId="0" applyNumberFormat="1" applyFont="1" applyFill="1" applyBorder="1"/>
    <xf numFmtId="3" fontId="34" fillId="0" borderId="3" xfId="0" applyNumberFormat="1" applyFont="1" applyFill="1" applyBorder="1" applyAlignment="1">
      <alignment horizontal="center" vertical="center" wrapText="1"/>
    </xf>
    <xf numFmtId="3" fontId="37" fillId="9" borderId="29" xfId="0" applyNumberFormat="1" applyFont="1" applyFill="1" applyBorder="1" applyAlignment="1">
      <alignment horizontal="center" vertical="center" wrapText="1"/>
    </xf>
    <xf numFmtId="3" fontId="37" fillId="25" borderId="29" xfId="0" applyNumberFormat="1" applyFont="1" applyFill="1" applyBorder="1" applyAlignment="1">
      <alignment horizontal="center" vertical="center" wrapText="1"/>
    </xf>
    <xf numFmtId="3" fontId="37" fillId="0" borderId="29" xfId="0" applyNumberFormat="1" applyFont="1" applyFill="1" applyBorder="1" applyAlignment="1">
      <alignment horizontal="center" vertical="center" wrapText="1"/>
    </xf>
    <xf numFmtId="3" fontId="66" fillId="0" borderId="29" xfId="0" applyNumberFormat="1" applyFont="1" applyFill="1" applyBorder="1" applyAlignment="1">
      <alignment horizontal="center" vertical="center" wrapText="1"/>
    </xf>
    <xf numFmtId="3" fontId="37" fillId="71" borderId="29" xfId="0" applyNumberFormat="1" applyFont="1" applyFill="1" applyBorder="1" applyAlignment="1">
      <alignment horizontal="center" vertical="center" wrapText="1"/>
    </xf>
    <xf numFmtId="3" fontId="61" fillId="23" borderId="29" xfId="0" applyNumberFormat="1" applyFont="1" applyFill="1" applyBorder="1" applyAlignment="1">
      <alignment horizontal="center" vertical="center" wrapText="1"/>
    </xf>
    <xf numFmtId="3" fontId="37" fillId="4" borderId="29" xfId="0" applyNumberFormat="1" applyFont="1" applyFill="1" applyBorder="1" applyAlignment="1">
      <alignment horizontal="center" vertical="center" wrapText="1"/>
    </xf>
    <xf numFmtId="3" fontId="61" fillId="28" borderId="29" xfId="0" applyNumberFormat="1" applyFont="1" applyFill="1" applyBorder="1" applyAlignment="1">
      <alignment horizontal="center" vertical="center" wrapText="1"/>
    </xf>
    <xf numFmtId="3" fontId="34" fillId="28" borderId="7" xfId="0" applyNumberFormat="1" applyFont="1" applyFill="1" applyBorder="1"/>
    <xf numFmtId="3" fontId="37" fillId="28" borderId="29" xfId="0" applyNumberFormat="1" applyFont="1" applyFill="1" applyBorder="1" applyAlignment="1">
      <alignment horizontal="center" vertical="center" wrapText="1"/>
    </xf>
    <xf numFmtId="3" fontId="59" fillId="0" borderId="29" xfId="0" applyNumberFormat="1" applyFont="1" applyFill="1" applyBorder="1" applyAlignment="1">
      <alignment horizontal="center" vertical="center" wrapText="1"/>
    </xf>
    <xf numFmtId="3" fontId="37" fillId="0" borderId="16" xfId="0" applyNumberFormat="1" applyFont="1" applyFill="1" applyBorder="1" applyAlignment="1">
      <alignment horizontal="center" vertical="center" wrapText="1"/>
    </xf>
    <xf numFmtId="3" fontId="37" fillId="5" borderId="14" xfId="0" applyNumberFormat="1" applyFont="1" applyFill="1" applyBorder="1" applyAlignment="1">
      <alignment horizontal="center" vertical="center" wrapText="1"/>
    </xf>
    <xf numFmtId="3" fontId="37" fillId="0" borderId="25" xfId="0" applyNumberFormat="1" applyFont="1" applyFill="1" applyBorder="1" applyAlignment="1">
      <alignment horizontal="center" vertical="center" wrapText="1"/>
    </xf>
    <xf numFmtId="3" fontId="34" fillId="0" borderId="0" xfId="0" applyNumberFormat="1" applyFont="1" applyBorder="1"/>
    <xf numFmtId="1" fontId="37" fillId="5" borderId="0" xfId="0" applyNumberFormat="1" applyFont="1" applyFill="1" applyBorder="1" applyAlignment="1">
      <alignment horizontal="center" vertical="center" wrapText="1"/>
    </xf>
    <xf numFmtId="1" fontId="34" fillId="5" borderId="0" xfId="0" applyNumberFormat="1" applyFont="1" applyFill="1" applyBorder="1"/>
    <xf numFmtId="1" fontId="34" fillId="5" borderId="19" xfId="0" applyNumberFormat="1" applyFont="1" applyFill="1" applyBorder="1"/>
    <xf numFmtId="1" fontId="34" fillId="5" borderId="4" xfId="0" applyNumberFormat="1" applyFont="1" applyFill="1" applyBorder="1" applyAlignment="1">
      <alignment horizontal="center" vertical="center" wrapText="1"/>
    </xf>
    <xf numFmtId="1" fontId="61" fillId="25" borderId="6" xfId="0" applyNumberFormat="1" applyFont="1" applyFill="1" applyBorder="1" applyAlignment="1">
      <alignment horizontal="center" vertical="center" wrapText="1"/>
    </xf>
    <xf numFmtId="1" fontId="34" fillId="25" borderId="7" xfId="0" applyNumberFormat="1" applyFont="1" applyFill="1" applyBorder="1"/>
    <xf numFmtId="1" fontId="34" fillId="0" borderId="7" xfId="0" applyNumberFormat="1" applyFont="1" applyFill="1" applyBorder="1" applyAlignment="1">
      <alignment horizontal="center" vertical="center" wrapText="1"/>
    </xf>
    <xf numFmtId="1" fontId="37" fillId="9" borderId="7" xfId="0" applyNumberFormat="1" applyFont="1" applyFill="1" applyBorder="1" applyAlignment="1">
      <alignment horizontal="center" vertical="center" wrapText="1"/>
    </xf>
    <xf numFmtId="1" fontId="37" fillId="25" borderId="7" xfId="0" applyNumberFormat="1" applyFont="1" applyFill="1" applyBorder="1" applyAlignment="1">
      <alignment horizontal="center" vertical="center" wrapText="1"/>
    </xf>
    <xf numFmtId="1" fontId="66" fillId="0" borderId="7" xfId="0" applyNumberFormat="1" applyFont="1" applyFill="1" applyBorder="1" applyAlignment="1">
      <alignment horizontal="center" vertical="center" wrapText="1"/>
    </xf>
    <xf numFmtId="1" fontId="37" fillId="71" borderId="7" xfId="0" applyNumberFormat="1" applyFont="1" applyFill="1" applyBorder="1" applyAlignment="1">
      <alignment horizontal="center" vertical="center" wrapText="1"/>
    </xf>
    <xf numFmtId="1" fontId="61" fillId="23" borderId="7" xfId="0" applyNumberFormat="1" applyFont="1" applyFill="1" applyBorder="1" applyAlignment="1">
      <alignment horizontal="center" vertical="center" wrapText="1"/>
    </xf>
    <xf numFmtId="1" fontId="37" fillId="4" borderId="7" xfId="0" applyNumberFormat="1" applyFont="1" applyFill="1" applyBorder="1" applyAlignment="1">
      <alignment horizontal="center" vertical="center" wrapText="1"/>
    </xf>
    <xf numFmtId="1" fontId="61" fillId="28" borderId="7" xfId="0" applyNumberFormat="1" applyFont="1" applyFill="1" applyBorder="1" applyAlignment="1">
      <alignment horizontal="center" vertical="center" wrapText="1"/>
    </xf>
    <xf numFmtId="1" fontId="34" fillId="28" borderId="7" xfId="0" applyNumberFormat="1" applyFont="1" applyFill="1" applyBorder="1"/>
    <xf numFmtId="1" fontId="37" fillId="28" borderId="7" xfId="0" applyNumberFormat="1" applyFont="1" applyFill="1" applyBorder="1" applyAlignment="1">
      <alignment horizontal="center" vertical="center" wrapText="1"/>
    </xf>
    <xf numFmtId="1" fontId="59" fillId="0" borderId="7" xfId="0" applyNumberFormat="1" applyFont="1" applyFill="1" applyBorder="1" applyAlignment="1">
      <alignment horizontal="center" vertical="center" wrapText="1"/>
    </xf>
    <xf numFmtId="1" fontId="37" fillId="0" borderId="15" xfId="0" applyNumberFormat="1" applyFont="1" applyFill="1" applyBorder="1" applyAlignment="1">
      <alignment horizontal="center" vertical="center" wrapText="1"/>
    </xf>
    <xf numFmtId="1" fontId="37" fillId="9" borderId="34" xfId="1" applyNumberFormat="1" applyFont="1" applyFill="1" applyBorder="1" applyAlignment="1">
      <alignment horizontal="center" vertical="center" wrapText="1"/>
    </xf>
    <xf numFmtId="1" fontId="59" fillId="0" borderId="17" xfId="0" applyNumberFormat="1" applyFont="1" applyFill="1" applyBorder="1" applyAlignment="1">
      <alignment horizontal="center" vertical="center" wrapText="1"/>
    </xf>
    <xf numFmtId="1" fontId="37" fillId="0" borderId="0" xfId="0" applyNumberFormat="1" applyFont="1" applyFill="1" applyBorder="1" applyAlignment="1">
      <alignment horizontal="center" vertical="center" wrapText="1"/>
    </xf>
    <xf numFmtId="1" fontId="37" fillId="0" borderId="25" xfId="0" applyNumberFormat="1" applyFont="1" applyFill="1" applyBorder="1" applyAlignment="1">
      <alignment horizontal="center" vertical="center" wrapText="1"/>
    </xf>
    <xf numFmtId="1" fontId="34" fillId="0" borderId="0" xfId="0" applyNumberFormat="1" applyFont="1" applyBorder="1"/>
    <xf numFmtId="1" fontId="37" fillId="5" borderId="40" xfId="0" applyNumberFormat="1" applyFont="1" applyFill="1" applyBorder="1" applyAlignment="1">
      <alignment horizontal="center" vertical="center" wrapText="1"/>
    </xf>
    <xf numFmtId="1" fontId="34" fillId="5" borderId="4" xfId="0" applyNumberFormat="1" applyFont="1" applyFill="1" applyBorder="1" applyAlignment="1"/>
    <xf numFmtId="3" fontId="34" fillId="5" borderId="48" xfId="0" applyNumberFormat="1" applyFont="1" applyFill="1" applyBorder="1" applyAlignment="1"/>
    <xf numFmtId="3" fontId="72" fillId="25" borderId="6" xfId="0" applyNumberFormat="1" applyFont="1" applyFill="1" applyBorder="1" applyAlignment="1">
      <alignment horizontal="center"/>
    </xf>
    <xf numFmtId="3" fontId="34" fillId="0" borderId="7" xfId="0" applyNumberFormat="1" applyFont="1" applyFill="1" applyBorder="1" applyAlignment="1">
      <alignment horizontal="center"/>
    </xf>
    <xf numFmtId="3" fontId="34" fillId="0" borderId="29" xfId="0" applyNumberFormat="1" applyFont="1" applyFill="1" applyBorder="1" applyAlignment="1">
      <alignment horizontal="center"/>
    </xf>
    <xf numFmtId="3" fontId="34" fillId="25" borderId="7" xfId="0" applyNumberFormat="1" applyFont="1" applyFill="1" applyBorder="1" applyAlignment="1">
      <alignment horizontal="center"/>
    </xf>
    <xf numFmtId="1" fontId="37" fillId="0" borderId="7" xfId="0" applyNumberFormat="1" applyFont="1" applyFill="1" applyBorder="1" applyAlignment="1">
      <alignment horizontal="center" vertical="center" wrapText="1"/>
    </xf>
    <xf numFmtId="3" fontId="72" fillId="23" borderId="7" xfId="0" applyNumberFormat="1" applyFont="1" applyFill="1" applyBorder="1" applyAlignment="1">
      <alignment horizontal="center"/>
    </xf>
    <xf numFmtId="3" fontId="72" fillId="28" borderId="7" xfId="0" applyNumberFormat="1" applyFont="1" applyFill="1" applyBorder="1" applyAlignment="1">
      <alignment horizontal="center"/>
    </xf>
    <xf numFmtId="3" fontId="34" fillId="0" borderId="7"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xf>
    <xf numFmtId="3" fontId="34" fillId="28" borderId="7" xfId="0" applyNumberFormat="1" applyFont="1" applyFill="1" applyBorder="1" applyAlignment="1">
      <alignment horizontal="center"/>
    </xf>
    <xf numFmtId="3" fontId="34" fillId="0" borderId="0" xfId="0" applyNumberFormat="1" applyFont="1" applyBorder="1" applyAlignment="1">
      <alignment horizontal="center"/>
    </xf>
    <xf numFmtId="1" fontId="37" fillId="5" borderId="14" xfId="0" applyNumberFormat="1" applyFont="1" applyFill="1" applyBorder="1" applyAlignment="1">
      <alignment horizontal="center" vertical="center" wrapText="1"/>
    </xf>
    <xf numFmtId="3" fontId="37" fillId="5" borderId="15" xfId="0" applyNumberFormat="1" applyFont="1" applyFill="1" applyBorder="1" applyAlignment="1">
      <alignment horizontal="center" vertical="center" wrapText="1"/>
    </xf>
    <xf numFmtId="1" fontId="37" fillId="11" borderId="7" xfId="0" applyNumberFormat="1" applyFont="1" applyFill="1" applyBorder="1" applyAlignment="1">
      <alignment horizontal="center" vertical="center" wrapText="1"/>
    </xf>
    <xf numFmtId="1" fontId="34" fillId="5" borderId="0" xfId="0" applyNumberFormat="1" applyFont="1" applyFill="1" applyBorder="1" applyAlignment="1">
      <alignment horizontal="center"/>
    </xf>
    <xf numFmtId="169" fontId="34" fillId="5" borderId="16" xfId="0" applyNumberFormat="1" applyFont="1" applyFill="1" applyBorder="1" applyAlignment="1">
      <alignment horizontal="center"/>
    </xf>
    <xf numFmtId="3" fontId="34" fillId="5" borderId="0" xfId="0" applyNumberFormat="1" applyFont="1" applyFill="1" applyBorder="1" applyAlignment="1">
      <alignment horizontal="center"/>
    </xf>
    <xf numFmtId="1" fontId="34" fillId="5" borderId="0" xfId="0" applyNumberFormat="1" applyFont="1" applyFill="1" applyBorder="1" applyAlignment="1"/>
    <xf numFmtId="3" fontId="34" fillId="5" borderId="0" xfId="0" applyNumberFormat="1" applyFont="1" applyFill="1" applyBorder="1" applyAlignment="1"/>
    <xf numFmtId="1" fontId="59" fillId="5" borderId="0" xfId="0" applyNumberFormat="1" applyFont="1" applyFill="1" applyBorder="1" applyAlignment="1">
      <alignment horizontal="center"/>
    </xf>
    <xf numFmtId="1" fontId="34" fillId="5" borderId="16" xfId="0" applyNumberFormat="1" applyFont="1" applyFill="1" applyBorder="1" applyAlignment="1">
      <alignment horizontal="center"/>
    </xf>
    <xf numFmtId="1" fontId="34" fillId="5" borderId="18" xfId="0" applyNumberFormat="1" applyFont="1" applyFill="1" applyBorder="1" applyAlignment="1">
      <alignment horizontal="center"/>
    </xf>
    <xf numFmtId="169" fontId="34" fillId="5" borderId="18" xfId="0" applyNumberFormat="1" applyFont="1" applyFill="1" applyBorder="1" applyAlignment="1">
      <alignment horizontal="center"/>
    </xf>
    <xf numFmtId="3" fontId="34" fillId="5" borderId="19" xfId="0" applyNumberFormat="1" applyFont="1" applyFill="1" applyBorder="1" applyAlignment="1">
      <alignment horizontal="center"/>
    </xf>
    <xf numFmtId="1" fontId="59" fillId="5" borderId="19" xfId="0" applyNumberFormat="1" applyFont="1" applyFill="1" applyBorder="1" applyAlignment="1">
      <alignment horizontal="center"/>
    </xf>
    <xf numFmtId="1" fontId="34" fillId="5" borderId="2" xfId="0" applyNumberFormat="1" applyFont="1" applyFill="1" applyBorder="1" applyAlignment="1">
      <alignment horizontal="center" wrapText="1"/>
    </xf>
    <xf numFmtId="169" fontId="34" fillId="5" borderId="2" xfId="0" applyNumberFormat="1" applyFont="1" applyFill="1" applyBorder="1" applyAlignment="1">
      <alignment horizontal="center" wrapText="1"/>
    </xf>
    <xf numFmtId="3" fontId="34" fillId="5" borderId="2" xfId="0" applyNumberFormat="1" applyFont="1" applyFill="1" applyBorder="1" applyAlignment="1">
      <alignment horizontal="center" wrapText="1"/>
    </xf>
    <xf numFmtId="1" fontId="34" fillId="5" borderId="2" xfId="0" applyNumberFormat="1" applyFont="1" applyFill="1" applyBorder="1" applyAlignment="1"/>
    <xf numFmtId="3" fontId="34" fillId="5" borderId="2" xfId="0" applyNumberFormat="1" applyFont="1" applyFill="1" applyBorder="1" applyAlignment="1">
      <alignment horizontal="center"/>
    </xf>
    <xf numFmtId="1" fontId="59" fillId="5" borderId="2" xfId="0" applyNumberFormat="1" applyFont="1" applyFill="1" applyBorder="1" applyAlignment="1">
      <alignment horizontal="center"/>
    </xf>
    <xf numFmtId="1" fontId="37" fillId="5" borderId="52" xfId="0" applyNumberFormat="1" applyFont="1" applyFill="1" applyBorder="1" applyAlignment="1">
      <alignment horizontal="center" vertical="center" wrapText="1"/>
    </xf>
    <xf numFmtId="3" fontId="66" fillId="5" borderId="52" xfId="0" applyNumberFormat="1" applyFont="1" applyFill="1" applyBorder="1" applyAlignment="1">
      <alignment horizontal="center" vertical="center" wrapText="1"/>
    </xf>
    <xf numFmtId="1" fontId="66" fillId="5" borderId="53" xfId="0" applyNumberFormat="1" applyFont="1" applyFill="1" applyBorder="1" applyAlignment="1">
      <alignment horizontal="center" vertical="center" wrapText="1"/>
    </xf>
    <xf numFmtId="1" fontId="71" fillId="13" borderId="4" xfId="2" applyNumberFormat="1" applyFont="1" applyFill="1" applyBorder="1" applyAlignment="1">
      <alignment horizontal="center" vertical="center"/>
    </xf>
    <xf numFmtId="169" fontId="37" fillId="29" borderId="3" xfId="0" applyNumberFormat="1" applyFont="1" applyFill="1" applyBorder="1" applyAlignment="1">
      <alignment horizontal="center" vertical="center" wrapText="1"/>
    </xf>
    <xf numFmtId="3" fontId="37" fillId="29" borderId="3" xfId="0" applyNumberFormat="1" applyFont="1" applyFill="1" applyBorder="1" applyAlignment="1">
      <alignment horizontal="center" vertical="center" wrapText="1"/>
    </xf>
    <xf numFmtId="1" fontId="37" fillId="29" borderId="7" xfId="0" applyNumberFormat="1" applyFont="1" applyFill="1" applyBorder="1" applyAlignment="1">
      <alignment horizontal="center" vertical="center" wrapText="1"/>
    </xf>
    <xf numFmtId="3" fontId="37" fillId="29" borderId="7" xfId="0" applyNumberFormat="1" applyFont="1" applyFill="1" applyBorder="1" applyAlignment="1">
      <alignment horizontal="center" vertical="center" wrapText="1"/>
    </xf>
    <xf numFmtId="3" fontId="34" fillId="29" borderId="7" xfId="0" applyNumberFormat="1" applyFont="1" applyFill="1" applyBorder="1" applyAlignment="1">
      <alignment horizontal="center"/>
    </xf>
    <xf numFmtId="1" fontId="59" fillId="29" borderId="33" xfId="0" applyNumberFormat="1" applyFont="1" applyFill="1" applyBorder="1" applyAlignment="1">
      <alignment horizontal="center"/>
    </xf>
    <xf numFmtId="1" fontId="70" fillId="13" borderId="4" xfId="2" applyNumberFormat="1" applyFont="1" applyFill="1" applyBorder="1" applyAlignment="1">
      <alignment horizontal="center" vertical="center" wrapText="1"/>
    </xf>
    <xf numFmtId="169" fontId="59" fillId="29" borderId="3" xfId="0" applyNumberFormat="1" applyFont="1" applyFill="1" applyBorder="1" applyAlignment="1">
      <alignment horizontal="center" vertical="center" wrapText="1"/>
    </xf>
    <xf numFmtId="3" fontId="59" fillId="29" borderId="3" xfId="0" applyNumberFormat="1" applyFont="1" applyFill="1" applyBorder="1" applyAlignment="1">
      <alignment horizontal="center" vertical="center" wrapText="1"/>
    </xf>
    <xf numFmtId="1" fontId="66" fillId="29" borderId="7" xfId="0" applyNumberFormat="1" applyFont="1" applyFill="1" applyBorder="1" applyAlignment="1">
      <alignment horizontal="center" vertical="center" wrapText="1"/>
    </xf>
    <xf numFmtId="3" fontId="66" fillId="29" borderId="7" xfId="0" applyNumberFormat="1" applyFont="1" applyFill="1" applyBorder="1" applyAlignment="1">
      <alignment horizontal="center" vertical="center" wrapText="1"/>
    </xf>
    <xf numFmtId="3" fontId="61" fillId="29" borderId="7" xfId="0" applyNumberFormat="1" applyFont="1" applyFill="1" applyBorder="1" applyAlignment="1">
      <alignment horizontal="center"/>
    </xf>
    <xf numFmtId="169" fontId="59" fillId="0" borderId="3"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1" fontId="59" fillId="0" borderId="3" xfId="0" applyNumberFormat="1" applyFont="1" applyFill="1" applyBorder="1" applyAlignment="1">
      <alignment horizontal="center" vertical="center" wrapText="1"/>
    </xf>
    <xf numFmtId="3" fontId="66" fillId="0" borderId="7" xfId="0" applyNumberFormat="1" applyFont="1" applyFill="1" applyBorder="1" applyAlignment="1">
      <alignment horizontal="center" vertical="center" wrapText="1"/>
    </xf>
    <xf numFmtId="3" fontId="61" fillId="0" borderId="7" xfId="0" applyNumberFormat="1" applyFont="1" applyFill="1" applyBorder="1" applyAlignment="1">
      <alignment horizontal="center"/>
    </xf>
    <xf numFmtId="1" fontId="59" fillId="0" borderId="33" xfId="0" applyNumberFormat="1" applyFont="1" applyFill="1" applyBorder="1" applyAlignment="1">
      <alignment horizontal="center"/>
    </xf>
    <xf numFmtId="1" fontId="71" fillId="0" borderId="4" xfId="2" applyNumberFormat="1" applyFont="1" applyFill="1" applyBorder="1" applyAlignment="1">
      <alignment horizontal="center" vertical="center"/>
    </xf>
    <xf numFmtId="1" fontId="66" fillId="0" borderId="3" xfId="0" applyNumberFormat="1" applyFont="1" applyFill="1" applyBorder="1" applyAlignment="1">
      <alignment horizontal="center" vertical="center" wrapText="1"/>
    </xf>
    <xf numFmtId="1" fontId="59" fillId="0" borderId="3" xfId="0" applyNumberFormat="1" applyFont="1" applyFill="1" applyBorder="1" applyAlignment="1">
      <alignment horizontal="center" vertical="center"/>
    </xf>
    <xf numFmtId="3" fontId="59" fillId="0" borderId="7" xfId="0" applyNumberFormat="1" applyFont="1" applyFill="1" applyBorder="1" applyAlignment="1">
      <alignment horizontal="center" vertical="center" wrapText="1"/>
    </xf>
    <xf numFmtId="1" fontId="37" fillId="4" borderId="2" xfId="0" applyNumberFormat="1" applyFont="1" applyFill="1" applyBorder="1" applyAlignment="1">
      <alignment horizontal="center" vertical="center"/>
    </xf>
    <xf numFmtId="169" fontId="37" fillId="4" borderId="3" xfId="0" applyNumberFormat="1" applyFont="1" applyFill="1" applyBorder="1" applyAlignment="1">
      <alignment horizontal="center" vertical="center" wrapText="1"/>
    </xf>
    <xf numFmtId="3" fontId="37" fillId="4" borderId="3" xfId="0" applyNumberFormat="1" applyFont="1" applyFill="1" applyBorder="1" applyAlignment="1">
      <alignment horizontal="center" vertical="center" wrapText="1"/>
    </xf>
    <xf numFmtId="3" fontId="37" fillId="4" borderId="7" xfId="0" applyNumberFormat="1" applyFont="1" applyFill="1" applyBorder="1" applyAlignment="1">
      <alignment horizontal="center" vertical="center" wrapText="1"/>
    </xf>
    <xf numFmtId="1" fontId="37" fillId="4" borderId="33" xfId="0" applyNumberFormat="1" applyFont="1" applyFill="1" applyBorder="1" applyAlignment="1">
      <alignment horizontal="center" vertical="center" wrapText="1"/>
    </xf>
    <xf numFmtId="3" fontId="70" fillId="13" borderId="7" xfId="2" applyNumberFormat="1" applyFont="1" applyFill="1" applyBorder="1" applyAlignment="1">
      <alignment horizontal="left" vertical="top" wrapText="1"/>
    </xf>
    <xf numFmtId="1" fontId="37" fillId="0" borderId="4" xfId="0" applyNumberFormat="1" applyFont="1" applyFill="1" applyBorder="1" applyAlignment="1">
      <alignment horizontal="center" vertical="center"/>
    </xf>
    <xf numFmtId="169" fontId="37" fillId="0" borderId="3" xfId="0" applyNumberFormat="1" applyFont="1" applyFill="1" applyBorder="1" applyAlignment="1">
      <alignment horizontal="center" vertical="center" wrapText="1"/>
    </xf>
    <xf numFmtId="49" fontId="34" fillId="0" borderId="33" xfId="0" applyNumberFormat="1" applyFont="1" applyFill="1" applyBorder="1" applyAlignment="1">
      <alignment horizontal="center" vertical="center" wrapText="1"/>
    </xf>
    <xf numFmtId="49" fontId="37" fillId="0" borderId="33" xfId="0" applyNumberFormat="1" applyFont="1" applyFill="1" applyBorder="1" applyAlignment="1">
      <alignment horizontal="center" vertical="center" wrapText="1"/>
    </xf>
    <xf numFmtId="1" fontId="37" fillId="4" borderId="4" xfId="0" applyNumberFormat="1" applyFont="1" applyFill="1" applyBorder="1" applyAlignment="1">
      <alignment horizontal="center" vertical="center"/>
    </xf>
    <xf numFmtId="169" fontId="59" fillId="0" borderId="3" xfId="0" applyNumberFormat="1" applyFont="1" applyFill="1" applyBorder="1" applyAlignment="1">
      <alignment horizontal="left" vertical="center"/>
    </xf>
    <xf numFmtId="1" fontId="59" fillId="0" borderId="3" xfId="0" applyNumberFormat="1" applyFont="1" applyFill="1" applyBorder="1" applyAlignment="1">
      <alignment horizontal="left" vertical="center"/>
    </xf>
    <xf numFmtId="1" fontId="59" fillId="0" borderId="7" xfId="0" applyNumberFormat="1" applyFont="1" applyFill="1" applyBorder="1" applyAlignment="1">
      <alignment horizontal="center" vertical="center"/>
    </xf>
    <xf numFmtId="1" fontId="59" fillId="0" borderId="33" xfId="0" applyNumberFormat="1" applyFont="1" applyFill="1" applyBorder="1" applyAlignment="1">
      <alignment horizontal="left"/>
    </xf>
    <xf numFmtId="1" fontId="59" fillId="29" borderId="3" xfId="0" applyNumberFormat="1" applyFont="1" applyFill="1" applyBorder="1" applyAlignment="1">
      <alignment horizontal="center" vertical="center" wrapText="1"/>
    </xf>
    <xf numFmtId="169" fontId="37" fillId="0" borderId="5" xfId="0" applyNumberFormat="1" applyFont="1" applyFill="1" applyBorder="1" applyAlignment="1">
      <alignment horizontal="center" vertical="center" wrapText="1"/>
    </xf>
    <xf numFmtId="3" fontId="37" fillId="0" borderId="5" xfId="0" applyNumberFormat="1" applyFont="1" applyFill="1" applyBorder="1" applyAlignment="1">
      <alignment horizontal="center" vertical="center" wrapText="1"/>
    </xf>
    <xf numFmtId="1" fontId="37" fillId="0" borderId="14"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wrapText="1"/>
    </xf>
    <xf numFmtId="169" fontId="37" fillId="4" borderId="5" xfId="0" applyNumberFormat="1" applyFont="1" applyFill="1" applyBorder="1" applyAlignment="1">
      <alignment horizontal="center" vertical="center" wrapText="1"/>
    </xf>
    <xf numFmtId="3" fontId="37" fillId="4" borderId="5" xfId="0" applyNumberFormat="1" applyFont="1" applyFill="1" applyBorder="1" applyAlignment="1">
      <alignment horizontal="center" vertical="center" wrapText="1"/>
    </xf>
    <xf numFmtId="1" fontId="37" fillId="4" borderId="14" xfId="0" applyNumberFormat="1" applyFont="1" applyFill="1" applyBorder="1" applyAlignment="1">
      <alignment horizontal="center" vertical="center" wrapText="1"/>
    </xf>
    <xf numFmtId="3" fontId="37" fillId="4" borderId="14" xfId="0" applyNumberFormat="1" applyFont="1" applyFill="1" applyBorder="1" applyAlignment="1">
      <alignment horizontal="center" vertical="center" wrapText="1"/>
    </xf>
    <xf numFmtId="1" fontId="37" fillId="4" borderId="26" xfId="0" applyNumberFormat="1" applyFont="1" applyFill="1" applyBorder="1" applyAlignment="1">
      <alignment horizontal="center" vertical="center" wrapText="1"/>
    </xf>
    <xf numFmtId="3" fontId="71" fillId="13" borderId="14" xfId="2" applyNumberFormat="1" applyFont="1" applyFill="1" applyBorder="1" applyAlignment="1">
      <alignment horizontal="left" vertical="center"/>
    </xf>
    <xf numFmtId="1" fontId="71" fillId="13" borderId="14" xfId="2" applyNumberFormat="1" applyFont="1" applyFill="1" applyBorder="1" applyAlignment="1">
      <alignment horizontal="left" vertical="center"/>
    </xf>
    <xf numFmtId="169" fontId="34" fillId="0" borderId="3" xfId="0" applyNumberFormat="1" applyFont="1" applyFill="1" applyBorder="1" applyAlignment="1">
      <alignment horizontal="center" vertical="center" wrapText="1"/>
    </xf>
    <xf numFmtId="3" fontId="37" fillId="0" borderId="3" xfId="0" applyNumberFormat="1" applyFont="1" applyFill="1" applyBorder="1" applyAlignment="1">
      <alignment horizontal="center" vertical="center" wrapText="1"/>
    </xf>
    <xf numFmtId="3" fontId="37" fillId="0" borderId="7" xfId="0" applyNumberFormat="1" applyFont="1" applyFill="1" applyBorder="1" applyAlignment="1">
      <alignment horizontal="center" vertical="center" wrapText="1"/>
    </xf>
    <xf numFmtId="1" fontId="37" fillId="0" borderId="33" xfId="0" applyNumberFormat="1" applyFont="1" applyFill="1" applyBorder="1" applyAlignment="1">
      <alignment horizontal="center" vertical="center" wrapText="1"/>
    </xf>
    <xf numFmtId="0" fontId="59" fillId="0" borderId="33" xfId="0" applyNumberFormat="1" applyFont="1" applyFill="1" applyBorder="1" applyAlignment="1">
      <alignment horizontal="center"/>
    </xf>
    <xf numFmtId="49" fontId="59" fillId="0" borderId="33" xfId="0" applyNumberFormat="1" applyFont="1" applyFill="1" applyBorder="1" applyAlignment="1">
      <alignment horizontal="center"/>
    </xf>
    <xf numFmtId="169" fontId="59" fillId="29" borderId="5" xfId="0" applyNumberFormat="1" applyFont="1" applyFill="1" applyBorder="1" applyAlignment="1">
      <alignment horizontal="center" vertical="center" wrapText="1"/>
    </xf>
    <xf numFmtId="3" fontId="59" fillId="29" borderId="5" xfId="0" applyNumberFormat="1" applyFont="1" applyFill="1" applyBorder="1" applyAlignment="1">
      <alignment horizontal="center" vertical="center" wrapText="1"/>
    </xf>
    <xf numFmtId="1" fontId="37" fillId="4" borderId="19" xfId="0" applyNumberFormat="1" applyFont="1" applyFill="1" applyBorder="1" applyAlignment="1">
      <alignment horizontal="center" vertical="center"/>
    </xf>
    <xf numFmtId="169" fontId="37" fillId="4" borderId="20" xfId="0" applyNumberFormat="1" applyFont="1" applyFill="1" applyBorder="1" applyAlignment="1">
      <alignment horizontal="center" vertical="center" wrapText="1"/>
    </xf>
    <xf numFmtId="3" fontId="37" fillId="4" borderId="20" xfId="0" applyNumberFormat="1" applyFont="1" applyFill="1" applyBorder="1" applyAlignment="1">
      <alignment horizontal="center" vertical="center" wrapText="1"/>
    </xf>
    <xf numFmtId="1" fontId="37" fillId="70" borderId="4" xfId="0" applyNumberFormat="1" applyFont="1" applyFill="1" applyBorder="1" applyAlignment="1">
      <alignment horizontal="center" vertical="center"/>
    </xf>
    <xf numFmtId="169" fontId="37" fillId="70" borderId="3" xfId="0" applyNumberFormat="1" applyFont="1" applyFill="1" applyBorder="1" applyAlignment="1">
      <alignment horizontal="center" vertical="center" wrapText="1"/>
    </xf>
    <xf numFmtId="3" fontId="37" fillId="70" borderId="3" xfId="0" applyNumberFormat="1" applyFont="1" applyFill="1" applyBorder="1" applyAlignment="1">
      <alignment horizontal="center" vertical="center" wrapText="1"/>
    </xf>
    <xf numFmtId="1" fontId="37" fillId="70" borderId="7" xfId="0" applyNumberFormat="1" applyFont="1" applyFill="1" applyBorder="1" applyAlignment="1">
      <alignment horizontal="center" vertical="center" wrapText="1"/>
    </xf>
    <xf numFmtId="3" fontId="37" fillId="70" borderId="7" xfId="0" applyNumberFormat="1" applyFont="1" applyFill="1" applyBorder="1" applyAlignment="1">
      <alignment horizontal="center" vertical="center" wrapText="1"/>
    </xf>
    <xf numFmtId="1" fontId="37" fillId="70" borderId="33" xfId="0" applyNumberFormat="1" applyFont="1" applyFill="1" applyBorder="1" applyAlignment="1">
      <alignment horizontal="center" vertical="center" wrapText="1"/>
    </xf>
    <xf numFmtId="1" fontId="34" fillId="0" borderId="33" xfId="0" applyNumberFormat="1" applyFont="1" applyFill="1" applyBorder="1" applyAlignment="1">
      <alignment horizontal="center" vertical="center" wrapText="1"/>
    </xf>
    <xf numFmtId="1" fontId="34" fillId="0" borderId="3" xfId="0" applyNumberFormat="1" applyFont="1" applyFill="1" applyBorder="1" applyAlignment="1">
      <alignment horizontal="center" vertical="center" wrapText="1"/>
    </xf>
    <xf numFmtId="1" fontId="34" fillId="0" borderId="33" xfId="0" applyNumberFormat="1" applyFont="1" applyFill="1" applyBorder="1" applyAlignment="1">
      <alignment horizontal="center"/>
    </xf>
    <xf numFmtId="1" fontId="70" fillId="21" borderId="4" xfId="2" applyNumberFormat="1" applyFont="1" applyFill="1" applyBorder="1" applyAlignment="1">
      <alignment horizontal="center" vertical="center" wrapText="1"/>
    </xf>
    <xf numFmtId="169" fontId="59" fillId="21" borderId="3" xfId="0" applyNumberFormat="1" applyFont="1" applyFill="1" applyBorder="1" applyAlignment="1">
      <alignment horizontal="center" vertical="center" wrapText="1"/>
    </xf>
    <xf numFmtId="3" fontId="66" fillId="21" borderId="3" xfId="0" applyNumberFormat="1" applyFont="1" applyFill="1" applyBorder="1" applyAlignment="1">
      <alignment horizontal="center" vertical="center" wrapText="1"/>
    </xf>
    <xf numFmtId="1" fontId="66" fillId="21" borderId="7" xfId="0" applyNumberFormat="1" applyFont="1" applyFill="1" applyBorder="1" applyAlignment="1">
      <alignment horizontal="center" vertical="center" wrapText="1"/>
    </xf>
    <xf numFmtId="3" fontId="66" fillId="21" borderId="7" xfId="0" applyNumberFormat="1" applyFont="1" applyFill="1" applyBorder="1" applyAlignment="1">
      <alignment horizontal="center" vertical="center" wrapText="1"/>
    </xf>
    <xf numFmtId="3" fontId="61" fillId="21" borderId="7" xfId="0" applyNumberFormat="1" applyFont="1" applyFill="1" applyBorder="1" applyAlignment="1">
      <alignment horizontal="center"/>
    </xf>
    <xf numFmtId="1" fontId="59" fillId="21" borderId="33" xfId="0" applyNumberFormat="1" applyFont="1" applyFill="1" applyBorder="1" applyAlignment="1">
      <alignment horizontal="center"/>
    </xf>
    <xf numFmtId="3" fontId="66" fillId="0" borderId="3" xfId="0" applyNumberFormat="1" applyFont="1" applyFill="1" applyBorder="1" applyAlignment="1">
      <alignment horizontal="center" vertical="center" wrapText="1"/>
    </xf>
    <xf numFmtId="1" fontId="34" fillId="0" borderId="33" xfId="0" applyNumberFormat="1" applyFont="1" applyFill="1" applyBorder="1" applyAlignment="1">
      <alignment horizontal="center" vertical="center"/>
    </xf>
    <xf numFmtId="169" fontId="59" fillId="0" borderId="5" xfId="0" applyNumberFormat="1" applyFont="1" applyFill="1" applyBorder="1" applyAlignment="1">
      <alignment horizontal="center" vertical="center" wrapText="1"/>
    </xf>
    <xf numFmtId="3" fontId="66" fillId="0" borderId="5" xfId="0" applyNumberFormat="1" applyFont="1" applyFill="1" applyBorder="1" applyAlignment="1">
      <alignment horizontal="center" vertical="center" wrapText="1"/>
    </xf>
    <xf numFmtId="169" fontId="59" fillId="0" borderId="20" xfId="0" applyNumberFormat="1" applyFont="1" applyFill="1" applyBorder="1" applyAlignment="1">
      <alignment horizontal="center" vertical="center" wrapText="1"/>
    </xf>
    <xf numFmtId="3" fontId="66" fillId="0" borderId="20" xfId="0" applyNumberFormat="1" applyFont="1" applyFill="1" applyBorder="1" applyAlignment="1">
      <alignment horizontal="center" vertical="center" wrapText="1"/>
    </xf>
    <xf numFmtId="169" fontId="59" fillId="0" borderId="3" xfId="0" applyNumberFormat="1" applyFont="1" applyFill="1" applyBorder="1" applyAlignment="1">
      <alignment horizontal="center" vertical="center"/>
    </xf>
    <xf numFmtId="1" fontId="37" fillId="4" borderId="50" xfId="0" applyNumberFormat="1" applyFont="1" applyFill="1" applyBorder="1" applyAlignment="1">
      <alignment horizontal="center" vertical="center" wrapText="1"/>
    </xf>
    <xf numFmtId="169" fontId="34" fillId="0" borderId="5" xfId="0" applyNumberFormat="1" applyFont="1" applyFill="1" applyBorder="1" applyAlignment="1">
      <alignment horizontal="center" vertical="center" wrapText="1"/>
    </xf>
    <xf numFmtId="3" fontId="34" fillId="0" borderId="5" xfId="0" applyNumberFormat="1" applyFont="1" applyFill="1" applyBorder="1" applyAlignment="1">
      <alignment horizontal="center" vertical="center" wrapText="1"/>
    </xf>
    <xf numFmtId="1" fontId="34" fillId="0" borderId="14" xfId="0" applyNumberFormat="1" applyFont="1" applyFill="1" applyBorder="1" applyAlignment="1">
      <alignment horizontal="center" vertical="center" wrapText="1"/>
    </xf>
    <xf numFmtId="3" fontId="34" fillId="0" borderId="14" xfId="0" applyNumberFormat="1" applyFont="1" applyFill="1" applyBorder="1" applyAlignment="1">
      <alignment horizontal="center" vertical="center" wrapText="1"/>
    </xf>
    <xf numFmtId="1" fontId="34" fillId="0" borderId="50" xfId="0" applyNumberFormat="1" applyFont="1" applyFill="1" applyBorder="1" applyAlignment="1">
      <alignment horizontal="center" vertical="center" wrapText="1"/>
    </xf>
    <xf numFmtId="1" fontId="70" fillId="24" borderId="4" xfId="2" applyNumberFormat="1" applyFont="1" applyFill="1" applyBorder="1" applyAlignment="1">
      <alignment horizontal="center" vertical="center" wrapText="1"/>
    </xf>
    <xf numFmtId="169" fontId="37" fillId="24" borderId="5" xfId="0" applyNumberFormat="1" applyFont="1" applyFill="1" applyBorder="1" applyAlignment="1">
      <alignment horizontal="center" vertical="center" wrapText="1"/>
    </xf>
    <xf numFmtId="3" fontId="37" fillId="24" borderId="5" xfId="0" applyNumberFormat="1" applyFont="1" applyFill="1" applyBorder="1" applyAlignment="1">
      <alignment horizontal="center" vertical="center" wrapText="1"/>
    </xf>
    <xf numFmtId="1" fontId="37" fillId="24" borderId="14" xfId="0" applyNumberFormat="1" applyFont="1" applyFill="1" applyBorder="1" applyAlignment="1">
      <alignment horizontal="center" vertical="center" wrapText="1"/>
    </xf>
    <xf numFmtId="3" fontId="37" fillId="24" borderId="14" xfId="0" applyNumberFormat="1" applyFont="1" applyFill="1" applyBorder="1" applyAlignment="1">
      <alignment horizontal="center" vertical="center" wrapText="1"/>
    </xf>
    <xf numFmtId="1" fontId="37" fillId="24" borderId="7" xfId="0" applyNumberFormat="1" applyFont="1" applyFill="1" applyBorder="1" applyAlignment="1">
      <alignment horizontal="center" vertical="center" wrapText="1"/>
    </xf>
    <xf numFmtId="3" fontId="34" fillId="24" borderId="7" xfId="0" applyNumberFormat="1" applyFont="1" applyFill="1" applyBorder="1" applyAlignment="1">
      <alignment horizontal="center"/>
    </xf>
    <xf numFmtId="1" fontId="59" fillId="24" borderId="33" xfId="0" applyNumberFormat="1" applyFont="1" applyFill="1" applyBorder="1" applyAlignment="1">
      <alignment horizontal="center"/>
    </xf>
    <xf numFmtId="1" fontId="37" fillId="24" borderId="5" xfId="0" applyNumberFormat="1" applyFont="1" applyFill="1" applyBorder="1" applyAlignment="1">
      <alignment horizontal="center" vertical="center" wrapText="1"/>
    </xf>
    <xf numFmtId="1" fontId="37" fillId="24" borderId="3" xfId="0" applyNumberFormat="1" applyFont="1" applyFill="1" applyBorder="1" applyAlignment="1">
      <alignment horizontal="center" vertical="center" wrapText="1"/>
    </xf>
    <xf numFmtId="3" fontId="34" fillId="0" borderId="14" xfId="0" applyNumberFormat="1" applyFont="1" applyFill="1" applyBorder="1" applyAlignment="1">
      <alignment horizontal="center"/>
    </xf>
    <xf numFmtId="1" fontId="71" fillId="0" borderId="0" xfId="2" applyNumberFormat="1" applyFont="1" applyFill="1" applyBorder="1" applyAlignment="1">
      <alignment horizontal="center" vertical="center"/>
    </xf>
    <xf numFmtId="169" fontId="34" fillId="0" borderId="17" xfId="0" applyNumberFormat="1" applyFont="1" applyFill="1" applyBorder="1" applyAlignment="1">
      <alignment horizontal="center" vertical="center" wrapText="1"/>
    </xf>
    <xf numFmtId="3" fontId="37" fillId="0" borderId="17" xfId="0" applyNumberFormat="1" applyFont="1" applyFill="1" applyBorder="1" applyAlignment="1">
      <alignment horizontal="center" vertical="center" wrapText="1"/>
    </xf>
    <xf numFmtId="1" fontId="34" fillId="0" borderId="5" xfId="0" applyNumberFormat="1" applyFont="1" applyFill="1" applyBorder="1" applyAlignment="1">
      <alignment horizontal="center" vertical="center" wrapText="1"/>
    </xf>
    <xf numFmtId="3" fontId="59" fillId="0" borderId="5" xfId="0" applyNumberFormat="1" applyFont="1" applyFill="1" applyBorder="1" applyAlignment="1">
      <alignment horizontal="center" vertical="center" wrapText="1"/>
    </xf>
    <xf numFmtId="1" fontId="59" fillId="0" borderId="5" xfId="0" applyNumberFormat="1" applyFont="1" applyFill="1" applyBorder="1" applyAlignment="1">
      <alignment horizontal="center" vertical="center"/>
    </xf>
    <xf numFmtId="3" fontId="59" fillId="0" borderId="14" xfId="0" applyNumberFormat="1" applyFont="1" applyFill="1" applyBorder="1" applyAlignment="1">
      <alignment horizontal="center" vertical="center" wrapText="1"/>
    </xf>
    <xf numFmtId="1" fontId="66" fillId="6" borderId="2" xfId="0" applyNumberFormat="1" applyFont="1" applyFill="1" applyBorder="1" applyAlignment="1">
      <alignment horizontal="center" vertical="center" wrapText="1"/>
    </xf>
    <xf numFmtId="0" fontId="66" fillId="6" borderId="3" xfId="0" applyFont="1" applyFill="1" applyBorder="1" applyAlignment="1">
      <alignment horizontal="left" vertical="center" wrapText="1"/>
    </xf>
    <xf numFmtId="0" fontId="66" fillId="6" borderId="7" xfId="0" applyFont="1" applyFill="1" applyBorder="1" applyAlignment="1">
      <alignment horizontal="left" vertical="center" wrapText="1"/>
    </xf>
    <xf numFmtId="1" fontId="66" fillId="6" borderId="7" xfId="0" applyNumberFormat="1" applyFont="1" applyFill="1" applyBorder="1" applyAlignment="1">
      <alignment horizontal="left" vertical="center" wrapText="1"/>
    </xf>
    <xf numFmtId="1" fontId="66" fillId="6" borderId="33" xfId="0" applyNumberFormat="1" applyFont="1" applyFill="1" applyBorder="1" applyAlignment="1">
      <alignment horizontal="left" vertical="center" wrapText="1"/>
    </xf>
    <xf numFmtId="0" fontId="59" fillId="6" borderId="3" xfId="0" applyFont="1" applyFill="1" applyBorder="1" applyAlignment="1">
      <alignment horizontal="center" vertical="center" wrapText="1"/>
    </xf>
    <xf numFmtId="0" fontId="59" fillId="6" borderId="7" xfId="0" applyFont="1" applyFill="1" applyBorder="1" applyAlignment="1">
      <alignment horizontal="center" vertical="center" wrapText="1"/>
    </xf>
    <xf numFmtId="1" fontId="59" fillId="6" borderId="7" xfId="0" applyNumberFormat="1" applyFont="1" applyFill="1" applyBorder="1" applyAlignment="1">
      <alignment horizontal="center" vertical="center" wrapText="1"/>
    </xf>
    <xf numFmtId="1" fontId="59" fillId="6" borderId="33" xfId="0" applyNumberFormat="1" applyFont="1" applyFill="1" applyBorder="1" applyAlignment="1">
      <alignment horizontal="center" vertical="center" wrapText="1"/>
    </xf>
    <xf numFmtId="3" fontId="59" fillId="0" borderId="7" xfId="0" applyNumberFormat="1" applyFont="1" applyFill="1" applyBorder="1" applyAlignment="1">
      <alignment horizontal="center"/>
    </xf>
    <xf numFmtId="1" fontId="37" fillId="4" borderId="4" xfId="0" applyNumberFormat="1"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0" borderId="7" xfId="0" applyFont="1" applyFill="1" applyBorder="1" applyAlignment="1">
      <alignment horizontal="center" vertical="center" wrapText="1"/>
    </xf>
    <xf numFmtId="1" fontId="59" fillId="0" borderId="33" xfId="0" applyNumberFormat="1" applyFont="1" applyFill="1" applyBorder="1" applyAlignment="1">
      <alignment horizontal="center" vertical="center" wrapText="1"/>
    </xf>
    <xf numFmtId="0" fontId="59" fillId="0" borderId="5" xfId="0" applyFont="1" applyFill="1" applyBorder="1" applyAlignment="1">
      <alignment horizontal="center" vertical="center" wrapText="1"/>
    </xf>
    <xf numFmtId="1" fontId="59" fillId="0" borderId="19" xfId="0" applyNumberFormat="1" applyFont="1" applyFill="1" applyBorder="1" applyAlignment="1">
      <alignment horizontal="center" vertical="center"/>
    </xf>
    <xf numFmtId="3" fontId="59" fillId="0" borderId="20" xfId="0" applyNumberFormat="1" applyFont="1" applyFill="1" applyBorder="1" applyAlignment="1">
      <alignment horizontal="center" vertical="center" wrapText="1"/>
    </xf>
    <xf numFmtId="1" fontId="37" fillId="20" borderId="4" xfId="0" applyNumberFormat="1" applyFont="1" applyFill="1" applyBorder="1" applyAlignment="1">
      <alignment horizontal="center" vertical="center" wrapText="1"/>
    </xf>
    <xf numFmtId="169" fontId="37" fillId="20" borderId="5" xfId="0" applyNumberFormat="1" applyFont="1" applyFill="1" applyBorder="1" applyAlignment="1">
      <alignment horizontal="center" vertical="center" wrapText="1"/>
    </xf>
    <xf numFmtId="3" fontId="37" fillId="20" borderId="5" xfId="0" applyNumberFormat="1" applyFont="1" applyFill="1" applyBorder="1" applyAlignment="1">
      <alignment horizontal="center" vertical="center" wrapText="1"/>
    </xf>
    <xf numFmtId="1" fontId="37" fillId="20" borderId="14" xfId="0" applyNumberFormat="1" applyFont="1" applyFill="1" applyBorder="1" applyAlignment="1">
      <alignment horizontal="center" vertical="center" wrapText="1"/>
    </xf>
    <xf numFmtId="3" fontId="37" fillId="20" borderId="14" xfId="0" applyNumberFormat="1" applyFont="1" applyFill="1" applyBorder="1" applyAlignment="1">
      <alignment horizontal="center" vertical="center" wrapText="1"/>
    </xf>
    <xf numFmtId="1" fontId="37" fillId="20" borderId="50" xfId="0" applyNumberFormat="1" applyFont="1" applyFill="1" applyBorder="1" applyAlignment="1">
      <alignment horizontal="center" vertical="center" wrapText="1"/>
    </xf>
    <xf numFmtId="1" fontId="37" fillId="0" borderId="50" xfId="0" applyNumberFormat="1" applyFont="1" applyFill="1" applyBorder="1" applyAlignment="1">
      <alignment horizontal="center" vertical="center" wrapText="1"/>
    </xf>
    <xf numFmtId="1" fontId="34" fillId="0" borderId="50" xfId="0" applyNumberFormat="1" applyFont="1" applyFill="1" applyBorder="1" applyAlignment="1">
      <alignment horizontal="center"/>
    </xf>
    <xf numFmtId="1" fontId="37" fillId="16" borderId="104" xfId="1" applyNumberFormat="1" applyFont="1" applyFill="1" applyBorder="1" applyAlignment="1">
      <alignment horizontal="center" wrapText="1"/>
    </xf>
    <xf numFmtId="169" fontId="37" fillId="16" borderId="104" xfId="1" applyNumberFormat="1" applyFont="1" applyFill="1" applyBorder="1" applyAlignment="1">
      <alignment horizontal="center" wrapText="1"/>
    </xf>
    <xf numFmtId="3" fontId="37" fillId="16" borderId="104" xfId="1" applyNumberFormat="1" applyFont="1" applyFill="1" applyBorder="1" applyAlignment="1">
      <alignment horizontal="center" wrapText="1"/>
    </xf>
    <xf numFmtId="3" fontId="34" fillId="16" borderId="104" xfId="0" applyNumberFormat="1" applyFont="1" applyFill="1" applyBorder="1" applyAlignment="1">
      <alignment horizontal="center"/>
    </xf>
    <xf numFmtId="1" fontId="59" fillId="16" borderId="104" xfId="0" applyNumberFormat="1" applyFont="1" applyFill="1" applyBorder="1" applyAlignment="1">
      <alignment horizontal="center"/>
    </xf>
    <xf numFmtId="1" fontId="37" fillId="0" borderId="104" xfId="1" applyNumberFormat="1" applyFont="1" applyFill="1" applyBorder="1" applyAlignment="1">
      <alignment horizontal="center" wrapText="1"/>
    </xf>
    <xf numFmtId="169" fontId="37" fillId="0" borderId="104" xfId="1" applyNumberFormat="1" applyFont="1" applyFill="1" applyBorder="1" applyAlignment="1">
      <alignment horizontal="center" wrapText="1"/>
    </xf>
    <xf numFmtId="3" fontId="37" fillId="0" borderId="104" xfId="1" applyNumberFormat="1" applyFont="1" applyFill="1" applyBorder="1" applyAlignment="1">
      <alignment horizontal="center" wrapText="1"/>
    </xf>
    <xf numFmtId="3" fontId="34" fillId="0" borderId="104" xfId="0" applyNumberFormat="1" applyFont="1" applyFill="1" applyBorder="1" applyAlignment="1">
      <alignment horizontal="center"/>
    </xf>
    <xf numFmtId="1" fontId="59" fillId="0" borderId="104" xfId="0" applyNumberFormat="1" applyFont="1" applyBorder="1" applyAlignment="1">
      <alignment horizontal="center"/>
    </xf>
    <xf numFmtId="169" fontId="37" fillId="0" borderId="104" xfId="0" applyNumberFormat="1" applyFont="1" applyFill="1" applyBorder="1" applyAlignment="1">
      <alignment horizontal="center" vertical="center" wrapText="1"/>
    </xf>
    <xf numFmtId="3" fontId="37" fillId="0" borderId="104" xfId="0" applyNumberFormat="1" applyFont="1" applyFill="1" applyBorder="1" applyAlignment="1">
      <alignment horizontal="center" vertical="center" wrapText="1"/>
    </xf>
    <xf numFmtId="1" fontId="37" fillId="0" borderId="104" xfId="0" applyNumberFormat="1" applyFont="1" applyFill="1" applyBorder="1" applyAlignment="1">
      <alignment horizontal="center" vertical="center" wrapText="1"/>
    </xf>
    <xf numFmtId="3" fontId="37" fillId="5" borderId="104" xfId="0" applyNumberFormat="1" applyFont="1" applyFill="1" applyBorder="1" applyAlignment="1">
      <alignment horizontal="center" vertical="center" wrapText="1"/>
    </xf>
    <xf numFmtId="1" fontId="37" fillId="5" borderId="104" xfId="0" applyNumberFormat="1" applyFont="1" applyFill="1" applyBorder="1" applyAlignment="1">
      <alignment horizontal="center" vertical="center" wrapText="1"/>
    </xf>
    <xf numFmtId="1" fontId="66" fillId="0" borderId="104" xfId="0" applyNumberFormat="1" applyFont="1" applyBorder="1" applyAlignment="1">
      <alignment horizontal="center" vertical="center"/>
    </xf>
    <xf numFmtId="169" fontId="37" fillId="0" borderId="104" xfId="1" applyNumberFormat="1" applyFont="1" applyFill="1" applyBorder="1" applyAlignment="1">
      <alignment horizontal="center" vertical="center" wrapText="1"/>
    </xf>
    <xf numFmtId="3" fontId="37" fillId="0" borderId="104" xfId="1" applyNumberFormat="1" applyFont="1" applyFill="1" applyBorder="1" applyAlignment="1">
      <alignment horizontal="center" vertical="center" wrapText="1"/>
    </xf>
    <xf numFmtId="1" fontId="37" fillId="0" borderId="104" xfId="1" applyNumberFormat="1" applyFont="1" applyFill="1" applyBorder="1" applyAlignment="1">
      <alignment horizontal="center" vertical="center" wrapText="1"/>
    </xf>
    <xf numFmtId="3" fontId="37" fillId="11" borderId="104" xfId="0" applyNumberFormat="1" applyFont="1" applyFill="1" applyBorder="1" applyAlignment="1">
      <alignment horizontal="center" vertical="center" wrapText="1"/>
    </xf>
    <xf numFmtId="167" fontId="37" fillId="11" borderId="104" xfId="0" applyNumberFormat="1" applyFont="1" applyFill="1" applyBorder="1" applyAlignment="1">
      <alignment vertical="center" wrapText="1"/>
    </xf>
    <xf numFmtId="1" fontId="37" fillId="0" borderId="104" xfId="0" applyNumberFormat="1" applyFont="1" applyFill="1" applyBorder="1" applyAlignment="1">
      <alignment horizontal="center" wrapText="1"/>
    </xf>
    <xf numFmtId="3" fontId="37" fillId="16" borderId="104" xfId="1" applyNumberFormat="1" applyFont="1" applyFill="1" applyBorder="1" applyAlignment="1">
      <alignment horizontal="center" vertical="center" wrapText="1"/>
    </xf>
    <xf numFmtId="1" fontId="37" fillId="11" borderId="104" xfId="0" applyNumberFormat="1" applyFont="1" applyFill="1" applyBorder="1" applyAlignment="1">
      <alignment horizontal="center" vertical="center" wrapText="1"/>
    </xf>
    <xf numFmtId="1" fontId="34" fillId="16" borderId="104" xfId="1" applyNumberFormat="1" applyFont="1" applyFill="1" applyBorder="1" applyAlignment="1">
      <alignment horizontal="center" wrapText="1"/>
    </xf>
    <xf numFmtId="1" fontId="59" fillId="0" borderId="104" xfId="0" applyNumberFormat="1" applyFont="1" applyFill="1" applyBorder="1" applyAlignment="1">
      <alignment horizontal="center"/>
    </xf>
    <xf numFmtId="1" fontId="37" fillId="16" borderId="104" xfId="1" applyNumberFormat="1" applyFont="1" applyFill="1" applyBorder="1" applyAlignment="1">
      <alignment horizontal="center" vertical="center" wrapText="1"/>
    </xf>
    <xf numFmtId="169" fontId="37" fillId="16" borderId="104" xfId="1" applyNumberFormat="1" applyFont="1" applyFill="1" applyBorder="1" applyAlignment="1">
      <alignment horizontal="center" vertical="center" wrapText="1"/>
    </xf>
    <xf numFmtId="1" fontId="59" fillId="0" borderId="104" xfId="0" applyNumberFormat="1" applyFont="1" applyFill="1" applyBorder="1" applyAlignment="1">
      <alignment horizontal="center" vertical="center" wrapText="1"/>
    </xf>
    <xf numFmtId="1" fontId="59" fillId="0" borderId="0" xfId="0" applyNumberFormat="1" applyFont="1" applyAlignment="1">
      <alignment horizontal="center"/>
    </xf>
    <xf numFmtId="1" fontId="61" fillId="0" borderId="0" xfId="0" applyNumberFormat="1" applyFont="1"/>
    <xf numFmtId="3" fontId="13" fillId="0" borderId="0" xfId="0" applyNumberFormat="1" applyFont="1" applyFill="1" applyBorder="1"/>
    <xf numFmtId="3" fontId="0" fillId="0" borderId="0" xfId="0" applyNumberFormat="1" applyFill="1" applyBorder="1" applyAlignment="1">
      <alignment vertical="center"/>
    </xf>
    <xf numFmtId="0" fontId="37" fillId="0" borderId="0" xfId="0" applyFont="1" applyAlignment="1">
      <alignment horizontal="right" wrapText="1"/>
    </xf>
    <xf numFmtId="165" fontId="34" fillId="0" borderId="0" xfId="0" applyNumberFormat="1" applyFont="1" applyAlignment="1">
      <alignment horizontal="center" wrapText="1"/>
    </xf>
    <xf numFmtId="0" fontId="34" fillId="0" borderId="0" xfId="0" applyFont="1" applyAlignment="1">
      <alignment wrapText="1"/>
    </xf>
    <xf numFmtId="165" fontId="37" fillId="0" borderId="0" xfId="0" applyNumberFormat="1" applyFont="1" applyAlignment="1">
      <alignment horizontal="center" wrapText="1"/>
    </xf>
    <xf numFmtId="173" fontId="0" fillId="0" borderId="0" xfId="0" applyNumberFormat="1" applyAlignment="1">
      <alignment vertical="center"/>
    </xf>
    <xf numFmtId="167" fontId="14" fillId="11" borderId="104" xfId="0" applyNumberFormat="1" applyFont="1" applyFill="1" applyBorder="1" applyAlignment="1">
      <alignment horizontal="center" vertical="center" wrapText="1"/>
    </xf>
    <xf numFmtId="10" fontId="34" fillId="0" borderId="0" xfId="69" applyNumberFormat="1" applyFont="1" applyAlignment="1">
      <alignment horizontal="center"/>
    </xf>
    <xf numFmtId="0" fontId="0" fillId="18" borderId="0" xfId="0" applyFill="1" applyBorder="1" applyAlignment="1">
      <alignment vertical="center" wrapText="1"/>
    </xf>
    <xf numFmtId="0" fontId="14" fillId="18" borderId="0" xfId="0" applyFont="1" applyFill="1" applyBorder="1" applyAlignment="1">
      <alignment vertical="center" wrapText="1"/>
    </xf>
    <xf numFmtId="0" fontId="37" fillId="0" borderId="0" xfId="0" applyFont="1" applyAlignment="1">
      <alignment horizontal="center" vertical="center"/>
    </xf>
    <xf numFmtId="0" fontId="34" fillId="0" borderId="0" xfId="0" applyFont="1" applyAlignment="1">
      <alignment horizontal="center" vertical="center"/>
    </xf>
    <xf numFmtId="0" fontId="34" fillId="18" borderId="0" xfId="0" applyFont="1" applyFill="1" applyBorder="1"/>
    <xf numFmtId="0" fontId="0" fillId="18" borderId="0" xfId="0" applyFill="1" applyBorder="1"/>
    <xf numFmtId="0" fontId="14" fillId="18" borderId="0" xfId="0" applyFont="1" applyFill="1" applyBorder="1" applyAlignment="1">
      <alignment horizontal="left" vertical="center"/>
    </xf>
    <xf numFmtId="167" fontId="14" fillId="0" borderId="0" xfId="1" applyNumberFormat="1" applyFont="1" applyBorder="1" applyAlignment="1">
      <alignment horizontal="center" wrapText="1"/>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center" vertical="top"/>
    </xf>
    <xf numFmtId="0" fontId="14" fillId="18" borderId="0" xfId="0" applyFont="1" applyFill="1" applyBorder="1"/>
    <xf numFmtId="0" fontId="17" fillId="18" borderId="0" xfId="0" applyFont="1" applyFill="1" applyBorder="1" applyAlignment="1">
      <alignment horizontal="left" vertical="center"/>
    </xf>
    <xf numFmtId="0" fontId="24" fillId="18" borderId="0" xfId="0" applyFont="1" applyFill="1" applyBorder="1"/>
    <xf numFmtId="0" fontId="17" fillId="0" borderId="104" xfId="0" applyFont="1" applyFill="1" applyBorder="1" applyAlignment="1">
      <alignment horizontal="center" vertical="center" wrapText="1"/>
    </xf>
    <xf numFmtId="3" fontId="13" fillId="0" borderId="0" xfId="0" applyNumberFormat="1" applyFont="1" applyBorder="1" applyAlignment="1">
      <alignment horizontal="center" vertical="center"/>
    </xf>
    <xf numFmtId="0" fontId="13" fillId="18" borderId="18" xfId="0" applyFont="1" applyFill="1" applyBorder="1" applyAlignment="1">
      <alignment horizontal="left" vertical="center" wrapText="1"/>
    </xf>
    <xf numFmtId="167" fontId="14" fillId="9" borderId="86" xfId="1" applyNumberFormat="1" applyFont="1" applyFill="1" applyBorder="1" applyAlignment="1">
      <alignment horizontal="center" wrapText="1"/>
    </xf>
    <xf numFmtId="0" fontId="37" fillId="6" borderId="6" xfId="0" applyFont="1" applyFill="1" applyBorder="1" applyAlignment="1">
      <alignment horizontal="left" vertical="top" wrapText="1"/>
    </xf>
    <xf numFmtId="0" fontId="34" fillId="6" borderId="6" xfId="0" applyFont="1" applyFill="1" applyBorder="1" applyAlignment="1">
      <alignment horizontal="left" vertical="top"/>
    </xf>
    <xf numFmtId="3" fontId="60" fillId="7" borderId="7" xfId="0" applyNumberFormat="1" applyFont="1" applyFill="1" applyBorder="1" applyAlignment="1">
      <alignment horizontal="left" vertical="top"/>
    </xf>
    <xf numFmtId="0" fontId="59" fillId="8" borderId="7" xfId="0" applyFont="1" applyFill="1" applyBorder="1" applyAlignment="1">
      <alignment horizontal="left" vertical="top"/>
    </xf>
    <xf numFmtId="0" fontId="13" fillId="4" borderId="18" xfId="0" applyFont="1" applyFill="1" applyBorder="1" applyAlignment="1">
      <alignment horizontal="left" wrapText="1"/>
    </xf>
    <xf numFmtId="0" fontId="22" fillId="12" borderId="29" xfId="0" applyFont="1" applyFill="1" applyBorder="1" applyAlignment="1">
      <alignment horizontal="left" vertical="center"/>
    </xf>
    <xf numFmtId="0" fontId="13" fillId="6" borderId="18" xfId="0" applyFont="1" applyFill="1" applyBorder="1" applyAlignment="1">
      <alignment horizontal="left" vertical="center" wrapText="1"/>
    </xf>
    <xf numFmtId="0" fontId="37" fillId="6" borderId="29" xfId="0" applyFont="1" applyFill="1" applyBorder="1" applyAlignment="1">
      <alignment horizontal="left" vertical="top" wrapText="1"/>
    </xf>
    <xf numFmtId="0" fontId="13" fillId="6" borderId="29" xfId="0" applyFont="1" applyFill="1" applyBorder="1" applyAlignment="1">
      <alignment horizontal="left" vertical="center"/>
    </xf>
    <xf numFmtId="0" fontId="22" fillId="6" borderId="29" xfId="0" applyFont="1" applyFill="1" applyBorder="1" applyAlignment="1">
      <alignment horizontal="left" vertical="center"/>
    </xf>
    <xf numFmtId="0" fontId="13" fillId="9" borderId="29" xfId="0" applyFont="1" applyFill="1" applyBorder="1" applyAlignment="1">
      <alignment horizontal="justify" vertical="center" wrapText="1"/>
    </xf>
    <xf numFmtId="0" fontId="34" fillId="6" borderId="29" xfId="0" applyFont="1" applyFill="1" applyBorder="1" applyAlignment="1">
      <alignment horizontal="left" vertical="top" wrapText="1"/>
    </xf>
    <xf numFmtId="3" fontId="0" fillId="0" borderId="3" xfId="0" applyNumberFormat="1" applyFill="1" applyBorder="1" applyAlignment="1">
      <alignment horizontal="center"/>
    </xf>
    <xf numFmtId="0" fontId="9" fillId="0" borderId="0" xfId="0" applyFont="1" applyFill="1" applyBorder="1" applyAlignment="1">
      <alignment horizontal="left" vertical="center"/>
    </xf>
    <xf numFmtId="0" fontId="13" fillId="6" borderId="58" xfId="0" applyFont="1" applyFill="1" applyBorder="1" applyAlignment="1">
      <alignment horizontal="left" vertical="center" wrapText="1"/>
    </xf>
    <xf numFmtId="0" fontId="37" fillId="6" borderId="33" xfId="0" applyFont="1" applyFill="1" applyBorder="1" applyAlignment="1">
      <alignment horizontal="left" vertical="top" wrapText="1"/>
    </xf>
    <xf numFmtId="0" fontId="34" fillId="6" borderId="33" xfId="0" applyFont="1" applyFill="1" applyBorder="1" applyAlignment="1">
      <alignment horizontal="left" vertical="top"/>
    </xf>
    <xf numFmtId="0" fontId="13" fillId="9" borderId="33" xfId="0" applyFont="1" applyFill="1" applyBorder="1" applyAlignment="1">
      <alignment horizontal="justify" vertical="center" wrapText="1"/>
    </xf>
    <xf numFmtId="0" fontId="34" fillId="6" borderId="29" xfId="0" applyFont="1" applyFill="1" applyBorder="1" applyAlignment="1">
      <alignment horizontal="left" vertical="top"/>
    </xf>
    <xf numFmtId="0" fontId="34" fillId="23" borderId="29" xfId="0" applyFont="1" applyFill="1" applyBorder="1" applyAlignment="1">
      <alignment horizontal="left" vertical="top" wrapText="1"/>
    </xf>
    <xf numFmtId="3" fontId="24" fillId="0" borderId="3" xfId="0" applyNumberFormat="1" applyFont="1" applyFill="1" applyBorder="1" applyAlignment="1">
      <alignment horizontal="center" vertical="center" wrapText="1"/>
    </xf>
    <xf numFmtId="0" fontId="13" fillId="9" borderId="33" xfId="0" applyFont="1" applyFill="1" applyBorder="1" applyAlignment="1">
      <alignment horizontal="left" vertical="center"/>
    </xf>
    <xf numFmtId="0" fontId="13" fillId="8" borderId="29" xfId="0" applyFont="1" applyFill="1" applyBorder="1" applyAlignment="1">
      <alignment horizontal="left" vertical="center"/>
    </xf>
    <xf numFmtId="0" fontId="22" fillId="8" borderId="29" xfId="0" applyFont="1" applyFill="1" applyBorder="1" applyAlignment="1">
      <alignment horizontal="left" vertical="center"/>
    </xf>
    <xf numFmtId="0" fontId="14" fillId="4" borderId="29" xfId="0" applyFont="1" applyFill="1" applyBorder="1" applyAlignment="1">
      <alignment horizontal="left" vertical="center"/>
    </xf>
    <xf numFmtId="0" fontId="13" fillId="12" borderId="29" xfId="0" applyFont="1" applyFill="1" applyBorder="1" applyAlignment="1">
      <alignment horizontal="left" vertical="center" wrapText="1"/>
    </xf>
    <xf numFmtId="0" fontId="59" fillId="12" borderId="29" xfId="0" applyFont="1" applyFill="1" applyBorder="1" applyAlignment="1">
      <alignment horizontal="left" vertical="top" wrapText="1"/>
    </xf>
    <xf numFmtId="3" fontId="0" fillId="26" borderId="3" xfId="0" applyNumberFormat="1" applyFill="1" applyBorder="1" applyAlignment="1">
      <alignment horizontal="center"/>
    </xf>
    <xf numFmtId="0" fontId="37" fillId="23" borderId="33" xfId="0" applyFont="1" applyFill="1" applyBorder="1" applyAlignment="1">
      <alignment horizontal="left" vertical="top" wrapText="1"/>
    </xf>
    <xf numFmtId="0" fontId="34" fillId="23" borderId="33" xfId="0" applyFont="1" applyFill="1" applyBorder="1" applyAlignment="1">
      <alignment horizontal="left" vertical="top"/>
    </xf>
    <xf numFmtId="0" fontId="14" fillId="4" borderId="33" xfId="0" applyFont="1" applyFill="1" applyBorder="1" applyAlignment="1">
      <alignment horizontal="left" vertical="center"/>
    </xf>
    <xf numFmtId="0" fontId="13" fillId="12" borderId="33" xfId="0" applyFont="1" applyFill="1" applyBorder="1" applyAlignment="1">
      <alignment horizontal="left" vertical="center" wrapText="1"/>
    </xf>
    <xf numFmtId="0" fontId="66" fillId="12" borderId="33" xfId="0" applyFont="1" applyFill="1" applyBorder="1" applyAlignment="1">
      <alignment horizontal="left" vertical="top" wrapText="1"/>
    </xf>
    <xf numFmtId="0" fontId="59" fillId="12" borderId="33" xfId="0" applyFont="1" applyFill="1" applyBorder="1" applyAlignment="1">
      <alignment horizontal="left" vertical="top"/>
    </xf>
    <xf numFmtId="0" fontId="14" fillId="9" borderId="29" xfId="0" applyFont="1" applyFill="1" applyBorder="1" applyAlignment="1">
      <alignment horizontal="left" vertical="center"/>
    </xf>
    <xf numFmtId="0" fontId="13" fillId="12" borderId="29" xfId="0" applyFont="1" applyFill="1" applyBorder="1" applyAlignment="1">
      <alignment horizontal="left" vertical="top" wrapText="1"/>
    </xf>
    <xf numFmtId="0" fontId="14" fillId="4" borderId="29" xfId="0" applyFont="1" applyFill="1" applyBorder="1" applyAlignment="1">
      <alignment horizontal="center" vertical="center" wrapText="1"/>
    </xf>
    <xf numFmtId="167" fontId="37" fillId="9" borderId="36" xfId="1" applyNumberFormat="1" applyFont="1" applyFill="1" applyBorder="1" applyAlignment="1">
      <alignment horizontal="center" vertical="center" wrapText="1"/>
    </xf>
    <xf numFmtId="0" fontId="14" fillId="9" borderId="33" xfId="0" applyFont="1" applyFill="1" applyBorder="1" applyAlignment="1">
      <alignment horizontal="left" vertical="center"/>
    </xf>
    <xf numFmtId="0" fontId="14" fillId="4" borderId="33"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0" fillId="4" borderId="2" xfId="0" applyFill="1" applyBorder="1"/>
    <xf numFmtId="0" fontId="14" fillId="4" borderId="0" xfId="0" applyFont="1" applyFill="1" applyBorder="1" applyAlignment="1">
      <alignment horizontal="center" vertical="center" wrapText="1"/>
    </xf>
    <xf numFmtId="0" fontId="18" fillId="0" borderId="4" xfId="0" applyFont="1" applyFill="1" applyBorder="1" applyAlignment="1">
      <alignment horizontal="justify" vertical="center" wrapText="1"/>
    </xf>
    <xf numFmtId="0" fontId="14" fillId="9" borderId="48" xfId="0" applyFont="1" applyFill="1" applyBorder="1" applyAlignment="1">
      <alignment horizontal="justify" vertical="center" wrapText="1"/>
    </xf>
    <xf numFmtId="0" fontId="9" fillId="6" borderId="29" xfId="0" applyFont="1" applyFill="1" applyBorder="1" applyAlignment="1">
      <alignment horizontal="center" vertical="center" wrapText="1"/>
    </xf>
    <xf numFmtId="0" fontId="18" fillId="6" borderId="29" xfId="0" applyFont="1" applyFill="1" applyBorder="1" applyAlignment="1">
      <alignment horizontal="center" vertical="top" wrapText="1"/>
    </xf>
    <xf numFmtId="0" fontId="9" fillId="6" borderId="29" xfId="0" applyFont="1" applyFill="1" applyBorder="1" applyAlignment="1">
      <alignment horizontal="center" vertical="center"/>
    </xf>
    <xf numFmtId="0" fontId="9" fillId="6" borderId="29" xfId="0" applyFont="1" applyFill="1" applyBorder="1" applyAlignment="1">
      <alignment horizontal="left" vertical="center"/>
    </xf>
    <xf numFmtId="0" fontId="14" fillId="8" borderId="29" xfId="0" applyFont="1" applyFill="1" applyBorder="1" applyAlignment="1">
      <alignment horizontal="left" vertical="top" wrapText="1"/>
    </xf>
    <xf numFmtId="0" fontId="14" fillId="10" borderId="29" xfId="0" applyFont="1" applyFill="1" applyBorder="1" applyAlignment="1">
      <alignment horizontal="left" vertical="top" wrapText="1"/>
    </xf>
    <xf numFmtId="0" fontId="13" fillId="10" borderId="29" xfId="0" applyFont="1" applyFill="1" applyBorder="1" applyAlignment="1">
      <alignment horizontal="left" vertical="center"/>
    </xf>
    <xf numFmtId="0" fontId="18" fillId="13" borderId="29" xfId="0" applyFont="1" applyFill="1" applyBorder="1" applyAlignment="1">
      <alignment horizontal="left" vertical="top" wrapText="1"/>
    </xf>
    <xf numFmtId="0" fontId="22" fillId="13" borderId="29" xfId="0" applyFont="1" applyFill="1" applyBorder="1" applyAlignment="1">
      <alignment horizontal="left" vertical="center"/>
    </xf>
    <xf numFmtId="0" fontId="22" fillId="14" borderId="29" xfId="0" applyFont="1" applyFill="1" applyBorder="1" applyAlignment="1">
      <alignment horizontal="left" vertical="center" wrapText="1"/>
    </xf>
    <xf numFmtId="0" fontId="18" fillId="14" borderId="29" xfId="0" applyFont="1" applyFill="1" applyBorder="1" applyAlignment="1">
      <alignment horizontal="left" vertical="top" wrapText="1"/>
    </xf>
    <xf numFmtId="0" fontId="22" fillId="14" borderId="29" xfId="0" applyFont="1" applyFill="1" applyBorder="1" applyAlignment="1">
      <alignment horizontal="left" vertical="center"/>
    </xf>
    <xf numFmtId="0" fontId="18" fillId="14" borderId="29" xfId="0" applyFont="1" applyFill="1" applyBorder="1" applyAlignment="1">
      <alignment horizontal="left" vertical="center" wrapText="1"/>
    </xf>
    <xf numFmtId="0" fontId="18" fillId="24" borderId="29" xfId="0" applyFont="1" applyFill="1" applyBorder="1" applyAlignment="1">
      <alignment horizontal="left" vertical="top" wrapText="1"/>
    </xf>
    <xf numFmtId="0" fontId="22" fillId="24" borderId="29" xfId="0" applyFont="1" applyFill="1" applyBorder="1" applyAlignment="1">
      <alignment horizontal="left" vertical="center"/>
    </xf>
    <xf numFmtId="0" fontId="18" fillId="4" borderId="29" xfId="0" applyFont="1" applyFill="1" applyBorder="1" applyAlignment="1">
      <alignment horizontal="justify" vertical="center" wrapText="1"/>
    </xf>
    <xf numFmtId="0" fontId="0" fillId="0" borderId="3" xfId="0" applyFill="1" applyBorder="1" applyAlignment="1">
      <alignment horizontal="center" vertical="center"/>
    </xf>
    <xf numFmtId="0" fontId="9" fillId="0" borderId="3" xfId="0" applyFont="1" applyFill="1" applyBorder="1" applyAlignment="1">
      <alignment horizontal="center"/>
    </xf>
    <xf numFmtId="0" fontId="9" fillId="0" borderId="3" xfId="0" applyFont="1" applyFill="1" applyBorder="1" applyAlignment="1">
      <alignment horizontal="center" vertical="center"/>
    </xf>
    <xf numFmtId="0" fontId="9" fillId="6" borderId="50" xfId="0" applyFont="1" applyFill="1" applyBorder="1" applyAlignment="1">
      <alignment horizontal="center" vertical="center" wrapText="1"/>
    </xf>
    <xf numFmtId="0" fontId="18" fillId="6" borderId="33" xfId="0" applyFont="1" applyFill="1" applyBorder="1" applyAlignment="1">
      <alignment horizontal="center" vertical="top" wrapText="1"/>
    </xf>
    <xf numFmtId="0" fontId="9" fillId="6" borderId="33" xfId="0" applyFont="1" applyFill="1" applyBorder="1" applyAlignment="1">
      <alignment horizontal="center" vertical="center"/>
    </xf>
    <xf numFmtId="0" fontId="22" fillId="6" borderId="33" xfId="0" applyFont="1" applyFill="1" applyBorder="1" applyAlignment="1">
      <alignment horizontal="left" vertical="center"/>
    </xf>
    <xf numFmtId="0" fontId="9" fillId="6" borderId="33" xfId="0" applyFont="1" applyFill="1" applyBorder="1" applyAlignment="1">
      <alignment horizontal="left" vertical="center"/>
    </xf>
    <xf numFmtId="0" fontId="14" fillId="8" borderId="33" xfId="0" applyFont="1" applyFill="1" applyBorder="1" applyAlignment="1">
      <alignment horizontal="left" vertical="top" wrapText="1"/>
    </xf>
    <xf numFmtId="0" fontId="13" fillId="8" borderId="33" xfId="0" applyFont="1" applyFill="1" applyBorder="1" applyAlignment="1">
      <alignment horizontal="left" vertical="center"/>
    </xf>
    <xf numFmtId="0" fontId="14" fillId="10" borderId="33" xfId="0" applyFont="1" applyFill="1" applyBorder="1" applyAlignment="1">
      <alignment horizontal="left" vertical="top" wrapText="1"/>
    </xf>
    <xf numFmtId="0" fontId="13" fillId="10" borderId="33" xfId="0" applyFont="1" applyFill="1" applyBorder="1" applyAlignment="1">
      <alignment horizontal="left" vertical="center"/>
    </xf>
    <xf numFmtId="0" fontId="18" fillId="13" borderId="33" xfId="0" applyFont="1" applyFill="1" applyBorder="1" applyAlignment="1">
      <alignment horizontal="left" vertical="top" wrapText="1"/>
    </xf>
    <xf numFmtId="0" fontId="22" fillId="14" borderId="33" xfId="0" applyFont="1" applyFill="1" applyBorder="1" applyAlignment="1">
      <alignment horizontal="left" vertical="center" wrapText="1"/>
    </xf>
    <xf numFmtId="0" fontId="18" fillId="14" borderId="33" xfId="0" applyFont="1" applyFill="1" applyBorder="1" applyAlignment="1">
      <alignment horizontal="left" vertical="top" wrapText="1"/>
    </xf>
    <xf numFmtId="0" fontId="22" fillId="14" borderId="33" xfId="0" applyFont="1" applyFill="1" applyBorder="1" applyAlignment="1">
      <alignment horizontal="left" vertical="center"/>
    </xf>
    <xf numFmtId="0" fontId="18" fillId="14" borderId="33" xfId="0" applyFont="1" applyFill="1" applyBorder="1" applyAlignment="1">
      <alignment horizontal="left" vertical="center" wrapText="1"/>
    </xf>
    <xf numFmtId="0" fontId="18" fillId="24" borderId="33" xfId="0" applyFont="1" applyFill="1" applyBorder="1" applyAlignment="1">
      <alignment horizontal="left" vertical="top" wrapText="1"/>
    </xf>
    <xf numFmtId="0" fontId="22" fillId="24" borderId="33" xfId="0" applyFont="1" applyFill="1" applyBorder="1" applyAlignment="1">
      <alignment horizontal="left" vertical="center"/>
    </xf>
    <xf numFmtId="0" fontId="18" fillId="4" borderId="33" xfId="0" applyFont="1" applyFill="1" applyBorder="1" applyAlignment="1">
      <alignment horizontal="justify" vertical="center" wrapText="1"/>
    </xf>
    <xf numFmtId="0" fontId="13" fillId="18" borderId="19" xfId="0" applyFont="1" applyFill="1" applyBorder="1" applyAlignment="1">
      <alignment horizontal="left" wrapText="1"/>
    </xf>
    <xf numFmtId="0" fontId="0" fillId="18" borderId="19" xfId="0" applyFill="1" applyBorder="1"/>
    <xf numFmtId="3" fontId="29" fillId="7" borderId="2" xfId="0" applyNumberFormat="1" applyFont="1" applyFill="1" applyBorder="1" applyAlignment="1">
      <alignment horizontal="left" vertical="center"/>
    </xf>
    <xf numFmtId="167" fontId="37" fillId="9" borderId="86" xfId="1" applyNumberFormat="1" applyFont="1" applyFill="1" applyBorder="1" applyAlignment="1">
      <alignment horizontal="center" wrapText="1"/>
    </xf>
    <xf numFmtId="3" fontId="29" fillId="7" borderId="29" xfId="0" applyNumberFormat="1" applyFont="1" applyFill="1" applyBorder="1" applyAlignment="1">
      <alignment horizontal="left" vertical="center"/>
    </xf>
    <xf numFmtId="3" fontId="70" fillId="72" borderId="29" xfId="2" applyNumberFormat="1" applyFont="1" applyFill="1" applyBorder="1" applyAlignment="1">
      <alignment horizontal="left" vertical="top" wrapText="1"/>
    </xf>
    <xf numFmtId="3" fontId="71" fillId="72" borderId="29" xfId="2" applyNumberFormat="1" applyFont="1" applyFill="1" applyBorder="1" applyAlignment="1">
      <alignment horizontal="left" vertical="top"/>
    </xf>
    <xf numFmtId="0" fontId="18" fillId="8" borderId="29" xfId="0" applyFont="1" applyFill="1" applyBorder="1" applyAlignment="1">
      <alignment horizontal="left" vertical="center" wrapText="1"/>
    </xf>
    <xf numFmtId="0" fontId="9" fillId="8" borderId="29" xfId="0" applyFont="1" applyFill="1" applyBorder="1" applyAlignment="1">
      <alignment horizontal="left" vertical="center"/>
    </xf>
    <xf numFmtId="0" fontId="9" fillId="15" borderId="29" xfId="0" applyFont="1" applyFill="1" applyBorder="1" applyAlignment="1">
      <alignment horizontal="left" vertical="center"/>
    </xf>
    <xf numFmtId="0" fontId="14" fillId="9" borderId="29" xfId="0" applyFont="1" applyFill="1" applyBorder="1" applyAlignment="1">
      <alignment horizontal="justify" vertical="center" wrapText="1"/>
    </xf>
    <xf numFmtId="0" fontId="13" fillId="0" borderId="3" xfId="0" applyFont="1" applyFill="1" applyBorder="1" applyAlignment="1">
      <alignment horizontal="center" vertical="center"/>
    </xf>
    <xf numFmtId="3" fontId="70" fillId="72" borderId="33" xfId="2" applyNumberFormat="1" applyFont="1" applyFill="1" applyBorder="1" applyAlignment="1">
      <alignment horizontal="left" vertical="top" wrapText="1"/>
    </xf>
    <xf numFmtId="3" fontId="71" fillId="72" borderId="33" xfId="2" applyNumberFormat="1" applyFont="1" applyFill="1" applyBorder="1" applyAlignment="1">
      <alignment horizontal="left" vertical="top"/>
    </xf>
    <xf numFmtId="0" fontId="14" fillId="9" borderId="33" xfId="0" applyFont="1" applyFill="1" applyBorder="1" applyAlignment="1">
      <alignment horizontal="justify" vertical="center" wrapText="1"/>
    </xf>
    <xf numFmtId="3" fontId="25" fillId="7" borderId="29" xfId="0" applyNumberFormat="1" applyFont="1" applyFill="1" applyBorder="1" applyAlignment="1">
      <alignment horizontal="left" vertical="center" wrapText="1"/>
    </xf>
    <xf numFmtId="3" fontId="25" fillId="7" borderId="33" xfId="0" applyNumberFormat="1" applyFont="1" applyFill="1" applyBorder="1" applyAlignment="1">
      <alignment horizontal="left" vertical="top" wrapText="1"/>
    </xf>
    <xf numFmtId="0" fontId="18" fillId="15" borderId="33" xfId="0" applyFont="1" applyFill="1" applyBorder="1" applyAlignment="1">
      <alignment horizontal="left" vertical="top" wrapText="1"/>
    </xf>
    <xf numFmtId="0" fontId="18" fillId="15" borderId="29" xfId="0" applyFont="1" applyFill="1" applyBorder="1" applyAlignment="1">
      <alignment horizontal="left" vertical="top" wrapText="1"/>
    </xf>
    <xf numFmtId="3" fontId="24" fillId="0" borderId="0" xfId="0" applyNumberFormat="1" applyFont="1" applyFill="1" applyBorder="1" applyAlignment="1">
      <alignment horizontal="right" vertical="center"/>
    </xf>
    <xf numFmtId="0" fontId="17" fillId="4" borderId="26" xfId="0" applyFont="1" applyFill="1" applyBorder="1" applyAlignment="1">
      <alignment horizontal="center" vertical="center" wrapText="1"/>
    </xf>
    <xf numFmtId="3" fontId="35" fillId="13" borderId="26" xfId="2" applyNumberFormat="1" applyFont="1" applyFill="1" applyBorder="1" applyAlignment="1">
      <alignment horizontal="left" vertical="center" wrapText="1"/>
    </xf>
    <xf numFmtId="0" fontId="17" fillId="4" borderId="29" xfId="0" applyFont="1" applyFill="1" applyBorder="1" applyAlignment="1">
      <alignment horizontal="left" vertical="center"/>
    </xf>
    <xf numFmtId="3" fontId="36" fillId="13" borderId="26" xfId="2" applyNumberFormat="1" applyFont="1" applyFill="1" applyBorder="1" applyAlignment="1">
      <alignment horizontal="left" vertical="top"/>
    </xf>
    <xf numFmtId="0" fontId="14" fillId="4" borderId="26" xfId="0" applyFont="1" applyFill="1" applyBorder="1" applyAlignment="1">
      <alignment horizontal="left" vertical="center"/>
    </xf>
    <xf numFmtId="3" fontId="35" fillId="21" borderId="26" xfId="2" applyNumberFormat="1" applyFont="1" applyFill="1" applyBorder="1" applyAlignment="1">
      <alignment horizontal="left" vertical="center" wrapText="1"/>
    </xf>
    <xf numFmtId="3" fontId="35" fillId="21" borderId="26" xfId="2" applyNumberFormat="1" applyFont="1" applyFill="1" applyBorder="1" applyAlignment="1">
      <alignment horizontal="left" vertical="top" wrapText="1"/>
    </xf>
    <xf numFmtId="3" fontId="35" fillId="24" borderId="26" xfId="2" applyNumberFormat="1" applyFont="1" applyFill="1" applyBorder="1" applyAlignment="1">
      <alignment horizontal="left" vertical="center" wrapText="1"/>
    </xf>
    <xf numFmtId="3" fontId="35" fillId="24" borderId="26" xfId="2" applyNumberFormat="1" applyFont="1" applyFill="1" applyBorder="1" applyAlignment="1">
      <alignment horizontal="left" vertical="top" wrapText="1"/>
    </xf>
    <xf numFmtId="0" fontId="23" fillId="6" borderId="108" xfId="0" applyFont="1" applyFill="1" applyBorder="1" applyAlignment="1">
      <alignment horizontal="left" vertical="center" wrapText="1"/>
    </xf>
    <xf numFmtId="0" fontId="23" fillId="6" borderId="108" xfId="0" applyFont="1" applyFill="1" applyBorder="1" applyAlignment="1">
      <alignment horizontal="left" vertical="top" wrapText="1"/>
    </xf>
    <xf numFmtId="0" fontId="30" fillId="6" borderId="108" xfId="0" applyFont="1" applyFill="1" applyBorder="1" applyAlignment="1">
      <alignment horizontal="left" vertical="center"/>
    </xf>
    <xf numFmtId="0" fontId="17" fillId="4" borderId="29" xfId="0" applyFont="1" applyFill="1" applyBorder="1" applyAlignment="1">
      <alignment horizontal="center" vertical="center" wrapText="1"/>
    </xf>
    <xf numFmtId="0" fontId="23" fillId="6" borderId="29" xfId="0" applyFont="1" applyFill="1" applyBorder="1" applyAlignment="1">
      <alignment horizontal="left" vertical="top" wrapText="1"/>
    </xf>
    <xf numFmtId="0" fontId="17" fillId="20" borderId="26" xfId="0" applyFont="1" applyFill="1" applyBorder="1" applyAlignment="1">
      <alignment horizontal="center" vertical="center" wrapText="1"/>
    </xf>
    <xf numFmtId="0" fontId="24" fillId="20" borderId="26" xfId="0" applyFont="1" applyFill="1" applyBorder="1" applyAlignment="1">
      <alignment horizontal="left" vertical="center"/>
    </xf>
    <xf numFmtId="0" fontId="17" fillId="0" borderId="26" xfId="0" applyFont="1" applyFill="1" applyBorder="1" applyAlignment="1">
      <alignment horizontal="left" vertical="center"/>
    </xf>
    <xf numFmtId="1" fontId="37" fillId="5" borderId="31" xfId="0" applyNumberFormat="1" applyFont="1" applyFill="1" applyBorder="1" applyAlignment="1">
      <alignment horizontal="center" vertical="center" wrapText="1"/>
    </xf>
    <xf numFmtId="1" fontId="34" fillId="0" borderId="3" xfId="0" applyNumberFormat="1" applyFont="1" applyFill="1" applyBorder="1" applyAlignment="1">
      <alignment horizontal="center"/>
    </xf>
    <xf numFmtId="3" fontId="70" fillId="13" borderId="3" xfId="2" applyNumberFormat="1" applyFont="1" applyFill="1" applyBorder="1" applyAlignment="1">
      <alignment horizontal="left" vertical="top" wrapText="1"/>
    </xf>
    <xf numFmtId="1" fontId="34" fillId="0" borderId="3" xfId="0" applyNumberFormat="1" applyFont="1" applyFill="1" applyBorder="1" applyAlignment="1">
      <alignment horizontal="center" vertical="center"/>
    </xf>
    <xf numFmtId="1" fontId="34" fillId="0" borderId="5" xfId="0" applyNumberFormat="1" applyFont="1" applyFill="1" applyBorder="1" applyAlignment="1">
      <alignment horizontal="center"/>
    </xf>
    <xf numFmtId="0" fontId="17" fillId="4" borderId="50" xfId="0" applyFont="1" applyFill="1" applyBorder="1" applyAlignment="1">
      <alignment horizontal="center" vertical="center" wrapText="1"/>
    </xf>
    <xf numFmtId="3" fontId="35" fillId="13" borderId="50" xfId="2" applyNumberFormat="1" applyFont="1" applyFill="1" applyBorder="1" applyAlignment="1">
      <alignment horizontal="left" vertical="center" wrapText="1"/>
    </xf>
    <xf numFmtId="0" fontId="17" fillId="4" borderId="33" xfId="0" applyFont="1" applyFill="1" applyBorder="1" applyAlignment="1">
      <alignment horizontal="left" vertical="center"/>
    </xf>
    <xf numFmtId="3" fontId="35" fillId="13" borderId="50" xfId="2" applyNumberFormat="1" applyFont="1" applyFill="1" applyBorder="1" applyAlignment="1">
      <alignment horizontal="left" vertical="top" wrapText="1"/>
    </xf>
    <xf numFmtId="0" fontId="17" fillId="4" borderId="50" xfId="0" applyFont="1" applyFill="1" applyBorder="1" applyAlignment="1">
      <alignment horizontal="left" vertical="center"/>
    </xf>
    <xf numFmtId="3" fontId="36" fillId="13" borderId="50" xfId="2" applyNumberFormat="1" applyFont="1" applyFill="1" applyBorder="1" applyAlignment="1">
      <alignment horizontal="left" vertical="top"/>
    </xf>
    <xf numFmtId="0" fontId="17" fillId="4" borderId="46" xfId="0" applyFont="1" applyFill="1" applyBorder="1" applyAlignment="1">
      <alignment horizontal="left" vertical="center"/>
    </xf>
    <xf numFmtId="0" fontId="14" fillId="4" borderId="50" xfId="0" applyFont="1" applyFill="1" applyBorder="1" applyAlignment="1">
      <alignment horizontal="left" vertical="center"/>
    </xf>
    <xf numFmtId="3" fontId="35" fillId="21" borderId="50" xfId="2" applyNumberFormat="1" applyFont="1" applyFill="1" applyBorder="1" applyAlignment="1">
      <alignment horizontal="left" vertical="center" wrapText="1"/>
    </xf>
    <xf numFmtId="3" fontId="35" fillId="21" borderId="50" xfId="2" applyNumberFormat="1" applyFont="1" applyFill="1" applyBorder="1" applyAlignment="1">
      <alignment horizontal="left" vertical="top" wrapText="1"/>
    </xf>
    <xf numFmtId="3" fontId="36" fillId="21" borderId="50" xfId="2" applyNumberFormat="1" applyFont="1" applyFill="1" applyBorder="1" applyAlignment="1">
      <alignment horizontal="left" vertical="center"/>
    </xf>
    <xf numFmtId="3" fontId="35" fillId="24" borderId="50" xfId="2" applyNumberFormat="1" applyFont="1" applyFill="1" applyBorder="1" applyAlignment="1">
      <alignment horizontal="left" vertical="center" wrapText="1"/>
    </xf>
    <xf numFmtId="3" fontId="35" fillId="24" borderId="50" xfId="2" applyNumberFormat="1" applyFont="1" applyFill="1" applyBorder="1" applyAlignment="1">
      <alignment horizontal="left" vertical="top" wrapText="1"/>
    </xf>
    <xf numFmtId="3" fontId="36" fillId="24" borderId="50" xfId="2" applyNumberFormat="1" applyFont="1" applyFill="1" applyBorder="1" applyAlignment="1">
      <alignment horizontal="left" vertical="center"/>
    </xf>
    <xf numFmtId="0" fontId="23" fillId="6" borderId="33" xfId="0" applyFont="1" applyFill="1" applyBorder="1" applyAlignment="1">
      <alignment horizontal="left" vertical="top" wrapText="1"/>
    </xf>
    <xf numFmtId="0" fontId="30" fillId="6" borderId="33" xfId="0" applyFont="1" applyFill="1" applyBorder="1" applyAlignment="1">
      <alignment horizontal="left" vertical="center"/>
    </xf>
    <xf numFmtId="0" fontId="30" fillId="6" borderId="50" xfId="0" applyFont="1" applyFill="1" applyBorder="1" applyAlignment="1">
      <alignment horizontal="left" vertical="center"/>
    </xf>
    <xf numFmtId="0" fontId="30" fillId="6" borderId="46" xfId="0" applyFont="1" applyFill="1" applyBorder="1" applyAlignment="1">
      <alignment horizontal="left" vertical="center"/>
    </xf>
    <xf numFmtId="0" fontId="17" fillId="20" borderId="50" xfId="0" applyFont="1" applyFill="1" applyBorder="1" applyAlignment="1">
      <alignment horizontal="center" vertical="center" wrapText="1"/>
    </xf>
    <xf numFmtId="0" fontId="24" fillId="20" borderId="50" xfId="0" applyFont="1" applyFill="1" applyBorder="1" applyAlignment="1">
      <alignment horizontal="left" vertical="center"/>
    </xf>
    <xf numFmtId="0" fontId="17" fillId="0" borderId="50" xfId="0" applyFont="1" applyFill="1" applyBorder="1" applyAlignment="1">
      <alignment horizontal="left" vertical="center"/>
    </xf>
    <xf numFmtId="0" fontId="17" fillId="4" borderId="107" xfId="0" applyFont="1" applyFill="1" applyBorder="1" applyAlignment="1">
      <alignment horizontal="center" vertical="center" wrapText="1"/>
    </xf>
    <xf numFmtId="0" fontId="33" fillId="0" borderId="93"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95" xfId="0" applyFont="1" applyBorder="1" applyAlignment="1">
      <alignment horizontal="center" vertical="center" wrapText="1"/>
    </xf>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18" borderId="0" xfId="0" applyFill="1" applyBorder="1" applyAlignment="1">
      <alignment vertical="center" wrapText="1"/>
    </xf>
    <xf numFmtId="0" fontId="13" fillId="18" borderId="12" xfId="0" applyFont="1" applyFill="1" applyBorder="1" applyAlignment="1">
      <alignment vertical="center" wrapText="1"/>
    </xf>
    <xf numFmtId="0" fontId="14" fillId="18" borderId="12" xfId="0" applyFont="1" applyFill="1" applyBorder="1" applyAlignment="1">
      <alignment vertical="center" wrapText="1"/>
    </xf>
    <xf numFmtId="0" fontId="14" fillId="18" borderId="0" xfId="0" applyFont="1" applyFill="1" applyBorder="1" applyAlignment="1">
      <alignment vertical="center" wrapText="1"/>
    </xf>
    <xf numFmtId="0" fontId="37" fillId="0" borderId="16" xfId="0" applyFont="1" applyBorder="1"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3" fontId="0" fillId="0" borderId="14" xfId="0" applyNumberFormat="1" applyFill="1" applyBorder="1" applyAlignment="1">
      <alignment horizontal="center" vertical="center"/>
    </xf>
    <xf numFmtId="3" fontId="0" fillId="0" borderId="6" xfId="0" applyNumberFormat="1" applyFill="1" applyBorder="1" applyAlignment="1">
      <alignment horizontal="center" vertical="center"/>
    </xf>
    <xf numFmtId="3" fontId="0" fillId="0" borderId="50" xfId="0" applyNumberFormat="1" applyFill="1" applyBorder="1" applyAlignment="1">
      <alignment horizontal="right" vertical="center"/>
    </xf>
    <xf numFmtId="3" fontId="0" fillId="0" borderId="46" xfId="0" applyNumberFormat="1" applyFill="1" applyBorder="1" applyAlignment="1">
      <alignment horizontal="right" vertical="center"/>
    </xf>
    <xf numFmtId="1" fontId="34" fillId="0" borderId="14"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wrapText="1"/>
    </xf>
    <xf numFmtId="1" fontId="34" fillId="0" borderId="6" xfId="0" applyNumberFormat="1" applyFont="1" applyFill="1" applyBorder="1" applyAlignment="1">
      <alignment horizontal="center" vertical="center" wrapText="1"/>
    </xf>
    <xf numFmtId="3" fontId="34" fillId="0" borderId="14" xfId="0" applyNumberFormat="1"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3" fontId="34" fillId="0" borderId="6" xfId="0" applyNumberFormat="1" applyFont="1" applyFill="1" applyBorder="1" applyAlignment="1">
      <alignment horizontal="center" vertical="center" wrapText="1"/>
    </xf>
    <xf numFmtId="3" fontId="0" fillId="0" borderId="14" xfId="0" applyNumberFormat="1" applyFill="1" applyBorder="1" applyAlignment="1">
      <alignment horizontal="right" vertical="center"/>
    </xf>
    <xf numFmtId="3" fontId="0" fillId="0" borderId="15" xfId="0" applyNumberFormat="1" applyFill="1" applyBorder="1" applyAlignment="1">
      <alignment horizontal="right" vertical="center"/>
    </xf>
    <xf numFmtId="3" fontId="0" fillId="0" borderId="6" xfId="0" applyNumberFormat="1" applyFill="1" applyBorder="1" applyAlignment="1">
      <alignment horizontal="right" vertical="center"/>
    </xf>
    <xf numFmtId="3" fontId="0" fillId="0" borderId="90" xfId="0" applyNumberFormat="1" applyFill="1" applyBorder="1" applyAlignment="1">
      <alignment horizontal="right" vertical="center"/>
    </xf>
    <xf numFmtId="3" fontId="13" fillId="0" borderId="5"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3" fontId="13" fillId="0" borderId="72" xfId="0" applyNumberFormat="1" applyFont="1" applyFill="1" applyBorder="1" applyAlignment="1">
      <alignment horizontal="center" vertical="center"/>
    </xf>
    <xf numFmtId="0" fontId="13" fillId="0" borderId="14"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01" xfId="0" applyFont="1" applyBorder="1" applyAlignment="1">
      <alignment horizontal="center" wrapText="1"/>
    </xf>
    <xf numFmtId="0" fontId="13" fillId="0" borderId="102" xfId="0" applyFont="1" applyBorder="1" applyAlignment="1">
      <alignment horizontal="center" wrapText="1"/>
    </xf>
    <xf numFmtId="0" fontId="13" fillId="0" borderId="103" xfId="0" applyFont="1" applyBorder="1" applyAlignment="1">
      <alignment horizontal="center" wrapText="1"/>
    </xf>
    <xf numFmtId="0" fontId="34" fillId="18" borderId="12" xfId="0" applyFont="1" applyFill="1" applyBorder="1"/>
    <xf numFmtId="0" fontId="34" fillId="18" borderId="0" xfId="0" applyFont="1" applyFill="1" applyBorder="1"/>
    <xf numFmtId="3" fontId="0" fillId="5" borderId="40" xfId="0" applyNumberFormat="1" applyFill="1" applyBorder="1" applyAlignment="1">
      <alignment horizontal="center"/>
    </xf>
    <xf numFmtId="0" fontId="0" fillId="5" borderId="40" xfId="0" applyFill="1" applyBorder="1" applyAlignment="1">
      <alignment horizontal="center"/>
    </xf>
    <xf numFmtId="0" fontId="0" fillId="5" borderId="70" xfId="0" applyFill="1" applyBorder="1" applyAlignment="1">
      <alignment horizontal="center"/>
    </xf>
    <xf numFmtId="3" fontId="0" fillId="5" borderId="0" xfId="0" applyNumberFormat="1" applyFill="1" applyBorder="1" applyAlignment="1">
      <alignment horizontal="center"/>
    </xf>
    <xf numFmtId="0" fontId="0" fillId="5" borderId="0" xfId="0" applyFill="1" applyBorder="1" applyAlignment="1">
      <alignment horizontal="center"/>
    </xf>
    <xf numFmtId="0" fontId="0" fillId="5" borderId="71" xfId="0" applyFill="1" applyBorder="1" applyAlignment="1">
      <alignment horizontal="center"/>
    </xf>
    <xf numFmtId="3" fontId="0" fillId="5" borderId="19" xfId="0" applyNumberFormat="1" applyFill="1" applyBorder="1" applyAlignment="1">
      <alignment horizontal="center"/>
    </xf>
    <xf numFmtId="0" fontId="0" fillId="5" borderId="19" xfId="0" applyFill="1" applyBorder="1" applyAlignment="1">
      <alignment horizontal="center"/>
    </xf>
    <xf numFmtId="0" fontId="0" fillId="5" borderId="54" xfId="0" applyFill="1" applyBorder="1" applyAlignment="1">
      <alignment horizontal="center"/>
    </xf>
    <xf numFmtId="0" fontId="13" fillId="18" borderId="12" xfId="0" applyFont="1" applyFill="1" applyBorder="1"/>
    <xf numFmtId="0" fontId="0" fillId="18" borderId="0" xfId="0" applyFill="1" applyBorder="1"/>
    <xf numFmtId="0" fontId="14" fillId="18" borderId="12" xfId="0" applyFont="1" applyFill="1" applyBorder="1" applyAlignment="1">
      <alignment horizontal="left" vertical="center"/>
    </xf>
    <xf numFmtId="0" fontId="14" fillId="18" borderId="0" xfId="0" applyFont="1" applyFill="1" applyBorder="1" applyAlignment="1">
      <alignment horizontal="left" vertical="center"/>
    </xf>
    <xf numFmtId="0" fontId="33" fillId="2" borderId="69" xfId="0" applyFont="1" applyFill="1" applyBorder="1" applyAlignment="1">
      <alignment horizontal="center" vertical="center" wrapText="1"/>
    </xf>
    <xf numFmtId="0" fontId="33" fillId="2" borderId="92" xfId="0" applyFont="1" applyFill="1" applyBorder="1" applyAlignment="1">
      <alignment horizontal="center" vertical="center" wrapText="1"/>
    </xf>
    <xf numFmtId="0" fontId="33" fillId="2" borderId="39" xfId="0" applyFont="1" applyFill="1" applyBorder="1" applyAlignment="1">
      <alignment horizontal="center" vertical="center" wrapText="1"/>
    </xf>
    <xf numFmtId="0" fontId="33" fillId="2" borderId="59" xfId="0" applyFont="1" applyFill="1" applyBorder="1" applyAlignment="1">
      <alignment horizontal="center" vertical="center" wrapText="1"/>
    </xf>
    <xf numFmtId="167" fontId="14" fillId="0" borderId="0" xfId="1" applyNumberFormat="1" applyFont="1" applyBorder="1" applyAlignment="1">
      <alignment horizontal="center" wrapText="1"/>
    </xf>
    <xf numFmtId="0" fontId="37" fillId="0" borderId="0" xfId="0" applyFont="1" applyBorder="1" applyAlignment="1">
      <alignment horizontal="center" vertical="center"/>
    </xf>
    <xf numFmtId="0" fontId="34" fillId="0" borderId="0" xfId="0" applyFont="1" applyBorder="1" applyAlignment="1">
      <alignment horizontal="center" vertical="center"/>
    </xf>
    <xf numFmtId="3" fontId="0" fillId="0" borderId="0" xfId="0" applyNumberFormat="1" applyFill="1" applyAlignment="1">
      <alignment horizontal="center" vertical="center"/>
    </xf>
    <xf numFmtId="3" fontId="0" fillId="0" borderId="15" xfId="0" applyNumberFormat="1" applyFill="1" applyBorder="1" applyAlignment="1">
      <alignment horizontal="center" vertical="center"/>
    </xf>
    <xf numFmtId="3" fontId="0" fillId="0" borderId="50" xfId="0" applyNumberFormat="1" applyFill="1" applyBorder="1" applyAlignment="1">
      <alignment horizontal="center" vertical="center"/>
    </xf>
    <xf numFmtId="3" fontId="0" fillId="0" borderId="90" xfId="0" applyNumberFormat="1" applyFill="1" applyBorder="1" applyAlignment="1">
      <alignment horizontal="center" vertical="center"/>
    </xf>
    <xf numFmtId="3" fontId="0" fillId="0" borderId="46" xfId="0" applyNumberFormat="1" applyFill="1" applyBorder="1" applyAlignment="1">
      <alignment horizontal="center" vertical="center"/>
    </xf>
    <xf numFmtId="3" fontId="33" fillId="0" borderId="93" xfId="0" applyNumberFormat="1" applyFont="1" applyFill="1" applyBorder="1" applyAlignment="1">
      <alignment horizontal="center" vertical="center" wrapText="1"/>
    </xf>
    <xf numFmtId="3" fontId="33" fillId="0" borderId="94" xfId="0" applyNumberFormat="1" applyFont="1" applyFill="1" applyBorder="1" applyAlignment="1">
      <alignment horizontal="center" vertical="center" wrapText="1"/>
    </xf>
    <xf numFmtId="3" fontId="33" fillId="0" borderId="95" xfId="0" applyNumberFormat="1" applyFont="1" applyFill="1" applyBorder="1" applyAlignment="1">
      <alignment horizontal="center" vertical="center" wrapText="1"/>
    </xf>
    <xf numFmtId="0" fontId="34" fillId="0" borderId="0" xfId="0" applyFont="1" applyBorder="1" applyAlignment="1">
      <alignment horizontal="center" vertical="top"/>
    </xf>
    <xf numFmtId="0" fontId="0" fillId="18" borderId="12" xfId="0" applyFill="1" applyBorder="1"/>
    <xf numFmtId="0" fontId="14" fillId="18" borderId="12" xfId="0" applyFont="1" applyFill="1" applyBorder="1"/>
    <xf numFmtId="0" fontId="14" fillId="18" borderId="0" xfId="0" applyFont="1" applyFill="1" applyBorder="1"/>
    <xf numFmtId="0" fontId="17" fillId="0" borderId="104" xfId="0" applyFont="1" applyFill="1" applyBorder="1" applyAlignment="1">
      <alignment horizontal="center" vertical="center" wrapText="1"/>
    </xf>
    <xf numFmtId="0" fontId="37" fillId="0" borderId="104" xfId="0" applyFont="1" applyBorder="1" applyAlignment="1">
      <alignment horizontal="center" vertical="center"/>
    </xf>
    <xf numFmtId="3" fontId="33" fillId="2" borderId="93" xfId="0" applyNumberFormat="1" applyFont="1" applyFill="1" applyBorder="1" applyAlignment="1">
      <alignment horizontal="center" vertical="center" wrapText="1"/>
    </xf>
    <xf numFmtId="3" fontId="33" fillId="2" borderId="94" xfId="0" applyNumberFormat="1" applyFont="1" applyFill="1" applyBorder="1" applyAlignment="1">
      <alignment horizontal="center" vertical="center" wrapText="1"/>
    </xf>
    <xf numFmtId="3" fontId="33" fillId="2" borderId="95" xfId="0" applyNumberFormat="1" applyFont="1" applyFill="1" applyBorder="1" applyAlignment="1">
      <alignment horizontal="center" vertical="center" wrapText="1"/>
    </xf>
    <xf numFmtId="167" fontId="17" fillId="2" borderId="29" xfId="1" applyNumberFormat="1" applyFont="1" applyFill="1" applyBorder="1" applyAlignment="1">
      <alignment horizontal="center" wrapText="1"/>
    </xf>
    <xf numFmtId="167" fontId="17" fillId="2" borderId="3" xfId="1" applyNumberFormat="1" applyFont="1" applyFill="1" applyBorder="1" applyAlignment="1">
      <alignment horizontal="center" wrapText="1"/>
    </xf>
    <xf numFmtId="0" fontId="34" fillId="0" borderId="104" xfId="0" applyFont="1" applyBorder="1" applyAlignment="1">
      <alignment horizontal="center" vertical="center" wrapText="1"/>
    </xf>
    <xf numFmtId="0" fontId="17" fillId="18" borderId="12" xfId="0" applyFont="1" applyFill="1" applyBorder="1" applyAlignment="1">
      <alignment horizontal="left" vertical="center"/>
    </xf>
    <xf numFmtId="0" fontId="17" fillId="18" borderId="0" xfId="0" applyFont="1" applyFill="1" applyBorder="1" applyAlignment="1">
      <alignment horizontal="left" vertical="center"/>
    </xf>
    <xf numFmtId="0" fontId="24" fillId="0" borderId="101" xfId="0" applyFont="1" applyBorder="1" applyAlignment="1">
      <alignment horizontal="center" wrapText="1"/>
    </xf>
    <xf numFmtId="0" fontId="24" fillId="0" borderId="102" xfId="0" applyFont="1" applyBorder="1" applyAlignment="1">
      <alignment horizontal="center" wrapText="1"/>
    </xf>
    <xf numFmtId="0" fontId="24" fillId="0" borderId="103" xfId="0" applyFont="1" applyBorder="1" applyAlignment="1">
      <alignment horizontal="center" wrapText="1"/>
    </xf>
    <xf numFmtId="0" fontId="24" fillId="18" borderId="12" xfId="0" applyFont="1" applyFill="1" applyBorder="1"/>
    <xf numFmtId="0" fontId="24" fillId="18" borderId="0" xfId="0" applyFont="1" applyFill="1" applyBorder="1"/>
    <xf numFmtId="0" fontId="17" fillId="25" borderId="38" xfId="0" applyFont="1" applyFill="1" applyBorder="1" applyAlignment="1">
      <alignment horizontal="center" vertical="center" wrapText="1"/>
    </xf>
    <xf numFmtId="0" fontId="17" fillId="25" borderId="31" xfId="0" applyFont="1" applyFill="1" applyBorder="1" applyAlignment="1">
      <alignment horizontal="center" vertical="center" wrapText="1"/>
    </xf>
    <xf numFmtId="10" fontId="24" fillId="0" borderId="1" xfId="0" applyNumberFormat="1" applyFont="1" applyFill="1" applyBorder="1" applyAlignment="1">
      <alignment horizontal="right" vertical="center"/>
    </xf>
    <xf numFmtId="0" fontId="64" fillId="68" borderId="87" xfId="0" applyFont="1" applyFill="1" applyBorder="1" applyAlignment="1">
      <alignment horizontal="center" vertical="center"/>
    </xf>
    <xf numFmtId="0" fontId="64" fillId="68" borderId="0" xfId="0" applyFont="1" applyFill="1" applyBorder="1" applyAlignment="1">
      <alignment horizontal="center" vertical="center"/>
    </xf>
    <xf numFmtId="0" fontId="63" fillId="65" borderId="38" xfId="0" applyFont="1" applyFill="1" applyBorder="1" applyAlignment="1">
      <alignment horizontal="center" vertical="center" wrapText="1"/>
    </xf>
    <xf numFmtId="0" fontId="63" fillId="65" borderId="31" xfId="0" applyFont="1" applyFill="1" applyBorder="1" applyAlignment="1">
      <alignment horizontal="center" vertical="center" wrapText="1"/>
    </xf>
    <xf numFmtId="0" fontId="17" fillId="67" borderId="1" xfId="0" applyFont="1" applyFill="1" applyBorder="1" applyAlignment="1">
      <alignment horizontal="center" vertical="center"/>
    </xf>
    <xf numFmtId="10" fontId="24" fillId="0" borderId="38" xfId="0" applyNumberFormat="1" applyFont="1" applyFill="1" applyBorder="1" applyAlignment="1">
      <alignment horizontal="right" vertical="center"/>
    </xf>
    <xf numFmtId="10" fontId="24" fillId="0" borderId="39" xfId="0" applyNumberFormat="1" applyFont="1" applyFill="1" applyBorder="1" applyAlignment="1">
      <alignment horizontal="right" vertical="center"/>
    </xf>
    <xf numFmtId="10" fontId="24" fillId="0" borderId="31" xfId="0" applyNumberFormat="1" applyFont="1" applyFill="1" applyBorder="1" applyAlignment="1">
      <alignment horizontal="right" vertical="center"/>
    </xf>
    <xf numFmtId="0" fontId="14" fillId="67" borderId="38" xfId="0" applyFont="1" applyFill="1" applyBorder="1" applyAlignment="1">
      <alignment horizontal="center" vertical="center"/>
    </xf>
    <xf numFmtId="0" fontId="14" fillId="67" borderId="31" xfId="0" applyFont="1" applyFill="1" applyBorder="1" applyAlignment="1">
      <alignment horizontal="center" vertical="center"/>
    </xf>
    <xf numFmtId="0" fontId="65" fillId="63" borderId="0" xfId="0" applyFont="1" applyFill="1" applyAlignment="1">
      <alignment horizontal="center" vertical="center"/>
    </xf>
    <xf numFmtId="0" fontId="17" fillId="66" borderId="91" xfId="0" applyFont="1" applyFill="1" applyBorder="1" applyAlignment="1">
      <alignment horizontal="center" vertical="center"/>
    </xf>
    <xf numFmtId="0" fontId="17" fillId="66" borderId="0" xfId="0" applyFont="1" applyFill="1" applyBorder="1" applyAlignment="1">
      <alignment horizontal="center" vertical="center"/>
    </xf>
    <xf numFmtId="10" fontId="17" fillId="64" borderId="1" xfId="0" applyNumberFormat="1" applyFont="1" applyFill="1" applyBorder="1" applyAlignment="1">
      <alignment horizontal="right" vertical="center"/>
    </xf>
    <xf numFmtId="10" fontId="17" fillId="62" borderId="1" xfId="0" applyNumberFormat="1" applyFont="1" applyFill="1" applyBorder="1" applyAlignment="1">
      <alignment horizontal="right" vertical="center"/>
    </xf>
    <xf numFmtId="0" fontId="14" fillId="66" borderId="91" xfId="0" applyFont="1" applyFill="1" applyBorder="1" applyAlignment="1">
      <alignment horizontal="center" vertical="center"/>
    </xf>
    <xf numFmtId="0" fontId="14" fillId="66" borderId="0" xfId="0" applyFont="1" applyFill="1" applyBorder="1" applyAlignment="1">
      <alignment horizontal="center" vertical="center"/>
    </xf>
  </cellXfs>
  <cellStyles count="70">
    <cellStyle name="20% - Énfasis1" xfId="22" builtinId="30" customBuiltin="1"/>
    <cellStyle name="20% - Énfasis1 2" xfId="52"/>
    <cellStyle name="20% - Énfasis2" xfId="26" builtinId="34" customBuiltin="1"/>
    <cellStyle name="20% - Énfasis2 2" xfId="54"/>
    <cellStyle name="20% - Énfasis3" xfId="30" builtinId="38" customBuiltin="1"/>
    <cellStyle name="20% - Énfasis3 2" xfId="56"/>
    <cellStyle name="20% - Énfasis4" xfId="34" builtinId="42" customBuiltin="1"/>
    <cellStyle name="20% - Énfasis4 2" xfId="58"/>
    <cellStyle name="20% - Énfasis5" xfId="38" builtinId="46" customBuiltin="1"/>
    <cellStyle name="20% - Énfasis5 2" xfId="60"/>
    <cellStyle name="20% - Énfasis6" xfId="42" builtinId="50" customBuiltin="1"/>
    <cellStyle name="20% - Énfasis6 2" xfId="62"/>
    <cellStyle name="40% - Énfasis1" xfId="23" builtinId="31" customBuiltin="1"/>
    <cellStyle name="40% - Énfasis1 2" xfId="53"/>
    <cellStyle name="40% - Énfasis2" xfId="27" builtinId="35" customBuiltin="1"/>
    <cellStyle name="40% - Énfasis2 2" xfId="55"/>
    <cellStyle name="40% - Énfasis3" xfId="31" builtinId="39" customBuiltin="1"/>
    <cellStyle name="40% - Énfasis3 2" xfId="57"/>
    <cellStyle name="40% - Énfasis4" xfId="35" builtinId="43" customBuiltin="1"/>
    <cellStyle name="40% - Énfasis4 2" xfId="59"/>
    <cellStyle name="40% - Énfasis5" xfId="39" builtinId="47" customBuiltin="1"/>
    <cellStyle name="40% - Énfasis5 2" xfId="61"/>
    <cellStyle name="40% - Énfasis6" xfId="43" builtinId="51" customBuiltin="1"/>
    <cellStyle name="40% - Énfasis6 2" xfId="63"/>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Neutral" xfId="12" builtinId="28" customBuiltin="1"/>
    <cellStyle name="Normal" xfId="0" builtinId="0"/>
    <cellStyle name="Normal 10" xfId="65"/>
    <cellStyle name="Normal 11" xfId="66"/>
    <cellStyle name="Normal 12" xfId="67"/>
    <cellStyle name="Normal 13" xfId="68"/>
    <cellStyle name="Normal 2" xfId="4"/>
    <cellStyle name="Normal 2 2" xfId="48"/>
    <cellStyle name="Normal 3" xfId="2"/>
    <cellStyle name="Normal 4" xfId="45"/>
    <cellStyle name="Normal 5" xfId="3"/>
    <cellStyle name="Normal 6" xfId="47"/>
    <cellStyle name="Normal 7" xfId="49"/>
    <cellStyle name="Normal 8" xfId="50"/>
    <cellStyle name="Normal 9" xfId="64"/>
    <cellStyle name="Notas 2" xfId="46"/>
    <cellStyle name="Notas 3" xfId="51"/>
    <cellStyle name="Porcentaje" xfId="69"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00FFFF"/>
      <color rgb="FFFF9900"/>
      <color rgb="FF00CC00"/>
      <color rgb="FF07F913"/>
      <color rgb="FF99CC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292554</xdr:colOff>
      <xdr:row>0</xdr:row>
      <xdr:rowOff>160450</xdr:rowOff>
    </xdr:from>
    <xdr:to>
      <xdr:col>0</xdr:col>
      <xdr:colOff>1634729</xdr:colOff>
      <xdr:row>2</xdr:row>
      <xdr:rowOff>331879</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554" y="160450"/>
          <a:ext cx="1342175"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213108</xdr:colOff>
      <xdr:row>0</xdr:row>
      <xdr:rowOff>74915</xdr:rowOff>
    </xdr:from>
    <xdr:to>
      <xdr:col>0</xdr:col>
      <xdr:colOff>1498315</xdr:colOff>
      <xdr:row>2</xdr:row>
      <xdr:rowOff>449495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108" y="74915"/>
          <a:ext cx="1285207" cy="14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317500</xdr:colOff>
      <xdr:row>0</xdr:row>
      <xdr:rowOff>45356</xdr:rowOff>
    </xdr:from>
    <xdr:to>
      <xdr:col>0</xdr:col>
      <xdr:colOff>1712233</xdr:colOff>
      <xdr:row>2</xdr:row>
      <xdr:rowOff>447270</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5356"/>
          <a:ext cx="1394733" cy="146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321467</xdr:colOff>
      <xdr:row>0</xdr:row>
      <xdr:rowOff>63501</xdr:rowOff>
    </xdr:from>
    <xdr:to>
      <xdr:col>0</xdr:col>
      <xdr:colOff>1788583</xdr:colOff>
      <xdr:row>2</xdr:row>
      <xdr:rowOff>407962</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63501"/>
          <a:ext cx="1467116" cy="1402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284513</xdr:colOff>
      <xdr:row>0</xdr:row>
      <xdr:rowOff>98961</xdr:rowOff>
    </xdr:from>
    <xdr:to>
      <xdr:col>0</xdr:col>
      <xdr:colOff>1523215</xdr:colOff>
      <xdr:row>2</xdr:row>
      <xdr:rowOff>467045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513" y="98961"/>
          <a:ext cx="1238702" cy="90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rlando.arias/Documents/Orlando%20Arias/2016/Plan%20de%20accion%20Inversion%202016/Bogota%20Mejor%20Para%20Todos/Diciembre/Plan%20Accion%20BMPT-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lando_Arias\2019\Reportes_PREDIS\3.Marzo\1024_OP_MAR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rlando_Arias\2019\Reportes_PREDIS\5.Mayo\1024_OP_Abril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rlando_Arias\2019\Reportes_PREDIS\4.Abril\1107_OP_Ene_Abr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Orlando_Arias\2019\Reportes_PREDIS\1.Enero\RP_TodoEn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Orlando_Arias\2019\Reportes_PREDIS\2.Febrero\RP_Todo_Ene_Feb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Orlando_Arias\2019\Reportes_PREDIS\4.Abril\1110_OP_Ene_Abr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Orlando_Arias\2019\Reportes_PREDIS\4.Abril\1112_OP_Ene_Abr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Orlando_Arias\2019\Reportes_PREDIS\3.Marzo\1114_OP_MA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RESERVAS"/>
      <sheetName val="PASIVOS"/>
      <sheetName val="PMR (2)"/>
      <sheetName val="TABLERO"/>
    </sheetNames>
    <sheetDataSet>
      <sheetData sheetId="0" refreshError="1"/>
      <sheetData sheetId="1" refreshError="1"/>
      <sheetData sheetId="2" refreshError="1">
        <row r="16">
          <cell r="A16" t="str">
            <v>Fortalecimiento de los subsistemas del sistema
integrado de gestión</v>
          </cell>
        </row>
        <row r="81">
          <cell r="A81" t="str">
            <v>10. Procesos articulados dentro del sistema integrado de gestión.</v>
          </cell>
        </row>
      </sheetData>
      <sheetData sheetId="3" refreshError="1">
        <row r="16">
          <cell r="A16" t="str">
            <v>Plan especial de manejo y protección del centro
histórico</v>
          </cell>
        </row>
        <row r="94">
          <cell r="A94" t="str">
            <v>15. Instrumentos técnicos de gestión para la preservación del patrimonio cultural</v>
          </cell>
        </row>
      </sheetData>
      <sheetData sheetId="4" refreshError="1">
        <row r="16">
          <cell r="A16" t="str">
            <v xml:space="preserve">Bienes de Interés Cultural de tipo inmueble intervenidos </v>
          </cell>
        </row>
        <row r="144">
          <cell r="A144" t="str">
            <v>Monumentos en espacios públicos a intervenir</v>
          </cell>
        </row>
        <row r="263">
          <cell r="A263" t="str">
            <v>4. Obras de Intervención en Bienes muebles - inmuebles y sectores que conforman el patrimonio cultural del D.C.</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261</v>
          </cell>
          <cell r="O2">
            <v>254</v>
          </cell>
          <cell r="P2" t="str">
            <v>SARA LUCIA GOMEZ MACHADO</v>
          </cell>
          <cell r="Q2" t="str">
            <v>CONTRATO DE PRESTACION DE SERVICIOS PROFESIONALES</v>
          </cell>
          <cell r="R2">
            <v>226</v>
          </cell>
          <cell r="S2" t="str">
            <v>VIGENTE</v>
          </cell>
          <cell r="T2">
            <v>1963867</v>
          </cell>
        </row>
        <row r="3">
          <cell r="N3">
            <v>252</v>
          </cell>
          <cell r="O3">
            <v>256</v>
          </cell>
          <cell r="P3" t="str">
            <v>LIDA ROCIO ROA MONSALVE</v>
          </cell>
          <cell r="Q3" t="str">
            <v>CONTRATO DE PRESTACION DE SERVICIOS PROFESIONALES</v>
          </cell>
          <cell r="R3">
            <v>227</v>
          </cell>
          <cell r="S3" t="str">
            <v>VIGENTE</v>
          </cell>
          <cell r="T3">
            <v>1963867</v>
          </cell>
        </row>
        <row r="4">
          <cell r="N4">
            <v>276</v>
          </cell>
          <cell r="O4">
            <v>257</v>
          </cell>
          <cell r="P4" t="str">
            <v>VANESSA  GONZALEZ VEJOLLIN</v>
          </cell>
          <cell r="Q4" t="str">
            <v>CONTRATO DE PRESTACION DE SERVICIOS PROFESIONALES</v>
          </cell>
          <cell r="R4">
            <v>241</v>
          </cell>
          <cell r="S4" t="str">
            <v>VIGENTE</v>
          </cell>
          <cell r="T4">
            <v>1606800</v>
          </cell>
        </row>
        <row r="5">
          <cell r="N5">
            <v>177</v>
          </cell>
          <cell r="O5">
            <v>219</v>
          </cell>
          <cell r="P5" t="str">
            <v>PAULA ANDREA ÁVILA ESPINEL</v>
          </cell>
          <cell r="Q5" t="str">
            <v>CONTRATO DE PRESTACION DE SERVICIOS PROFESIONALES</v>
          </cell>
          <cell r="R5">
            <v>171</v>
          </cell>
          <cell r="S5" t="str">
            <v>VIGENTE</v>
          </cell>
          <cell r="T5">
            <v>5022000</v>
          </cell>
        </row>
        <row r="6">
          <cell r="N6">
            <v>166</v>
          </cell>
          <cell r="O6">
            <v>168</v>
          </cell>
          <cell r="P6" t="str">
            <v>YANETH  MORA HERNANDEZ</v>
          </cell>
          <cell r="Q6" t="str">
            <v>CONTRATO DE PRESTACION DE SERVICIOS PROFESIONALES</v>
          </cell>
          <cell r="R6">
            <v>147</v>
          </cell>
          <cell r="S6" t="str">
            <v>VIGENTE</v>
          </cell>
          <cell r="T6">
            <v>5022000</v>
          </cell>
        </row>
        <row r="7">
          <cell r="N7">
            <v>240</v>
          </cell>
          <cell r="O7">
            <v>242</v>
          </cell>
          <cell r="P7" t="str">
            <v xml:space="preserve">YENNY  SANCHEZ </v>
          </cell>
          <cell r="Q7" t="str">
            <v>CONTRATO DE PRESTACION DE SERVICIOS PROFESIONALES</v>
          </cell>
          <cell r="R7">
            <v>215</v>
          </cell>
          <cell r="S7" t="str">
            <v>VIGENTE</v>
          </cell>
          <cell r="T7">
            <v>2053133</v>
          </cell>
        </row>
        <row r="8">
          <cell r="N8">
            <v>172</v>
          </cell>
          <cell r="O8">
            <v>174</v>
          </cell>
          <cell r="P8" t="str">
            <v>FABIO ALBERTO LOPEZ SUAREZ</v>
          </cell>
          <cell r="Q8" t="str">
            <v>CONTRATO DE PRESTACION DE SERVICIOS PROFESIONALES</v>
          </cell>
          <cell r="R8">
            <v>159</v>
          </cell>
          <cell r="S8" t="str">
            <v>VIGENTE</v>
          </cell>
          <cell r="T8">
            <v>6840667</v>
          </cell>
        </row>
        <row r="9">
          <cell r="N9">
            <v>262</v>
          </cell>
          <cell r="O9">
            <v>255</v>
          </cell>
          <cell r="P9" t="str">
            <v>ANA CECILIA ESCOBAR RAMIREZ</v>
          </cell>
          <cell r="Q9" t="str">
            <v>CONTRATO DE PRESTACION DE SERVICIOS PROFESIONALES</v>
          </cell>
          <cell r="R9">
            <v>225</v>
          </cell>
          <cell r="S9" t="str">
            <v>VIGENTE</v>
          </cell>
          <cell r="T9">
            <v>1963867</v>
          </cell>
        </row>
        <row r="10">
          <cell r="N10">
            <v>175</v>
          </cell>
          <cell r="O10">
            <v>220</v>
          </cell>
          <cell r="P10" t="str">
            <v>SARA BEATRIZ ACUÑA GOMEZ</v>
          </cell>
          <cell r="Q10" t="str">
            <v>CONTRATO DE PRESTACION DE SERVICIOS PROFESIONALES</v>
          </cell>
          <cell r="R10">
            <v>169</v>
          </cell>
          <cell r="S10" t="str">
            <v>VIGENTE</v>
          </cell>
          <cell r="T10">
            <v>5022000</v>
          </cell>
        </row>
        <row r="11">
          <cell r="N11">
            <v>161</v>
          </cell>
          <cell r="O11">
            <v>167</v>
          </cell>
          <cell r="P11" t="str">
            <v>DIANA  PEDRAZA RINCON</v>
          </cell>
          <cell r="Q11" t="str">
            <v>CONTRATO DE PRESTACION DE SERVICIOS PROFESIONALES</v>
          </cell>
          <cell r="R11">
            <v>142</v>
          </cell>
          <cell r="S11" t="str">
            <v>VIGENTE</v>
          </cell>
          <cell r="T11">
            <v>5022000</v>
          </cell>
        </row>
        <row r="12">
          <cell r="N12">
            <v>275</v>
          </cell>
          <cell r="O12">
            <v>258</v>
          </cell>
          <cell r="P12" t="str">
            <v>NURY YENSSY BOHORQUEZ SANCEHZ</v>
          </cell>
          <cell r="Q12" t="str">
            <v>CONTRATO DE PRESTACION DE SERVICIOS PROFESIONALES</v>
          </cell>
          <cell r="R12">
            <v>242</v>
          </cell>
          <cell r="S12" t="str">
            <v>VIGENTE</v>
          </cell>
          <cell r="T12">
            <v>1696067</v>
          </cell>
        </row>
        <row r="13">
          <cell r="N13">
            <v>241</v>
          </cell>
          <cell r="O13">
            <v>246</v>
          </cell>
          <cell r="P13" t="str">
            <v>CAMILO  CASAS ABRIL</v>
          </cell>
          <cell r="Q13" t="str">
            <v>CONTRATO DE PRESTACION DE SERVICIOS PROFESIONALES</v>
          </cell>
          <cell r="R13">
            <v>213</v>
          </cell>
          <cell r="S13" t="str">
            <v>VIGENTE</v>
          </cell>
          <cell r="T13">
            <v>1785333</v>
          </cell>
        </row>
        <row r="14">
          <cell r="N14">
            <v>213</v>
          </cell>
          <cell r="O14">
            <v>237</v>
          </cell>
          <cell r="P14" t="str">
            <v>ANGELA MARIA CADENA GOMEZ</v>
          </cell>
          <cell r="Q14" t="str">
            <v>CONTRATO DE PRESTACION DE SERVICIOS PROFESIONALES</v>
          </cell>
          <cell r="R14">
            <v>196</v>
          </cell>
          <cell r="S14" t="str">
            <v>VIGENTE</v>
          </cell>
          <cell r="T14">
            <v>4860000</v>
          </cell>
        </row>
        <row r="15">
          <cell r="N15">
            <v>258</v>
          </cell>
          <cell r="O15">
            <v>241</v>
          </cell>
          <cell r="P15" t="str">
            <v>JENNY LORENA BOHORQUEZ MORENO</v>
          </cell>
          <cell r="Q15" t="str">
            <v>CONTRATO DE PRESTACION DE SERVICIOS PROFESIONALES</v>
          </cell>
          <cell r="R15">
            <v>232</v>
          </cell>
          <cell r="S15" t="str">
            <v>VIGENTE</v>
          </cell>
          <cell r="T15">
            <v>1696067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3">
          <cell r="N33">
            <v>241</v>
          </cell>
          <cell r="O33">
            <v>246</v>
          </cell>
          <cell r="P33" t="str">
            <v>CAMILO  CASAS ABRIL</v>
          </cell>
          <cell r="Q33" t="str">
            <v>CONTRATO DE PRESTACION DE SERVICIOS PROFESIONALES</v>
          </cell>
          <cell r="R33">
            <v>213</v>
          </cell>
          <cell r="S33" t="str">
            <v>VIGENTE</v>
          </cell>
          <cell r="T33">
            <v>2678000</v>
          </cell>
        </row>
        <row r="34">
          <cell r="N34">
            <v>261</v>
          </cell>
          <cell r="O34">
            <v>254</v>
          </cell>
          <cell r="P34" t="str">
            <v>SARA LUCIA GOMEZ MACHADO</v>
          </cell>
          <cell r="Q34" t="str">
            <v>CONTRATO DE PRESTACION DE SERVICIOS PROFESIONALES</v>
          </cell>
          <cell r="R34">
            <v>226</v>
          </cell>
          <cell r="S34" t="str">
            <v>VIGENTE</v>
          </cell>
          <cell r="T34">
            <v>2678000</v>
          </cell>
        </row>
        <row r="35">
          <cell r="N35">
            <v>258</v>
          </cell>
          <cell r="O35">
            <v>241</v>
          </cell>
          <cell r="P35" t="str">
            <v>JENNY LORENA BOHORQUEZ MORENO</v>
          </cell>
          <cell r="Q35" t="str">
            <v>CONTRATO DE PRESTACION DE SERVICIOS PROFESIONALES</v>
          </cell>
          <cell r="R35">
            <v>232</v>
          </cell>
          <cell r="S35" t="str">
            <v>VIGENTE</v>
          </cell>
          <cell r="T35">
            <v>2678000</v>
          </cell>
        </row>
        <row r="36">
          <cell r="N36">
            <v>240</v>
          </cell>
          <cell r="O36">
            <v>242</v>
          </cell>
          <cell r="P36" t="str">
            <v xml:space="preserve">YENNY  SANCHEZ </v>
          </cell>
          <cell r="Q36" t="str">
            <v>CONTRATO DE PRESTACION DE SERVICIOS PROFESIONALES</v>
          </cell>
          <cell r="R36">
            <v>215</v>
          </cell>
          <cell r="S36" t="str">
            <v>VIGENTE</v>
          </cell>
          <cell r="T36">
            <v>2678000</v>
          </cell>
        </row>
        <row r="37">
          <cell r="N37">
            <v>275</v>
          </cell>
          <cell r="O37">
            <v>258</v>
          </cell>
          <cell r="P37" t="str">
            <v>NURY YENSSY BOHORQUEZ SANCEHZ</v>
          </cell>
          <cell r="Q37" t="str">
            <v>CONTRATO DE PRESTACION DE SERVICIOS PROFESIONALES</v>
          </cell>
          <cell r="R37">
            <v>242</v>
          </cell>
          <cell r="S37" t="str">
            <v>VIGENTE</v>
          </cell>
          <cell r="T37">
            <v>2678000</v>
          </cell>
        </row>
        <row r="38">
          <cell r="N38">
            <v>276</v>
          </cell>
          <cell r="O38">
            <v>257</v>
          </cell>
          <cell r="P38" t="str">
            <v>VANESSA  GONZALEZ VEJOLLIN</v>
          </cell>
          <cell r="Q38" t="str">
            <v>CONTRATO DE PRESTACION DE SERVICIOS PROFESIONALES</v>
          </cell>
          <cell r="R38">
            <v>241</v>
          </cell>
          <cell r="S38" t="str">
            <v>VIGENTE</v>
          </cell>
          <cell r="T38">
            <v>2678000</v>
          </cell>
        </row>
        <row r="39">
          <cell r="N39">
            <v>175</v>
          </cell>
          <cell r="O39">
            <v>220</v>
          </cell>
          <cell r="P39" t="str">
            <v>SARA BEATRIZ ACUÑA GOMEZ</v>
          </cell>
          <cell r="Q39" t="str">
            <v>CONTRATO DE PRESTACION DE SERVICIOS PROFESIONALES</v>
          </cell>
          <cell r="R39">
            <v>169</v>
          </cell>
          <cell r="S39" t="str">
            <v>VIGENTE</v>
          </cell>
          <cell r="T39">
            <v>4860000</v>
          </cell>
        </row>
        <row r="40">
          <cell r="N40">
            <v>161</v>
          </cell>
          <cell r="O40">
            <v>167</v>
          </cell>
          <cell r="P40" t="str">
            <v>DIANA  PEDRAZA RINCON</v>
          </cell>
          <cell r="Q40" t="str">
            <v>CONTRATO DE PRESTACION DE SERVICIOS PROFESIONALES</v>
          </cell>
          <cell r="R40">
            <v>142</v>
          </cell>
          <cell r="S40" t="str">
            <v>VIGENTE</v>
          </cell>
          <cell r="T40">
            <v>4860000</v>
          </cell>
        </row>
        <row r="41">
          <cell r="N41">
            <v>213</v>
          </cell>
          <cell r="O41">
            <v>237</v>
          </cell>
          <cell r="P41" t="str">
            <v>ANGELA MARIA CADENA GOMEZ</v>
          </cell>
          <cell r="Q41" t="str">
            <v>CONTRATO DE PRESTACION DE SERVICIOS PROFESIONALES</v>
          </cell>
          <cell r="R41">
            <v>196</v>
          </cell>
          <cell r="S41" t="str">
            <v>VIGENTE</v>
          </cell>
          <cell r="T41">
            <v>4860000</v>
          </cell>
        </row>
        <row r="42">
          <cell r="N42">
            <v>166</v>
          </cell>
          <cell r="O42">
            <v>168</v>
          </cell>
          <cell r="P42" t="str">
            <v>YANETH  MORA HERNANDEZ</v>
          </cell>
          <cell r="Q42" t="str">
            <v>CONTRATO DE PRESTACION DE SERVICIOS PROFESIONALES</v>
          </cell>
          <cell r="R42">
            <v>147</v>
          </cell>
          <cell r="S42" t="str">
            <v>VIGENTE</v>
          </cell>
          <cell r="T42">
            <v>4860000</v>
          </cell>
        </row>
        <row r="43">
          <cell r="N43">
            <v>262</v>
          </cell>
          <cell r="O43">
            <v>255</v>
          </cell>
          <cell r="P43" t="str">
            <v>ANA CECILIA ESCOBAR RAMIREZ</v>
          </cell>
          <cell r="Q43" t="str">
            <v>CONTRATO DE PRESTACION DE SERVICIOS PROFESIONALES</v>
          </cell>
          <cell r="R43">
            <v>225</v>
          </cell>
          <cell r="S43" t="str">
            <v>VIGENTE</v>
          </cell>
          <cell r="T43">
            <v>2678000</v>
          </cell>
        </row>
        <row r="44">
          <cell r="N44">
            <v>252</v>
          </cell>
          <cell r="O44">
            <v>256</v>
          </cell>
          <cell r="P44" t="str">
            <v>LIDA ROCIO ROA MONSALVE</v>
          </cell>
          <cell r="Q44" t="str">
            <v>CONTRATO DE PRESTACION DE SERVICIOS PROFESIONALES</v>
          </cell>
          <cell r="R44">
            <v>227</v>
          </cell>
          <cell r="S44" t="str">
            <v>VIGENTE</v>
          </cell>
          <cell r="T44">
            <v>2678000</v>
          </cell>
        </row>
        <row r="45">
          <cell r="N45">
            <v>172</v>
          </cell>
          <cell r="O45">
            <v>174</v>
          </cell>
          <cell r="P45" t="str">
            <v>FABIO ALBERTO LOPEZ SUAREZ</v>
          </cell>
          <cell r="Q45" t="str">
            <v>CONTRATO DE PRESTACION DE SERVICIOS PROFESIONALES</v>
          </cell>
          <cell r="R45">
            <v>159</v>
          </cell>
          <cell r="S45" t="str">
            <v>VIGENTE</v>
          </cell>
          <cell r="T45">
            <v>8660000</v>
          </cell>
        </row>
        <row r="46">
          <cell r="N46">
            <v>177</v>
          </cell>
          <cell r="O46">
            <v>219</v>
          </cell>
          <cell r="P46" t="str">
            <v>PAULA ANDREA ÁVILA ESPINEL</v>
          </cell>
          <cell r="Q46" t="str">
            <v>CONTRATO DE PRESTACION DE SERVICIOS PROFESIONALES</v>
          </cell>
          <cell r="R46">
            <v>171</v>
          </cell>
          <cell r="S46" t="str">
            <v>VIGENTE</v>
          </cell>
          <cell r="T46">
            <v>4860000</v>
          </cell>
        </row>
        <row r="47">
          <cell r="N47">
            <v>496</v>
          </cell>
          <cell r="O47">
            <v>486</v>
          </cell>
          <cell r="P47" t="str">
            <v xml:space="preserve">INSTITUTO DISTRITAL DE PATRIMONIO CULTURAL   </v>
          </cell>
          <cell r="Q47" t="str">
            <v>OFICIO</v>
          </cell>
          <cell r="R47">
            <v>28143</v>
          </cell>
          <cell r="S47" t="str">
            <v>VIGENTE</v>
          </cell>
          <cell r="T47">
            <v>1003000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66">
          <cell r="N66">
            <v>36</v>
          </cell>
          <cell r="O66">
            <v>65</v>
          </cell>
          <cell r="P66" t="str">
            <v>GLORIA LIDIA RODRIGUEZ CASTRO</v>
          </cell>
          <cell r="Q66" t="str">
            <v>CONTRATO DE PRESTACION DE SERVICIOS DE APOYO A LA GESTION</v>
          </cell>
          <cell r="R66">
            <v>23</v>
          </cell>
          <cell r="S66" t="str">
            <v>VIGENTE</v>
          </cell>
          <cell r="T66">
            <v>3600000</v>
          </cell>
        </row>
        <row r="67">
          <cell r="N67">
            <v>38</v>
          </cell>
          <cell r="O67">
            <v>41</v>
          </cell>
          <cell r="P67" t="str">
            <v>YOLANDA  LOPEZ CORREAL</v>
          </cell>
          <cell r="Q67" t="str">
            <v>CONTRATO DE PRESTACION DE SERVICIOS PROFESIONALES</v>
          </cell>
          <cell r="R67">
            <v>24</v>
          </cell>
          <cell r="S67" t="str">
            <v>VIGENTE</v>
          </cell>
          <cell r="T67">
            <v>7000000</v>
          </cell>
        </row>
        <row r="68">
          <cell r="N68">
            <v>37</v>
          </cell>
          <cell r="O68">
            <v>39</v>
          </cell>
          <cell r="P68" t="str">
            <v>JUAN PABLO HENAO VALLEJO</v>
          </cell>
          <cell r="Q68" t="str">
            <v>CONTRATO DE PRESTACION DE SERVICIOS PROFESIONALES</v>
          </cell>
          <cell r="R68">
            <v>25</v>
          </cell>
          <cell r="S68" t="str">
            <v>VIGENTE</v>
          </cell>
          <cell r="T68">
            <v>6500000</v>
          </cell>
        </row>
        <row r="69">
          <cell r="N69">
            <v>42</v>
          </cell>
          <cell r="O69">
            <v>40</v>
          </cell>
          <cell r="P69" t="str">
            <v>YESICA MILENA ACOSTA MOLINA</v>
          </cell>
          <cell r="Q69" t="str">
            <v>CONTRATO DE PRESTACION DE SERVICIOS PROFESIONALES</v>
          </cell>
          <cell r="R69">
            <v>32</v>
          </cell>
          <cell r="S69" t="str">
            <v>VIGENTE</v>
          </cell>
          <cell r="T69">
            <v>6620000</v>
          </cell>
        </row>
        <row r="70">
          <cell r="N70">
            <v>61</v>
          </cell>
          <cell r="O70">
            <v>81</v>
          </cell>
          <cell r="P70" t="str">
            <v>LILIANA MARCELA PAMPLONA ROMERO</v>
          </cell>
          <cell r="Q70" t="str">
            <v>CONTRATO DE PRESTACION DE SERVICIOS PROFESIONALES</v>
          </cell>
          <cell r="R70">
            <v>35</v>
          </cell>
          <cell r="S70" t="str">
            <v>VIGENTE</v>
          </cell>
          <cell r="T70">
            <v>6695000</v>
          </cell>
        </row>
        <row r="71">
          <cell r="N71">
            <v>129</v>
          </cell>
          <cell r="O71">
            <v>79</v>
          </cell>
          <cell r="P71" t="str">
            <v>CATALINA  CAVELIER ADARVE</v>
          </cell>
          <cell r="Q71" t="str">
            <v>CONTRATO DE PRESTACION DE SERVICIOS PROFESIONALES</v>
          </cell>
          <cell r="R71">
            <v>41</v>
          </cell>
          <cell r="S71" t="str">
            <v>VIGENTE</v>
          </cell>
          <cell r="T71">
            <v>6620000</v>
          </cell>
        </row>
        <row r="72">
          <cell r="N72">
            <v>110</v>
          </cell>
          <cell r="O72">
            <v>59</v>
          </cell>
          <cell r="P72" t="str">
            <v>DIANA MARCELA GARCIA SIERRA</v>
          </cell>
          <cell r="Q72" t="str">
            <v>CONTRATO DE PRESTACION DE SERVICIOS PROFESIONALES</v>
          </cell>
          <cell r="R72">
            <v>81</v>
          </cell>
          <cell r="S72" t="str">
            <v>VIGENTE</v>
          </cell>
          <cell r="T72">
            <v>6620000</v>
          </cell>
        </row>
        <row r="73">
          <cell r="N73">
            <v>111</v>
          </cell>
          <cell r="O73">
            <v>89</v>
          </cell>
          <cell r="P73" t="str">
            <v>MELISSA  SOLORZANO TORO</v>
          </cell>
          <cell r="Q73" t="str">
            <v>CONTRATO DE PRESTACION DE SERVICIOS PROFESIONALES</v>
          </cell>
          <cell r="R73">
            <v>84</v>
          </cell>
          <cell r="S73" t="str">
            <v>VIGENTE</v>
          </cell>
          <cell r="T73">
            <v>5960000</v>
          </cell>
        </row>
        <row r="74">
          <cell r="N74">
            <v>115</v>
          </cell>
          <cell r="O74">
            <v>103</v>
          </cell>
          <cell r="P74" t="str">
            <v>CAROLINA DEL PILAR MARTINEZ PEÑA</v>
          </cell>
          <cell r="Q74" t="str">
            <v>CONTRATO DE PRESTACION DE SERVICIOS PROFESIONALES</v>
          </cell>
          <cell r="R74">
            <v>106</v>
          </cell>
          <cell r="S74" t="str">
            <v>VIGENTE</v>
          </cell>
          <cell r="T74">
            <v>8660000</v>
          </cell>
        </row>
        <row r="75">
          <cell r="N75">
            <v>242</v>
          </cell>
          <cell r="O75">
            <v>250</v>
          </cell>
          <cell r="P75" t="str">
            <v>XIMENA PAOLA BERNAL CASTILLO</v>
          </cell>
          <cell r="Q75" t="str">
            <v>CONTRATO DE PRESTACION DE SERVICIOS PROFESIONALES</v>
          </cell>
          <cell r="R75">
            <v>141</v>
          </cell>
          <cell r="S75" t="str">
            <v>VIGENTE</v>
          </cell>
          <cell r="T75">
            <v>8000000</v>
          </cell>
        </row>
        <row r="76">
          <cell r="N76">
            <v>181</v>
          </cell>
          <cell r="O76">
            <v>159</v>
          </cell>
          <cell r="P76" t="str">
            <v>LUIS ALFREDO BARON LEAL</v>
          </cell>
          <cell r="Q76" t="str">
            <v>CONTRATO DE PRESTACION DE SERVICIOS PROFESIONALES</v>
          </cell>
          <cell r="R76">
            <v>143</v>
          </cell>
          <cell r="S76" t="str">
            <v>VIGENTE</v>
          </cell>
          <cell r="T76">
            <v>5960000</v>
          </cell>
        </row>
        <row r="77">
          <cell r="N77">
            <v>165</v>
          </cell>
          <cell r="O77">
            <v>158</v>
          </cell>
          <cell r="P77" t="str">
            <v>HANZ  RIPPE GABRIEL</v>
          </cell>
          <cell r="Q77" t="str">
            <v>CONTRATO DE PRESTACION DE SERVICIOS PROFESIONALES</v>
          </cell>
          <cell r="R77">
            <v>144</v>
          </cell>
          <cell r="S77" t="str">
            <v>VIGENTE</v>
          </cell>
          <cell r="T77">
            <v>6420000</v>
          </cell>
        </row>
        <row r="78">
          <cell r="N78">
            <v>164</v>
          </cell>
          <cell r="O78">
            <v>157</v>
          </cell>
          <cell r="P78" t="str">
            <v>DIEGO ANDRES MUÑOZ CASALLAS</v>
          </cell>
          <cell r="Q78" t="str">
            <v>CONTRATO DE PRESTACION DE SERVICIOS PROFESIONALES</v>
          </cell>
          <cell r="R78">
            <v>146</v>
          </cell>
          <cell r="S78" t="str">
            <v>VIGENTE</v>
          </cell>
          <cell r="T78">
            <v>5960000</v>
          </cell>
        </row>
        <row r="79">
          <cell r="N79">
            <v>167</v>
          </cell>
          <cell r="O79">
            <v>172</v>
          </cell>
          <cell r="P79" t="str">
            <v>MONICA ANDREA SARMIENTO ROA</v>
          </cell>
          <cell r="Q79" t="str">
            <v>CONTRATO DE PRESTACION DE SERVICIOS PROFESIONALES</v>
          </cell>
          <cell r="R79">
            <v>148</v>
          </cell>
          <cell r="S79" t="str">
            <v>VIGENTE</v>
          </cell>
          <cell r="T79">
            <v>4600000</v>
          </cell>
        </row>
        <row r="80">
          <cell r="N80">
            <v>170</v>
          </cell>
          <cell r="O80">
            <v>173</v>
          </cell>
          <cell r="P80" t="str">
            <v>SANDRA ESTER MENDOZA LAFAURIE</v>
          </cell>
          <cell r="Q80" t="str">
            <v>CONTRATO DE PRESTACION DE SERVICIOS PROFESIONALES</v>
          </cell>
          <cell r="R80">
            <v>149</v>
          </cell>
          <cell r="S80" t="str">
            <v>VIGENTE</v>
          </cell>
          <cell r="T80">
            <v>5960000</v>
          </cell>
        </row>
        <row r="81">
          <cell r="N81">
            <v>184</v>
          </cell>
          <cell r="O81">
            <v>171</v>
          </cell>
          <cell r="P81" t="str">
            <v>JUAN FELIPE ESPINOSA DE LOS MONTEROS</v>
          </cell>
          <cell r="Q81" t="str">
            <v>CONTRATO DE PRESTACION DE SERVICIOS PROFESIONALES</v>
          </cell>
          <cell r="R81">
            <v>150</v>
          </cell>
          <cell r="S81" t="str">
            <v>VIGENTE</v>
          </cell>
          <cell r="T81">
            <v>4440000</v>
          </cell>
        </row>
        <row r="82">
          <cell r="N82">
            <v>162</v>
          </cell>
          <cell r="O82">
            <v>170</v>
          </cell>
          <cell r="P82" t="str">
            <v>JOHANNA MARCELA GALINDO URREGO</v>
          </cell>
          <cell r="Q82" t="str">
            <v>CONTRATO DE PRESTACION DE SERVICIOS PROFESIONALES</v>
          </cell>
          <cell r="R82">
            <v>152</v>
          </cell>
          <cell r="S82" t="str">
            <v>VIGENTE</v>
          </cell>
          <cell r="T82">
            <v>5360000</v>
          </cell>
        </row>
        <row r="83">
          <cell r="N83">
            <v>189</v>
          </cell>
          <cell r="O83">
            <v>160</v>
          </cell>
          <cell r="P83" t="str">
            <v>HECTOR CAMILO GOMEZ CAMARGO</v>
          </cell>
          <cell r="Q83" t="str">
            <v>CONTRATO DE PRESTACION DE SERVICIOS DE APOYO A LA GESTION</v>
          </cell>
          <cell r="R83">
            <v>153</v>
          </cell>
          <cell r="S83" t="str">
            <v>VIGENTE</v>
          </cell>
          <cell r="T83">
            <v>2720000</v>
          </cell>
        </row>
        <row r="84">
          <cell r="N84">
            <v>168</v>
          </cell>
          <cell r="O84">
            <v>156</v>
          </cell>
          <cell r="P84" t="str">
            <v>CARLOS  LEMA POSADA</v>
          </cell>
          <cell r="Q84" t="str">
            <v>CONTRATO DE PRESTACION DE SERVICIOS PROFESIONALES</v>
          </cell>
          <cell r="R84">
            <v>154</v>
          </cell>
          <cell r="S84" t="str">
            <v>VIGENTE</v>
          </cell>
          <cell r="T84">
            <v>6080000</v>
          </cell>
        </row>
        <row r="85">
          <cell r="N85">
            <v>173</v>
          </cell>
          <cell r="O85">
            <v>169</v>
          </cell>
          <cell r="P85" t="str">
            <v>ANA MARIA COLLAZOS SOLANO</v>
          </cell>
          <cell r="Q85" t="str">
            <v>CONTRATO DE PRESTACION DE SERVICIOS PROFESIONALES</v>
          </cell>
          <cell r="R85">
            <v>155</v>
          </cell>
          <cell r="S85" t="str">
            <v>VIGENTE</v>
          </cell>
          <cell r="T85">
            <v>4840000</v>
          </cell>
        </row>
        <row r="86">
          <cell r="N86">
            <v>179</v>
          </cell>
          <cell r="O86">
            <v>180</v>
          </cell>
          <cell r="P86" t="str">
            <v>MIGUEL ANTONIO RODRIGUEZ SILVA</v>
          </cell>
          <cell r="Q86" t="str">
            <v>CONTRATO DE PRESTACION DE SERVICIOS DE APOYO A LA GESTION</v>
          </cell>
          <cell r="R86">
            <v>156</v>
          </cell>
          <cell r="S86" t="str">
            <v>VIGENTE</v>
          </cell>
          <cell r="T86">
            <v>2500000</v>
          </cell>
        </row>
        <row r="87">
          <cell r="N87">
            <v>174</v>
          </cell>
          <cell r="O87">
            <v>175</v>
          </cell>
          <cell r="P87" t="str">
            <v>CARLOS ARTURO ROJAS PEREZ</v>
          </cell>
          <cell r="Q87" t="str">
            <v>CONTRATO DE PRESTACION DE SERVICIOS PROFESIONALES</v>
          </cell>
          <cell r="R87">
            <v>157</v>
          </cell>
          <cell r="S87" t="str">
            <v>VIGENTE</v>
          </cell>
          <cell r="T87">
            <v>6080000</v>
          </cell>
        </row>
        <row r="88">
          <cell r="N88">
            <v>163</v>
          </cell>
          <cell r="O88">
            <v>177</v>
          </cell>
          <cell r="P88" t="str">
            <v>GINA CATHERINE LEON CABRERA</v>
          </cell>
          <cell r="Q88" t="str">
            <v>CONTRATO DE PRESTACION DE SERVICIOS PROFESIONALES</v>
          </cell>
          <cell r="R88">
            <v>158</v>
          </cell>
          <cell r="S88" t="str">
            <v>VIGENTE</v>
          </cell>
          <cell r="T88">
            <v>5960000</v>
          </cell>
        </row>
        <row r="89">
          <cell r="N89">
            <v>180</v>
          </cell>
          <cell r="O89">
            <v>178</v>
          </cell>
          <cell r="P89" t="str">
            <v>JUAN SEBASTIAN PINTO MUÑOZ</v>
          </cell>
          <cell r="Q89" t="str">
            <v>CONTRATO DE PRESTACION DE SERVICIOS PROFESIONALES</v>
          </cell>
          <cell r="R89">
            <v>160</v>
          </cell>
          <cell r="S89" t="str">
            <v>VIGENTE</v>
          </cell>
          <cell r="T89">
            <v>4300000</v>
          </cell>
        </row>
        <row r="90">
          <cell r="N90">
            <v>227</v>
          </cell>
          <cell r="O90">
            <v>224</v>
          </cell>
          <cell r="P90" t="str">
            <v>GLORIA ISABEL CARRILLO BUITRAGO</v>
          </cell>
          <cell r="Q90" t="str">
            <v>CONTRATO DE PRESTACION DE SERVICIOS DE APOYO A LA GESTION</v>
          </cell>
          <cell r="R90">
            <v>166</v>
          </cell>
          <cell r="S90" t="str">
            <v>VIGENTE</v>
          </cell>
          <cell r="T90">
            <v>3480000</v>
          </cell>
        </row>
        <row r="91">
          <cell r="N91">
            <v>176</v>
          </cell>
          <cell r="O91">
            <v>190</v>
          </cell>
          <cell r="P91" t="str">
            <v>LAURA  MEJIA TORRES</v>
          </cell>
          <cell r="Q91" t="str">
            <v>CONTRATO DE PRESTACION DE SERVICIOS PROFESIONALES</v>
          </cell>
          <cell r="R91">
            <v>168</v>
          </cell>
          <cell r="S91" t="str">
            <v>VIGENTE</v>
          </cell>
          <cell r="T91">
            <v>4500000</v>
          </cell>
        </row>
        <row r="92">
          <cell r="N92">
            <v>192</v>
          </cell>
          <cell r="O92">
            <v>191</v>
          </cell>
          <cell r="P92" t="str">
            <v>CONSTANZA  MEDINA DIAZ</v>
          </cell>
          <cell r="Q92" t="str">
            <v>CONTRATO DE PRESTACION DE SERVICIOS PROFESIONALES</v>
          </cell>
          <cell r="R92">
            <v>170</v>
          </cell>
          <cell r="S92" t="str">
            <v>VIGENTE</v>
          </cell>
          <cell r="T92">
            <v>5000000</v>
          </cell>
        </row>
        <row r="93">
          <cell r="N93">
            <v>229</v>
          </cell>
          <cell r="O93">
            <v>179</v>
          </cell>
          <cell r="P93" t="str">
            <v>WALTER MAURICIO MARTINEZ ROSAS</v>
          </cell>
          <cell r="Q93" t="str">
            <v>CONTRATO DE PRESTACION DE SERVICIOS PROFESIONALES</v>
          </cell>
          <cell r="R93">
            <v>174</v>
          </cell>
          <cell r="S93" t="str">
            <v>VIGENTE</v>
          </cell>
          <cell r="T93">
            <v>5360000</v>
          </cell>
        </row>
        <row r="94">
          <cell r="N94">
            <v>232</v>
          </cell>
          <cell r="O94">
            <v>176</v>
          </cell>
          <cell r="P94" t="str">
            <v>Diana Marcela Gomez Bernal</v>
          </cell>
          <cell r="Q94" t="str">
            <v>CONTRATO DE PRESTACION DE SERVICIOS DE APOYO A LA GESTION</v>
          </cell>
          <cell r="R94">
            <v>176</v>
          </cell>
          <cell r="S94" t="str">
            <v>VIGENTE</v>
          </cell>
          <cell r="T94">
            <v>2580000</v>
          </cell>
        </row>
        <row r="95">
          <cell r="N95">
            <v>228</v>
          </cell>
          <cell r="O95">
            <v>228</v>
          </cell>
          <cell r="P95" t="str">
            <v>MARIA CLARA MENDEZ ALVAREZ</v>
          </cell>
          <cell r="Q95" t="str">
            <v>CONTRATO DE PRESTACION DE SERVICIOS PROFESIONALES</v>
          </cell>
          <cell r="R95">
            <v>177</v>
          </cell>
          <cell r="S95" t="str">
            <v>VIGENTE</v>
          </cell>
          <cell r="T95">
            <v>4020000</v>
          </cell>
        </row>
        <row r="96">
          <cell r="N96">
            <v>230</v>
          </cell>
          <cell r="O96">
            <v>231</v>
          </cell>
          <cell r="P96" t="str">
            <v>WILSON  PACHECO GUTIERREZ</v>
          </cell>
          <cell r="Q96" t="str">
            <v>CONTRATO DE PRESTACION DE SERVICIOS DE APOYO A LA GESTION</v>
          </cell>
          <cell r="R96">
            <v>178</v>
          </cell>
          <cell r="S96" t="str">
            <v>VIGENTE</v>
          </cell>
          <cell r="T96">
            <v>1500000</v>
          </cell>
        </row>
        <row r="97">
          <cell r="N97">
            <v>231</v>
          </cell>
          <cell r="O97">
            <v>229</v>
          </cell>
          <cell r="P97" t="str">
            <v>JOSE LEONARDO CRISTANCHO CASTAÑO</v>
          </cell>
          <cell r="Q97" t="str">
            <v>CONTRATO DE PRESTACION DE SERVICIOS PROFESIONALES</v>
          </cell>
          <cell r="R97">
            <v>179</v>
          </cell>
          <cell r="S97" t="str">
            <v>VIGENTE</v>
          </cell>
          <cell r="T97">
            <v>4020000</v>
          </cell>
        </row>
        <row r="98">
          <cell r="N98">
            <v>226</v>
          </cell>
          <cell r="O98">
            <v>232</v>
          </cell>
          <cell r="P98" t="str">
            <v>SONIA ESPERANZA CUARTAS BECERRA</v>
          </cell>
          <cell r="Q98" t="str">
            <v>CONTRATO DE PRESTACION DE SERVICIOS DE APOYO A LA GESTION</v>
          </cell>
          <cell r="R98">
            <v>180</v>
          </cell>
          <cell r="S98" t="str">
            <v>VIGENTE</v>
          </cell>
          <cell r="T98">
            <v>1500000</v>
          </cell>
        </row>
        <row r="99">
          <cell r="N99">
            <v>202</v>
          </cell>
          <cell r="O99">
            <v>227</v>
          </cell>
          <cell r="P99" t="str">
            <v>DIEGO LUIS ROBAYO DE ANGULO</v>
          </cell>
          <cell r="Q99" t="str">
            <v>CONTRATO DE PRESTACION DE SERVICIOS PROFESIONALES</v>
          </cell>
          <cell r="R99">
            <v>181</v>
          </cell>
          <cell r="S99" t="str">
            <v>VIGENTE</v>
          </cell>
          <cell r="T99">
            <v>8000000</v>
          </cell>
        </row>
        <row r="100">
          <cell r="N100">
            <v>218</v>
          </cell>
          <cell r="O100">
            <v>230</v>
          </cell>
          <cell r="P100" t="str">
            <v>BONILLA RODRIGUEZ NATHALY ANDREA</v>
          </cell>
          <cell r="Q100" t="str">
            <v>CONTRATO DE PRESTACION DE SERVICIOS PROFESIONALES</v>
          </cell>
          <cell r="R100">
            <v>183</v>
          </cell>
          <cell r="S100" t="str">
            <v>VIGENTE</v>
          </cell>
          <cell r="T100">
            <v>4900000</v>
          </cell>
        </row>
        <row r="101">
          <cell r="N101">
            <v>225</v>
          </cell>
          <cell r="O101">
            <v>193</v>
          </cell>
          <cell r="P101" t="str">
            <v>gustavo alfredo bueno rojas</v>
          </cell>
          <cell r="Q101" t="str">
            <v>CONTRATO DE PRESTACION DE SERVICIOS PROFESIONALES</v>
          </cell>
          <cell r="R101">
            <v>184</v>
          </cell>
          <cell r="S101" t="str">
            <v>VIGENTE</v>
          </cell>
          <cell r="T101">
            <v>5000000</v>
          </cell>
        </row>
        <row r="102">
          <cell r="N102">
            <v>246</v>
          </cell>
          <cell r="O102">
            <v>192</v>
          </cell>
          <cell r="P102" t="str">
            <v>NUBIA NAYIBE VELASCO CALVO</v>
          </cell>
          <cell r="Q102" t="str">
            <v>CONTRATO DE PRESTACION DE SERVICIOS PROFESIONALES</v>
          </cell>
          <cell r="R102">
            <v>185</v>
          </cell>
          <cell r="S102" t="str">
            <v>VIGENTE</v>
          </cell>
          <cell r="T102">
            <v>6000000</v>
          </cell>
        </row>
        <row r="103">
          <cell r="N103">
            <v>190</v>
          </cell>
          <cell r="O103">
            <v>223</v>
          </cell>
          <cell r="P103" t="str">
            <v>edgar andres gutierrez sanchez</v>
          </cell>
          <cell r="Q103" t="str">
            <v>CONTRATO DE PRESTACION DE SERVICIOS PROFESIONALES</v>
          </cell>
          <cell r="R103">
            <v>187</v>
          </cell>
          <cell r="S103" t="str">
            <v>VIGENTE</v>
          </cell>
          <cell r="T103">
            <v>3780000</v>
          </cell>
        </row>
        <row r="104">
          <cell r="N104">
            <v>191</v>
          </cell>
          <cell r="O104">
            <v>221</v>
          </cell>
          <cell r="P104" t="str">
            <v>MARIA ALEJANDRA TORO VESGA</v>
          </cell>
          <cell r="Q104" t="str">
            <v>CONTRATO DE PRESTACION DE SERVICIOS PROFESIONALES</v>
          </cell>
          <cell r="R104">
            <v>188</v>
          </cell>
          <cell r="S104" t="str">
            <v>VIGENTE</v>
          </cell>
          <cell r="T104">
            <v>5580000</v>
          </cell>
        </row>
        <row r="105">
          <cell r="N105">
            <v>223</v>
          </cell>
          <cell r="O105">
            <v>225</v>
          </cell>
          <cell r="P105" t="str">
            <v>LEONARDO  OCHICA SALAMANCA</v>
          </cell>
          <cell r="Q105" t="str">
            <v>CONTRATO DE PRESTACION DE SERVICIOS PROFESIONALES</v>
          </cell>
          <cell r="R105">
            <v>195</v>
          </cell>
          <cell r="S105" t="str">
            <v>VIGENTE</v>
          </cell>
          <cell r="T105">
            <v>5960000</v>
          </cell>
        </row>
        <row r="106">
          <cell r="N106">
            <v>239</v>
          </cell>
          <cell r="O106">
            <v>249</v>
          </cell>
          <cell r="P106" t="str">
            <v>MARIA ANTONIETA GARCIA RESTREPO</v>
          </cell>
          <cell r="Q106" t="str">
            <v>CONTRATO DE PRESTACION DE SERVICIOS PROFESIONALES</v>
          </cell>
          <cell r="R106">
            <v>214</v>
          </cell>
          <cell r="S106" t="str">
            <v>VIGENTE</v>
          </cell>
          <cell r="T106">
            <v>5460000</v>
          </cell>
        </row>
        <row r="107">
          <cell r="N107">
            <v>243</v>
          </cell>
          <cell r="O107">
            <v>248</v>
          </cell>
          <cell r="P107" t="str">
            <v>MARCELA  TRISTANCHO MANTILLA</v>
          </cell>
          <cell r="Q107" t="str">
            <v>CONTRATO DE PRESTACION DE SERVICIOS PROFESIONALES</v>
          </cell>
          <cell r="R107">
            <v>217</v>
          </cell>
          <cell r="S107" t="str">
            <v>VIGENTE</v>
          </cell>
          <cell r="T107">
            <v>6620000</v>
          </cell>
        </row>
        <row r="108">
          <cell r="N108">
            <v>251</v>
          </cell>
          <cell r="O108">
            <v>243</v>
          </cell>
          <cell r="P108" t="str">
            <v>IRENE CAROLINA CORREDOR ROJAS</v>
          </cell>
          <cell r="Q108" t="str">
            <v>CONTRATO DE PRESTACION DE SERVICIOS PROFESIONALES</v>
          </cell>
          <cell r="R108">
            <v>228</v>
          </cell>
          <cell r="S108" t="str">
            <v>VIGENTE</v>
          </cell>
          <cell r="T108">
            <v>6620000</v>
          </cell>
        </row>
        <row r="109">
          <cell r="N109">
            <v>270</v>
          </cell>
          <cell r="O109">
            <v>244</v>
          </cell>
          <cell r="P109" t="str">
            <v xml:space="preserve">MONICA ANGEL LASCAR </v>
          </cell>
          <cell r="Q109" t="str">
            <v>CONTRATO DE PRESTACION DE SERVICIOS PROFESIONALES</v>
          </cell>
          <cell r="R109">
            <v>229</v>
          </cell>
          <cell r="S109" t="str">
            <v>VIGENTE</v>
          </cell>
          <cell r="T109">
            <v>3820000</v>
          </cell>
        </row>
        <row r="110">
          <cell r="N110">
            <v>277</v>
          </cell>
          <cell r="O110">
            <v>247</v>
          </cell>
          <cell r="P110" t="str">
            <v xml:space="preserve">CLEMENT GUILLAUME ROUX </v>
          </cell>
          <cell r="Q110" t="str">
            <v>CONTRATO DE PRESTACION DE SERVICIOS PROFESIONALES</v>
          </cell>
          <cell r="R110">
            <v>237</v>
          </cell>
          <cell r="S110" t="str">
            <v>VIGENTE</v>
          </cell>
          <cell r="T110">
            <v>5580000</v>
          </cell>
        </row>
        <row r="111">
          <cell r="N111">
            <v>268</v>
          </cell>
          <cell r="O111">
            <v>263</v>
          </cell>
          <cell r="P111" t="str">
            <v>JORGE ELKIN BUITRAGO ARENAS</v>
          </cell>
          <cell r="Q111" t="str">
            <v>CONTRATO DE PRESTACION DE SERVICIOS PROFESIONALES</v>
          </cell>
          <cell r="R111">
            <v>238</v>
          </cell>
          <cell r="S111" t="str">
            <v>VIGENTE</v>
          </cell>
          <cell r="T111">
            <v>6270000</v>
          </cell>
        </row>
        <row r="112">
          <cell r="N112">
            <v>265</v>
          </cell>
          <cell r="O112">
            <v>264</v>
          </cell>
          <cell r="P112" t="str">
            <v>DIANA PAOLA GAITAN MARTINEZ</v>
          </cell>
          <cell r="Q112" t="str">
            <v>CONTRATO DE PRESTACION DE SERVICIOS PROFESIONALES</v>
          </cell>
          <cell r="R112">
            <v>239</v>
          </cell>
          <cell r="S112" t="str">
            <v>VIGENTE</v>
          </cell>
          <cell r="T112">
            <v>6825000</v>
          </cell>
        </row>
        <row r="113">
          <cell r="N113">
            <v>271</v>
          </cell>
          <cell r="O113">
            <v>262</v>
          </cell>
          <cell r="P113" t="str">
            <v>DIANA CAROLINA RUA RANGEL</v>
          </cell>
          <cell r="Q113" t="str">
            <v>CONTRATO DE PRESTACION DE SERVICIOS PROFESIONALES</v>
          </cell>
          <cell r="R113">
            <v>240</v>
          </cell>
          <cell r="S113" t="str">
            <v>VIGENTE</v>
          </cell>
          <cell r="T113">
            <v>6270000</v>
          </cell>
        </row>
        <row r="114">
          <cell r="N114">
            <v>269</v>
          </cell>
          <cell r="O114">
            <v>259</v>
          </cell>
          <cell r="P114" t="str">
            <v>EDGARD FRANCISCO GUERRERO GIRALDO</v>
          </cell>
          <cell r="Q114" t="str">
            <v>CONTRATO DE PRESTACION DE SERVICIOS PROFESIONALES</v>
          </cell>
          <cell r="R114">
            <v>243</v>
          </cell>
          <cell r="S114" t="str">
            <v>VIGENTE</v>
          </cell>
          <cell r="T114">
            <v>4600000</v>
          </cell>
        </row>
        <row r="115">
          <cell r="N115">
            <v>282</v>
          </cell>
          <cell r="O115">
            <v>222</v>
          </cell>
          <cell r="P115" t="str">
            <v>FABIAN ELIECER CERVERA LINARES</v>
          </cell>
          <cell r="Q115" t="str">
            <v>CONTRATO DE PRESTACION DE SERVICIOS PROFESIONALES</v>
          </cell>
          <cell r="R115">
            <v>244</v>
          </cell>
          <cell r="S115" t="str">
            <v>VIGENTE</v>
          </cell>
          <cell r="T115">
            <v>4000000</v>
          </cell>
        </row>
        <row r="116">
          <cell r="N116">
            <v>274</v>
          </cell>
          <cell r="O116">
            <v>283</v>
          </cell>
          <cell r="P116" t="str">
            <v>ANGIE MILENA MORALES MAURY</v>
          </cell>
          <cell r="Q116" t="str">
            <v>CONTRATO DE PRESTACION DE SERVICIOS PROFESIONALES</v>
          </cell>
          <cell r="R116">
            <v>245</v>
          </cell>
          <cell r="S116" t="str">
            <v>VIGENTE</v>
          </cell>
          <cell r="T116">
            <v>4200000</v>
          </cell>
        </row>
        <row r="117">
          <cell r="N117">
            <v>285</v>
          </cell>
          <cell r="O117">
            <v>285</v>
          </cell>
          <cell r="P117" t="str">
            <v>ANGEL ENRIQUE MARTINEZ RUIZ</v>
          </cell>
          <cell r="Q117" t="str">
            <v>CONTRATO DE PRESTACION DE SERVICIOS PROFESIONALES</v>
          </cell>
          <cell r="R117">
            <v>247</v>
          </cell>
          <cell r="S117" t="str">
            <v>VIGENTE</v>
          </cell>
          <cell r="T117">
            <v>6500000</v>
          </cell>
        </row>
        <row r="118">
          <cell r="N118">
            <v>329</v>
          </cell>
          <cell r="O118">
            <v>287</v>
          </cell>
          <cell r="P118" t="str">
            <v>ERNESTO  MOURE ERAZO</v>
          </cell>
          <cell r="Q118" t="str">
            <v>CONTRATO DE PRESTACION DE SERVICIOS PROFESIONALES</v>
          </cell>
          <cell r="R118">
            <v>251</v>
          </cell>
          <cell r="S118" t="str">
            <v>VIGENTE</v>
          </cell>
          <cell r="T118">
            <v>3996000</v>
          </cell>
        </row>
        <row r="119">
          <cell r="N119">
            <v>283</v>
          </cell>
          <cell r="O119">
            <v>288</v>
          </cell>
          <cell r="P119" t="str">
            <v>MARIA FARIDE PARDO SHAKER</v>
          </cell>
          <cell r="Q119" t="str">
            <v>CONTRATO DE PRESTACION DE SERVICIOS PROFESIONALES</v>
          </cell>
          <cell r="R119">
            <v>252</v>
          </cell>
          <cell r="S119" t="str">
            <v>VIGENTE</v>
          </cell>
          <cell r="T119">
            <v>3900000</v>
          </cell>
        </row>
        <row r="120">
          <cell r="N120">
            <v>295</v>
          </cell>
          <cell r="O120">
            <v>266</v>
          </cell>
          <cell r="P120" t="str">
            <v>GIOVANY ANDRE ALFONSO FORERO</v>
          </cell>
          <cell r="Q120" t="str">
            <v>CONTRATO DE PRESTACION DE SERVICIOS DE APOYO A LA GESTION</v>
          </cell>
          <cell r="R120">
            <v>253</v>
          </cell>
          <cell r="S120" t="str">
            <v>VIGENTE</v>
          </cell>
          <cell r="T120">
            <v>1000000</v>
          </cell>
        </row>
        <row r="121">
          <cell r="N121">
            <v>312</v>
          </cell>
          <cell r="O121">
            <v>296</v>
          </cell>
          <cell r="P121" t="str">
            <v>OSCAR DANIEL CLAVIJO TAVERA</v>
          </cell>
          <cell r="Q121" t="str">
            <v>CONTRATO DE PRESTACION DE SERVICIOS PROFESIONALES</v>
          </cell>
          <cell r="R121">
            <v>261</v>
          </cell>
          <cell r="S121" t="str">
            <v>VIGENTE</v>
          </cell>
          <cell r="T121">
            <v>5500000</v>
          </cell>
        </row>
        <row r="122">
          <cell r="N122">
            <v>340</v>
          </cell>
          <cell r="O122">
            <v>301</v>
          </cell>
          <cell r="P122" t="str">
            <v>RAFAEL ERNESTO MENDEZ CARDENAS</v>
          </cell>
          <cell r="Q122" t="str">
            <v>CONTRATO DE PRESTACION DE SERVICIOS PROFESIONALES</v>
          </cell>
          <cell r="R122">
            <v>262</v>
          </cell>
          <cell r="S122" t="str">
            <v>VIGENTE</v>
          </cell>
          <cell r="T122">
            <v>3000000</v>
          </cell>
        </row>
        <row r="123">
          <cell r="N123">
            <v>324</v>
          </cell>
          <cell r="O123">
            <v>299</v>
          </cell>
          <cell r="P123" t="str">
            <v>SHERIL NATALIA SALAZAR BAYONA</v>
          </cell>
          <cell r="Q123" t="str">
            <v>CONTRATO DE PRESTACION DE SERVICIOS PROFESIONALES</v>
          </cell>
          <cell r="R123">
            <v>263</v>
          </cell>
          <cell r="S123" t="str">
            <v>VIGENTE</v>
          </cell>
          <cell r="T123">
            <v>4333333</v>
          </cell>
        </row>
        <row r="124">
          <cell r="N124">
            <v>302</v>
          </cell>
          <cell r="O124">
            <v>300</v>
          </cell>
          <cell r="P124" t="str">
            <v>PAULA JIMENA MATIZ LOPEZ</v>
          </cell>
          <cell r="Q124" t="str">
            <v>CONTRATO DE PRESTACION DE SERVICIOS PROFESIONALES</v>
          </cell>
          <cell r="R124">
            <v>268</v>
          </cell>
          <cell r="S124" t="str">
            <v>VIGENTE</v>
          </cell>
          <cell r="T124">
            <v>7000000</v>
          </cell>
        </row>
        <row r="125">
          <cell r="N125">
            <v>382</v>
          </cell>
          <cell r="O125">
            <v>362</v>
          </cell>
          <cell r="P125" t="str">
            <v>VALERIA  FLOREZ GONZALEZ</v>
          </cell>
          <cell r="Q125" t="str">
            <v>CONTRATO DE PRESTACION DE SERVICIOS PROFESIONALES</v>
          </cell>
          <cell r="R125">
            <v>291</v>
          </cell>
          <cell r="S125" t="str">
            <v>VIGENTE</v>
          </cell>
          <cell r="T125">
            <v>1540000</v>
          </cell>
        </row>
        <row r="126">
          <cell r="N126">
            <v>400</v>
          </cell>
          <cell r="O126">
            <v>352</v>
          </cell>
          <cell r="P126" t="str">
            <v xml:space="preserve">PANAMERICANA LIBRERIA Y PAPELERIA S A   </v>
          </cell>
          <cell r="Q126" t="str">
            <v>CONTRATO DE SUMINISTRO</v>
          </cell>
          <cell r="R126">
            <v>297</v>
          </cell>
          <cell r="S126" t="str">
            <v>VIGENTE</v>
          </cell>
          <cell r="T126">
            <v>2041290</v>
          </cell>
        </row>
        <row r="127">
          <cell r="N127">
            <v>381</v>
          </cell>
          <cell r="O127">
            <v>352</v>
          </cell>
          <cell r="P127" t="str">
            <v xml:space="preserve">COLOMBIANA DE COMERCIO SA   </v>
          </cell>
          <cell r="Q127" t="str">
            <v>CONTRATO DE SUMINISTRO</v>
          </cell>
          <cell r="R127">
            <v>298</v>
          </cell>
          <cell r="S127" t="str">
            <v>VIGENTE</v>
          </cell>
          <cell r="T127">
            <v>16051450</v>
          </cell>
        </row>
        <row r="128">
          <cell r="N128">
            <v>406</v>
          </cell>
          <cell r="O128">
            <v>398</v>
          </cell>
          <cell r="P128" t="str">
            <v xml:space="preserve">FOTOMUSEO MUSEO NACIONAL DE LA FOTOGRAFIA DE COLOMBIA   </v>
          </cell>
          <cell r="Q128" t="str">
            <v>CONTRATO DE APOYO</v>
          </cell>
          <cell r="R128">
            <v>311</v>
          </cell>
          <cell r="S128" t="str">
            <v>VIGENTE</v>
          </cell>
          <cell r="T128">
            <v>25000000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ERCEROSREPETIDOS"/>
    </sheetNames>
    <sheetDataSet>
      <sheetData sheetId="0"/>
      <sheetData sheetId="1">
        <row r="48">
          <cell r="J48">
            <v>35</v>
          </cell>
          <cell r="K48">
            <v>43483</v>
          </cell>
          <cell r="L48" t="str">
            <v>CC</v>
          </cell>
          <cell r="M48">
            <v>19752295</v>
          </cell>
          <cell r="N48" t="str">
            <v>JUAN JOSE ALVEAR MEJIA</v>
          </cell>
        </row>
        <row r="49">
          <cell r="J49">
            <v>45</v>
          </cell>
          <cell r="K49">
            <v>43483</v>
          </cell>
          <cell r="L49" t="str">
            <v>CC</v>
          </cell>
          <cell r="M49">
            <v>1031141398</v>
          </cell>
          <cell r="N49" t="str">
            <v>johan camilo prieto carreño</v>
          </cell>
        </row>
        <row r="50">
          <cell r="J50">
            <v>141</v>
          </cell>
          <cell r="K50">
            <v>43488</v>
          </cell>
          <cell r="L50" t="str">
            <v>CC</v>
          </cell>
          <cell r="M50">
            <v>1015434867</v>
          </cell>
          <cell r="N50" t="str">
            <v>yenifer andrea lagos bueno</v>
          </cell>
        </row>
        <row r="51">
          <cell r="J51">
            <v>136</v>
          </cell>
          <cell r="K51">
            <v>43488</v>
          </cell>
          <cell r="L51" t="str">
            <v>CC</v>
          </cell>
          <cell r="M51">
            <v>1019033224</v>
          </cell>
          <cell r="N51" t="str">
            <v>CAMILO ANDRES BECERRA SANCHEZ</v>
          </cell>
        </row>
        <row r="52">
          <cell r="J52">
            <v>77</v>
          </cell>
          <cell r="K52">
            <v>43486</v>
          </cell>
          <cell r="L52" t="str">
            <v>CC</v>
          </cell>
          <cell r="M52">
            <v>11185322</v>
          </cell>
          <cell r="N52" t="str">
            <v>JAVIER FERNANDO MATEUS TOVAR</v>
          </cell>
        </row>
        <row r="53">
          <cell r="J53">
            <v>66</v>
          </cell>
          <cell r="K53">
            <v>43486</v>
          </cell>
          <cell r="L53" t="str">
            <v>CC</v>
          </cell>
          <cell r="M53">
            <v>1129576493</v>
          </cell>
          <cell r="N53" t="str">
            <v>EFRAIN JOSE CANEDO CASTRO</v>
          </cell>
        </row>
        <row r="54">
          <cell r="J54">
            <v>39</v>
          </cell>
          <cell r="K54">
            <v>43483</v>
          </cell>
          <cell r="L54" t="str">
            <v>CC</v>
          </cell>
          <cell r="M54">
            <v>1049626807</v>
          </cell>
          <cell r="N54" t="str">
            <v>LAURA ANGELICA MORENO LEMUS</v>
          </cell>
        </row>
        <row r="55">
          <cell r="J55">
            <v>139</v>
          </cell>
          <cell r="K55">
            <v>43488</v>
          </cell>
          <cell r="L55" t="str">
            <v>CC</v>
          </cell>
          <cell r="M55">
            <v>1053818624</v>
          </cell>
          <cell r="N55" t="str">
            <v>ANDREA YIZETH CESPEDES VILLAR</v>
          </cell>
        </row>
        <row r="56">
          <cell r="J56">
            <v>100</v>
          </cell>
          <cell r="K56">
            <v>43486</v>
          </cell>
          <cell r="L56" t="str">
            <v>CC</v>
          </cell>
          <cell r="M56">
            <v>80927382</v>
          </cell>
          <cell r="N56" t="str">
            <v>CARLOS ERNESTO LINCE RODRIGUEZ</v>
          </cell>
        </row>
        <row r="57">
          <cell r="J57">
            <v>0</v>
          </cell>
          <cell r="K57">
            <v>43487</v>
          </cell>
          <cell r="L57" t="str">
            <v>CC</v>
          </cell>
          <cell r="M57">
            <v>1010203131</v>
          </cell>
          <cell r="N57" t="str">
            <v>Jorge Eliecer Rodriguez Casallas</v>
          </cell>
        </row>
        <row r="58">
          <cell r="J58">
            <v>135</v>
          </cell>
          <cell r="K58">
            <v>43488</v>
          </cell>
          <cell r="L58" t="str">
            <v>CC</v>
          </cell>
          <cell r="M58">
            <v>1010203131</v>
          </cell>
          <cell r="N58" t="str">
            <v>Jorge Eliecer Rodriguez Casallas</v>
          </cell>
        </row>
        <row r="59">
          <cell r="J59">
            <v>67</v>
          </cell>
          <cell r="K59">
            <v>43486</v>
          </cell>
          <cell r="L59" t="str">
            <v>CC</v>
          </cell>
          <cell r="M59">
            <v>1014238520</v>
          </cell>
          <cell r="N59" t="str">
            <v>NATALIA  ACHIARDI ORTIZ</v>
          </cell>
        </row>
        <row r="60">
          <cell r="J60">
            <v>138</v>
          </cell>
          <cell r="K60">
            <v>43488</v>
          </cell>
          <cell r="L60" t="str">
            <v>CC</v>
          </cell>
          <cell r="M60">
            <v>53051195</v>
          </cell>
          <cell r="N60" t="str">
            <v>MONICA  COY DE MARQUEZ</v>
          </cell>
        </row>
        <row r="61">
          <cell r="J61">
            <v>99</v>
          </cell>
          <cell r="K61">
            <v>43486</v>
          </cell>
          <cell r="L61" t="str">
            <v>CC</v>
          </cell>
          <cell r="M61">
            <v>1015401538</v>
          </cell>
          <cell r="N61" t="str">
            <v>ANA MARIA FLOREZ FLOREZ</v>
          </cell>
        </row>
        <row r="62">
          <cell r="J62">
            <v>142</v>
          </cell>
          <cell r="K62">
            <v>43488</v>
          </cell>
          <cell r="L62" t="str">
            <v>CC</v>
          </cell>
          <cell r="M62">
            <v>1022330414</v>
          </cell>
          <cell r="N62" t="str">
            <v>SERGIO IVAN ROJAS BERRIO</v>
          </cell>
        </row>
        <row r="63">
          <cell r="J63">
            <v>47</v>
          </cell>
          <cell r="K63">
            <v>43483</v>
          </cell>
          <cell r="L63" t="str">
            <v>CC</v>
          </cell>
          <cell r="M63">
            <v>80014723</v>
          </cell>
          <cell r="N63" t="str">
            <v>MAURICIO  CORTES GARZON</v>
          </cell>
        </row>
        <row r="64">
          <cell r="J64">
            <v>43</v>
          </cell>
          <cell r="K64">
            <v>43483</v>
          </cell>
          <cell r="L64" t="str">
            <v>CC</v>
          </cell>
          <cell r="M64">
            <v>1022381674</v>
          </cell>
          <cell r="N64" t="str">
            <v>SHARON NATHALY BALLESTEROS SUAREZ</v>
          </cell>
        </row>
        <row r="65">
          <cell r="J65">
            <v>137</v>
          </cell>
          <cell r="K65">
            <v>43488</v>
          </cell>
          <cell r="L65" t="str">
            <v>CC</v>
          </cell>
          <cell r="M65">
            <v>52390572</v>
          </cell>
          <cell r="N65" t="str">
            <v>PAOLA ALEJANDRA BUITRAGO CORTES</v>
          </cell>
        </row>
        <row r="66">
          <cell r="J66">
            <v>148</v>
          </cell>
          <cell r="K66">
            <v>43489</v>
          </cell>
          <cell r="L66" t="str">
            <v>CC</v>
          </cell>
          <cell r="M66">
            <v>1018423829</v>
          </cell>
          <cell r="N66" t="str">
            <v>PAOLA ANDREA LUNA CORTES</v>
          </cell>
        </row>
        <row r="67">
          <cell r="J67">
            <v>187</v>
          </cell>
          <cell r="K67">
            <v>43495</v>
          </cell>
          <cell r="L67" t="str">
            <v>CC</v>
          </cell>
          <cell r="M67">
            <v>1072649583</v>
          </cell>
          <cell r="N67" t="str">
            <v>LINA MARCELA MORENO ROA</v>
          </cell>
        </row>
        <row r="68">
          <cell r="J68">
            <v>188</v>
          </cell>
          <cell r="K68">
            <v>43495</v>
          </cell>
          <cell r="L68" t="str">
            <v>CC</v>
          </cell>
          <cell r="M68">
            <v>80859872</v>
          </cell>
          <cell r="N68" t="str">
            <v>JOHAN ALBERTO GARZON CASTAÑEDA</v>
          </cell>
        </row>
        <row r="69">
          <cell r="J69">
            <v>193</v>
          </cell>
          <cell r="K69">
            <v>43496</v>
          </cell>
          <cell r="L69" t="str">
            <v>CC</v>
          </cell>
          <cell r="M69">
            <v>80504076</v>
          </cell>
          <cell r="N69" t="str">
            <v>DIEGO LUIS ROBAYO DE ANGULO</v>
          </cell>
        </row>
        <row r="70">
          <cell r="J70">
            <v>44</v>
          </cell>
          <cell r="K70">
            <v>43483</v>
          </cell>
          <cell r="L70" t="str">
            <v>CC</v>
          </cell>
          <cell r="M70">
            <v>1057574035</v>
          </cell>
          <cell r="N70" t="str">
            <v>JUAN PABLO SANCHEZ CHAVES</v>
          </cell>
        </row>
        <row r="71">
          <cell r="J71">
            <v>140</v>
          </cell>
          <cell r="K71">
            <v>43488</v>
          </cell>
          <cell r="L71" t="str">
            <v>CC</v>
          </cell>
          <cell r="M71">
            <v>1012360177</v>
          </cell>
          <cell r="N71" t="str">
            <v>JUAN CARLOS SARMIENTO NOVOA</v>
          </cell>
        </row>
        <row r="72">
          <cell r="J72">
            <v>150</v>
          </cell>
          <cell r="K72">
            <v>43489</v>
          </cell>
          <cell r="L72" t="str">
            <v>CC</v>
          </cell>
          <cell r="M72">
            <v>1097391309</v>
          </cell>
          <cell r="N72" t="str">
            <v>ANA GABRIELA PINILLA GONZALEZ</v>
          </cell>
        </row>
        <row r="73">
          <cell r="J73">
            <v>194</v>
          </cell>
          <cell r="K73">
            <v>43496</v>
          </cell>
          <cell r="L73" t="str">
            <v>CC</v>
          </cell>
          <cell r="M73">
            <v>1010203131</v>
          </cell>
          <cell r="N73" t="str">
            <v>Jorge Eliecer Rodriguez Casallas</v>
          </cell>
        </row>
        <row r="74">
          <cell r="J74">
            <v>52</v>
          </cell>
          <cell r="K74">
            <v>43483</v>
          </cell>
          <cell r="L74" t="str">
            <v>CC</v>
          </cell>
          <cell r="M74">
            <v>1130615434</v>
          </cell>
          <cell r="N74" t="str">
            <v>DIEGO IVAN MENESES FIGUEROA</v>
          </cell>
        </row>
        <row r="75">
          <cell r="J75">
            <v>46</v>
          </cell>
          <cell r="K75">
            <v>43483</v>
          </cell>
          <cell r="L75" t="str">
            <v>CC</v>
          </cell>
          <cell r="M75">
            <v>41644787</v>
          </cell>
          <cell r="N75" t="str">
            <v>LEONOR ISBELIA GOMEZ HERNANDEZ</v>
          </cell>
        </row>
        <row r="141">
          <cell r="J141">
            <v>37</v>
          </cell>
          <cell r="K141">
            <v>43483</v>
          </cell>
          <cell r="L141" t="str">
            <v>CC</v>
          </cell>
          <cell r="M141">
            <v>9725241</v>
          </cell>
          <cell r="N141" t="str">
            <v>JUAN PABLO HENAO VALLEJO</v>
          </cell>
        </row>
        <row r="142">
          <cell r="J142">
            <v>202</v>
          </cell>
          <cell r="K142">
            <v>43496</v>
          </cell>
          <cell r="L142" t="str">
            <v>CC</v>
          </cell>
          <cell r="M142">
            <v>80504076</v>
          </cell>
          <cell r="N142" t="str">
            <v>DIEGO LUIS ROBAYO DE ANGULO</v>
          </cell>
        </row>
        <row r="143">
          <cell r="J143">
            <v>38</v>
          </cell>
          <cell r="K143">
            <v>43483</v>
          </cell>
          <cell r="L143" t="str">
            <v>CC</v>
          </cell>
          <cell r="M143">
            <v>51916256</v>
          </cell>
          <cell r="N143" t="str">
            <v>YOLANDA  LOPEZ CORREAL</v>
          </cell>
        </row>
        <row r="144">
          <cell r="J144">
            <v>110</v>
          </cell>
          <cell r="K144">
            <v>43487</v>
          </cell>
          <cell r="L144" t="str">
            <v>CC</v>
          </cell>
          <cell r="M144">
            <v>52928509</v>
          </cell>
          <cell r="N144" t="str">
            <v>DIANA MARCELA GARCIA SIERRA</v>
          </cell>
        </row>
        <row r="145">
          <cell r="J145">
            <v>36</v>
          </cell>
          <cell r="K145">
            <v>43483</v>
          </cell>
          <cell r="L145" t="str">
            <v>CC</v>
          </cell>
          <cell r="M145">
            <v>51567474</v>
          </cell>
          <cell r="N145" t="str">
            <v>GLORIA LIDIA RODRIGUEZ CASTRO</v>
          </cell>
        </row>
        <row r="146">
          <cell r="J146">
            <v>129</v>
          </cell>
          <cell r="K146">
            <v>43487</v>
          </cell>
          <cell r="L146" t="str">
            <v>CC</v>
          </cell>
          <cell r="M146">
            <v>53176815</v>
          </cell>
          <cell r="N146" t="str">
            <v>CATALINA  CAVELIER ADARVE</v>
          </cell>
        </row>
        <row r="147">
          <cell r="J147">
            <v>61</v>
          </cell>
          <cell r="K147">
            <v>43486</v>
          </cell>
          <cell r="L147" t="str">
            <v>CC</v>
          </cell>
          <cell r="M147">
            <v>52807245</v>
          </cell>
          <cell r="N147" t="str">
            <v>LILIANA MARCELA PAMPLONA ROMERO</v>
          </cell>
        </row>
        <row r="148">
          <cell r="J148">
            <v>111</v>
          </cell>
          <cell r="K148">
            <v>43487</v>
          </cell>
          <cell r="L148" t="str">
            <v>CC</v>
          </cell>
          <cell r="M148">
            <v>1020715507</v>
          </cell>
          <cell r="N148" t="str">
            <v>MELISSA  SOLORZANO TORO</v>
          </cell>
        </row>
        <row r="149">
          <cell r="J149">
            <v>115</v>
          </cell>
          <cell r="K149">
            <v>43487</v>
          </cell>
          <cell r="L149" t="str">
            <v>CC</v>
          </cell>
          <cell r="M149">
            <v>38552282</v>
          </cell>
          <cell r="N149" t="str">
            <v>CAROLINA DEL PILAR MARTINEZ PEÑA</v>
          </cell>
        </row>
        <row r="150">
          <cell r="J150">
            <v>168</v>
          </cell>
          <cell r="K150">
            <v>43494</v>
          </cell>
          <cell r="L150" t="str">
            <v>CC</v>
          </cell>
          <cell r="M150">
            <v>19322366</v>
          </cell>
          <cell r="N150" t="str">
            <v>CARLOS  LEMA POSADA</v>
          </cell>
        </row>
        <row r="151">
          <cell r="J151">
            <v>164</v>
          </cell>
          <cell r="K151">
            <v>43494</v>
          </cell>
          <cell r="L151" t="str">
            <v>CC</v>
          </cell>
          <cell r="M151">
            <v>80720954</v>
          </cell>
          <cell r="N151" t="str">
            <v>DIEGO ANDRES MUÑOZ CASALLAS</v>
          </cell>
        </row>
        <row r="152">
          <cell r="J152">
            <v>165</v>
          </cell>
          <cell r="K152">
            <v>43494</v>
          </cell>
          <cell r="L152" t="str">
            <v>CC</v>
          </cell>
          <cell r="M152">
            <v>80041419</v>
          </cell>
          <cell r="N152" t="str">
            <v>HANZ  RIPPE GABRIEL</v>
          </cell>
        </row>
        <row r="153">
          <cell r="J153">
            <v>181</v>
          </cell>
          <cell r="K153">
            <v>43495</v>
          </cell>
          <cell r="L153" t="str">
            <v>CC</v>
          </cell>
          <cell r="M153">
            <v>80093416</v>
          </cell>
          <cell r="N153" t="str">
            <v>LUIS ALFREDO BARON LEAL</v>
          </cell>
        </row>
        <row r="154">
          <cell r="J154">
            <v>189</v>
          </cell>
          <cell r="K154">
            <v>43496</v>
          </cell>
          <cell r="L154" t="str">
            <v>CC</v>
          </cell>
          <cell r="M154">
            <v>1032451167</v>
          </cell>
          <cell r="N154" t="str">
            <v>HECTOR CAMILO GOMEZ CAMARGO</v>
          </cell>
        </row>
        <row r="155">
          <cell r="J155">
            <v>173</v>
          </cell>
          <cell r="K155">
            <v>43494</v>
          </cell>
          <cell r="L155" t="str">
            <v>CC</v>
          </cell>
          <cell r="M155">
            <v>1014244983</v>
          </cell>
          <cell r="N155" t="str">
            <v>ANA MARIA COLLAZOS SOLANO</v>
          </cell>
        </row>
        <row r="156">
          <cell r="J156">
            <v>162</v>
          </cell>
          <cell r="K156">
            <v>43494</v>
          </cell>
          <cell r="L156" t="str">
            <v>CC</v>
          </cell>
          <cell r="M156">
            <v>53120513</v>
          </cell>
          <cell r="N156" t="str">
            <v>JOHANNA MARCELA GALINDO URREGO</v>
          </cell>
        </row>
        <row r="157">
          <cell r="J157">
            <v>184</v>
          </cell>
          <cell r="K157">
            <v>43495</v>
          </cell>
          <cell r="L157" t="str">
            <v>CC</v>
          </cell>
          <cell r="M157">
            <v>1018452223</v>
          </cell>
          <cell r="N157" t="str">
            <v>JUAN FELIPE ESPINOSA DE LOS MONTEROS</v>
          </cell>
        </row>
        <row r="158">
          <cell r="J158">
            <v>167</v>
          </cell>
          <cell r="K158">
            <v>43494</v>
          </cell>
          <cell r="L158" t="str">
            <v>CC</v>
          </cell>
          <cell r="M158">
            <v>52912702</v>
          </cell>
          <cell r="N158" t="str">
            <v>MONICA ANDREA SARMIENTO ROA</v>
          </cell>
        </row>
        <row r="159">
          <cell r="J159">
            <v>170</v>
          </cell>
          <cell r="K159">
            <v>43494</v>
          </cell>
          <cell r="L159" t="str">
            <v>CC</v>
          </cell>
          <cell r="M159">
            <v>45545356</v>
          </cell>
          <cell r="N159" t="str">
            <v>SANDRA ESTER MENDOZA LAFAURIE</v>
          </cell>
        </row>
        <row r="160">
          <cell r="J160">
            <v>174</v>
          </cell>
          <cell r="K160">
            <v>43495</v>
          </cell>
          <cell r="L160" t="str">
            <v>CC</v>
          </cell>
          <cell r="M160">
            <v>1033677719</v>
          </cell>
          <cell r="N160" t="str">
            <v>CARLOS ARTURO ROJAS PEREZ</v>
          </cell>
        </row>
        <row r="161">
          <cell r="J161">
            <v>163</v>
          </cell>
          <cell r="K161">
            <v>43494</v>
          </cell>
          <cell r="L161" t="str">
            <v>CC</v>
          </cell>
          <cell r="M161">
            <v>53122083</v>
          </cell>
          <cell r="N161" t="str">
            <v>GINA CATHERINE LEON CABRERA</v>
          </cell>
        </row>
        <row r="162">
          <cell r="J162">
            <v>180</v>
          </cell>
          <cell r="K162">
            <v>43495</v>
          </cell>
          <cell r="L162" t="str">
            <v>CC</v>
          </cell>
          <cell r="M162">
            <v>1019065560</v>
          </cell>
          <cell r="N162" t="str">
            <v>JUAN SEBASTIAN PINTO MUÑOZ</v>
          </cell>
        </row>
        <row r="163">
          <cell r="J163">
            <v>179</v>
          </cell>
          <cell r="K163">
            <v>43495</v>
          </cell>
          <cell r="L163" t="str">
            <v>CC</v>
          </cell>
          <cell r="M163">
            <v>79515828</v>
          </cell>
          <cell r="N163" t="str">
            <v>MIGUEL ANTONIO RODRIGUEZ SILVA</v>
          </cell>
        </row>
        <row r="164">
          <cell r="J164">
            <v>176</v>
          </cell>
          <cell r="K164">
            <v>43495</v>
          </cell>
          <cell r="L164" t="str">
            <v>CC</v>
          </cell>
          <cell r="M164">
            <v>38602381</v>
          </cell>
          <cell r="N164" t="str">
            <v>LAURA  MEJIA TORRES</v>
          </cell>
        </row>
        <row r="165">
          <cell r="J165">
            <v>192</v>
          </cell>
          <cell r="K165">
            <v>43496</v>
          </cell>
          <cell r="L165" t="str">
            <v>CC</v>
          </cell>
          <cell r="M165">
            <v>53166489</v>
          </cell>
          <cell r="N165" t="str">
            <v>CONSTANZA  MEDINA DIAZ</v>
          </cell>
        </row>
        <row r="166">
          <cell r="J166">
            <v>191</v>
          </cell>
          <cell r="K166">
            <v>43496</v>
          </cell>
          <cell r="L166" t="str">
            <v>CC</v>
          </cell>
          <cell r="M166">
            <v>1026263133</v>
          </cell>
          <cell r="N166" t="str">
            <v>MARIA ALEJANDRA TORO VESGA</v>
          </cell>
        </row>
        <row r="167">
          <cell r="J167">
            <v>190</v>
          </cell>
          <cell r="K167">
            <v>43496</v>
          </cell>
          <cell r="L167" t="str">
            <v>CC</v>
          </cell>
          <cell r="M167">
            <v>1014272803</v>
          </cell>
          <cell r="N167" t="str">
            <v>edgar andres gutierrez sanchez</v>
          </cell>
        </row>
        <row r="168">
          <cell r="J168">
            <v>42</v>
          </cell>
          <cell r="K168">
            <v>43483</v>
          </cell>
          <cell r="L168" t="str">
            <v>CC</v>
          </cell>
          <cell r="M168">
            <v>52702693</v>
          </cell>
          <cell r="N168" t="str">
            <v>YESICA MILENA ACOSTA MOLINA</v>
          </cell>
        </row>
        <row r="169">
          <cell r="J169">
            <v>157</v>
          </cell>
          <cell r="K169">
            <v>43490</v>
          </cell>
          <cell r="L169" t="str">
            <v>NIT</v>
          </cell>
          <cell r="M169">
            <v>830037248</v>
          </cell>
          <cell r="N169" t="str">
            <v>CODENSA S. A. ESP</v>
          </cell>
        </row>
        <row r="170">
          <cell r="J170">
            <v>204</v>
          </cell>
          <cell r="K170">
            <v>43496</v>
          </cell>
          <cell r="L170" t="str">
            <v>CC</v>
          </cell>
          <cell r="M170">
            <v>79683697</v>
          </cell>
          <cell r="N170" t="str">
            <v>ALBERTO ANDRES GOMEZ MOSQUERA</v>
          </cell>
        </row>
        <row r="171">
          <cell r="J171">
            <v>132</v>
          </cell>
          <cell r="K171">
            <v>43488</v>
          </cell>
          <cell r="L171" t="str">
            <v>NIT</v>
          </cell>
          <cell r="M171">
            <v>901145808</v>
          </cell>
          <cell r="N171" t="str">
            <v>PROMOAMBIENTAL DISTRITO S A S ESP</v>
          </cell>
        </row>
        <row r="172">
          <cell r="J172">
            <v>57</v>
          </cell>
          <cell r="K172">
            <v>43486</v>
          </cell>
          <cell r="L172" t="str">
            <v>NIT</v>
          </cell>
          <cell r="M172">
            <v>899999115</v>
          </cell>
          <cell r="N172" t="str">
            <v>EMPRESA DE TELECOMUNICACIONES DE BOGOTA SA ESP</v>
          </cell>
        </row>
        <row r="173">
          <cell r="J173">
            <v>58</v>
          </cell>
          <cell r="K173">
            <v>43486</v>
          </cell>
          <cell r="L173" t="str">
            <v>NIT</v>
          </cell>
          <cell r="M173">
            <v>899999115</v>
          </cell>
          <cell r="N173" t="str">
            <v>EMPRESA DE TELECOMUNICACIONES DE BOGOTA SA ESP</v>
          </cell>
        </row>
        <row r="174">
          <cell r="J174">
            <v>131</v>
          </cell>
          <cell r="K174">
            <v>43488</v>
          </cell>
          <cell r="L174" t="str">
            <v>NIT</v>
          </cell>
          <cell r="M174">
            <v>899999115</v>
          </cell>
          <cell r="N174" t="str">
            <v>EMPRESA DE TELECOMUNICACIONES DE BOGOTA SA ESP</v>
          </cell>
        </row>
        <row r="175">
          <cell r="J175">
            <v>30</v>
          </cell>
          <cell r="K175">
            <v>43483</v>
          </cell>
          <cell r="L175" t="str">
            <v>CC</v>
          </cell>
          <cell r="M175">
            <v>79380681</v>
          </cell>
          <cell r="N175" t="str">
            <v>ORLANDO  ARIAS CAICEDO</v>
          </cell>
        </row>
        <row r="176">
          <cell r="J176">
            <v>20</v>
          </cell>
          <cell r="K176">
            <v>43481</v>
          </cell>
          <cell r="L176" t="str">
            <v>CC</v>
          </cell>
          <cell r="M176">
            <v>51783758</v>
          </cell>
          <cell r="N176" t="str">
            <v>OLGA LUCIA VERGARA ARENAS</v>
          </cell>
        </row>
        <row r="177">
          <cell r="J177">
            <v>11</v>
          </cell>
          <cell r="K177">
            <v>43480</v>
          </cell>
          <cell r="L177" t="str">
            <v>CC</v>
          </cell>
          <cell r="M177">
            <v>80055570</v>
          </cell>
          <cell r="N177" t="str">
            <v>KRISTHIAM ANDRES CARRIZOSA TRUJILLO</v>
          </cell>
        </row>
        <row r="178">
          <cell r="J178">
            <v>8</v>
          </cell>
          <cell r="K178">
            <v>43480</v>
          </cell>
          <cell r="L178" t="str">
            <v>CC</v>
          </cell>
          <cell r="M178">
            <v>51554132</v>
          </cell>
          <cell r="N178" t="str">
            <v>ADRIANA  BERNAO GUTIERREZ</v>
          </cell>
        </row>
        <row r="179">
          <cell r="J179">
            <v>7</v>
          </cell>
          <cell r="K179">
            <v>43480</v>
          </cell>
          <cell r="L179" t="str">
            <v>CC</v>
          </cell>
          <cell r="M179">
            <v>79905599</v>
          </cell>
          <cell r="N179" t="str">
            <v>HELBER AURELIO SILVA LEGUIZAMON</v>
          </cell>
        </row>
        <row r="180">
          <cell r="J180">
            <v>159</v>
          </cell>
          <cell r="K180">
            <v>43490</v>
          </cell>
          <cell r="L180" t="str">
            <v>NIT</v>
          </cell>
          <cell r="M180">
            <v>900171311</v>
          </cell>
          <cell r="N180" t="str">
            <v>TECHNOLOGY WORLD GROUP SAS</v>
          </cell>
        </row>
        <row r="181">
          <cell r="J181">
            <v>10</v>
          </cell>
          <cell r="K181">
            <v>43480</v>
          </cell>
          <cell r="L181" t="str">
            <v>CC</v>
          </cell>
          <cell r="M181">
            <v>52991321</v>
          </cell>
          <cell r="N181" t="str">
            <v>SANDRA YANETH ROMO BENAVIDES</v>
          </cell>
        </row>
        <row r="182">
          <cell r="J182">
            <v>9</v>
          </cell>
          <cell r="K182">
            <v>43480</v>
          </cell>
          <cell r="L182" t="str">
            <v>CC</v>
          </cell>
          <cell r="M182">
            <v>52907805</v>
          </cell>
          <cell r="N182" t="str">
            <v>DIANA MARCELA RAMIREZ CASTILLO</v>
          </cell>
        </row>
        <row r="183">
          <cell r="J183">
            <v>6</v>
          </cell>
          <cell r="K183">
            <v>43480</v>
          </cell>
          <cell r="L183" t="str">
            <v>CC</v>
          </cell>
          <cell r="M183">
            <v>1030528018</v>
          </cell>
          <cell r="N183" t="str">
            <v>HELBERT MAURICIO GUZMAN MATIAS</v>
          </cell>
        </row>
        <row r="184">
          <cell r="J184">
            <v>31</v>
          </cell>
          <cell r="K184">
            <v>43483</v>
          </cell>
          <cell r="L184" t="str">
            <v>CC</v>
          </cell>
          <cell r="M184">
            <v>1030583336</v>
          </cell>
          <cell r="N184" t="str">
            <v>RONALD  MORERA ESTEVEZ</v>
          </cell>
        </row>
        <row r="185">
          <cell r="J185">
            <v>32</v>
          </cell>
          <cell r="K185">
            <v>43483</v>
          </cell>
          <cell r="L185" t="str">
            <v>CC</v>
          </cell>
          <cell r="M185">
            <v>1032416316</v>
          </cell>
          <cell r="N185" t="str">
            <v>DANILO  SANCHEZ SUARIQUE</v>
          </cell>
        </row>
        <row r="186">
          <cell r="J186">
            <v>34</v>
          </cell>
          <cell r="K186">
            <v>43483</v>
          </cell>
          <cell r="L186" t="str">
            <v>CC</v>
          </cell>
          <cell r="M186">
            <v>1010161501</v>
          </cell>
          <cell r="N186" t="str">
            <v>MAGALLY SUSANA MOREA PEÑA</v>
          </cell>
        </row>
        <row r="187">
          <cell r="J187">
            <v>14</v>
          </cell>
          <cell r="K187">
            <v>43480</v>
          </cell>
          <cell r="L187" t="str">
            <v>CC</v>
          </cell>
          <cell r="M187">
            <v>1113640263</v>
          </cell>
          <cell r="N187" t="str">
            <v>ANDERSON  MARTINEZ VAHOS</v>
          </cell>
        </row>
        <row r="188">
          <cell r="J188">
            <v>15</v>
          </cell>
          <cell r="K188">
            <v>43481</v>
          </cell>
          <cell r="L188" t="str">
            <v>CC</v>
          </cell>
          <cell r="M188">
            <v>79627678</v>
          </cell>
          <cell r="N188" t="str">
            <v>ANDRES  CARDENAS VILLAMIL</v>
          </cell>
        </row>
        <row r="189">
          <cell r="J189">
            <v>12</v>
          </cell>
          <cell r="K189">
            <v>43480</v>
          </cell>
          <cell r="L189" t="str">
            <v>CC</v>
          </cell>
          <cell r="M189">
            <v>1119886269</v>
          </cell>
          <cell r="N189" t="str">
            <v>LEYSI YURANI GIRALDO MEDINA</v>
          </cell>
        </row>
        <row r="190">
          <cell r="J190">
            <v>13</v>
          </cell>
          <cell r="K190">
            <v>43480</v>
          </cell>
          <cell r="L190" t="str">
            <v>CC</v>
          </cell>
          <cell r="M190">
            <v>1130625060</v>
          </cell>
          <cell r="N190" t="str">
            <v>VICTOR MANUEL ALFONSO MEDINA</v>
          </cell>
        </row>
        <row r="191">
          <cell r="J191">
            <v>40</v>
          </cell>
          <cell r="K191">
            <v>43483</v>
          </cell>
          <cell r="L191" t="str">
            <v>CC</v>
          </cell>
          <cell r="M191">
            <v>52735744</v>
          </cell>
          <cell r="N191" t="str">
            <v>ANGELICA ESPERANZA ACUÑA HERNANDEZ</v>
          </cell>
        </row>
        <row r="192">
          <cell r="J192">
            <v>82</v>
          </cell>
          <cell r="K192">
            <v>43486</v>
          </cell>
          <cell r="L192" t="str">
            <v>CC</v>
          </cell>
          <cell r="M192">
            <v>1023876968</v>
          </cell>
          <cell r="N192" t="str">
            <v>DARIO FERDEY YAIMA TOCANCIPA</v>
          </cell>
        </row>
        <row r="193">
          <cell r="J193">
            <v>51</v>
          </cell>
          <cell r="K193">
            <v>43483</v>
          </cell>
          <cell r="L193" t="str">
            <v>CC</v>
          </cell>
          <cell r="M193">
            <v>36180733</v>
          </cell>
          <cell r="N193" t="str">
            <v>IRMA  CASTAÑEDA RAMIREZ</v>
          </cell>
        </row>
        <row r="194">
          <cell r="J194">
            <v>55</v>
          </cell>
          <cell r="K194">
            <v>43483</v>
          </cell>
          <cell r="L194" t="str">
            <v>CC</v>
          </cell>
          <cell r="M194">
            <v>53130409</v>
          </cell>
          <cell r="N194" t="str">
            <v>JEIMMY SOLEY QUIROGA RAMIREZ</v>
          </cell>
        </row>
        <row r="195">
          <cell r="J195">
            <v>81</v>
          </cell>
          <cell r="K195">
            <v>43486</v>
          </cell>
          <cell r="L195" t="str">
            <v>CC</v>
          </cell>
          <cell r="M195">
            <v>80813338</v>
          </cell>
          <cell r="N195" t="str">
            <v>OMAR ALEXANDER PATIÑO PINEDA</v>
          </cell>
        </row>
        <row r="196">
          <cell r="J196">
            <v>103</v>
          </cell>
          <cell r="K196">
            <v>43487</v>
          </cell>
          <cell r="L196" t="str">
            <v>CC</v>
          </cell>
          <cell r="M196">
            <v>1052382465</v>
          </cell>
          <cell r="N196" t="str">
            <v>Oscar Fabian Uyaban Dueñas</v>
          </cell>
        </row>
        <row r="197">
          <cell r="J197">
            <v>105</v>
          </cell>
          <cell r="K197">
            <v>43487</v>
          </cell>
          <cell r="L197" t="str">
            <v>CC</v>
          </cell>
          <cell r="M197">
            <v>24337588</v>
          </cell>
          <cell r="N197" t="str">
            <v>YURY ALEJANDRA QUINTERO CASTAÑO</v>
          </cell>
        </row>
        <row r="198">
          <cell r="J198">
            <v>53</v>
          </cell>
          <cell r="K198">
            <v>43483</v>
          </cell>
          <cell r="L198" t="str">
            <v>CC</v>
          </cell>
          <cell r="M198">
            <v>80932456</v>
          </cell>
          <cell r="N198" t="str">
            <v>DAVID ALEXANDER WILCHES FLOREZ</v>
          </cell>
        </row>
        <row r="199">
          <cell r="J199">
            <v>41</v>
          </cell>
          <cell r="K199">
            <v>43483</v>
          </cell>
          <cell r="L199" t="str">
            <v>CC</v>
          </cell>
          <cell r="M199">
            <v>1022363131</v>
          </cell>
          <cell r="N199" t="str">
            <v>ANGELA MARIA CASTRO CEPEDA</v>
          </cell>
        </row>
        <row r="200">
          <cell r="J200">
            <v>33</v>
          </cell>
          <cell r="K200">
            <v>43483</v>
          </cell>
          <cell r="L200" t="str">
            <v>CC</v>
          </cell>
          <cell r="M200">
            <v>1069733981</v>
          </cell>
          <cell r="N200" t="str">
            <v>edwin alexander leon gonzalez</v>
          </cell>
        </row>
        <row r="201">
          <cell r="J201">
            <v>112</v>
          </cell>
          <cell r="K201">
            <v>43487</v>
          </cell>
          <cell r="L201" t="str">
            <v>CC</v>
          </cell>
          <cell r="M201">
            <v>79734158</v>
          </cell>
          <cell r="N201" t="str">
            <v>JUAN CARLOS ALVARADO PEÑA</v>
          </cell>
        </row>
        <row r="202">
          <cell r="J202">
            <v>83</v>
          </cell>
          <cell r="K202">
            <v>43486</v>
          </cell>
          <cell r="L202" t="str">
            <v>CC</v>
          </cell>
          <cell r="M202">
            <v>79852849</v>
          </cell>
          <cell r="N202" t="str">
            <v>CARLOS HERNANDO SANDOVAL MORA</v>
          </cell>
        </row>
        <row r="203">
          <cell r="J203">
            <v>80</v>
          </cell>
          <cell r="K203">
            <v>43486</v>
          </cell>
          <cell r="L203" t="str">
            <v>CC</v>
          </cell>
          <cell r="M203">
            <v>80816938</v>
          </cell>
          <cell r="N203" t="str">
            <v>CRISTIAN STEPH VELASQUEZ ALEJO</v>
          </cell>
        </row>
        <row r="204">
          <cell r="J204">
            <v>84</v>
          </cell>
          <cell r="K204">
            <v>43486</v>
          </cell>
          <cell r="L204" t="str">
            <v>CC</v>
          </cell>
          <cell r="M204">
            <v>79983062</v>
          </cell>
          <cell r="N204" t="str">
            <v>JOSE ANTONIO RAMIREZ OROZCO</v>
          </cell>
        </row>
        <row r="205">
          <cell r="J205">
            <v>116</v>
          </cell>
          <cell r="K205">
            <v>43487</v>
          </cell>
          <cell r="L205" t="str">
            <v>CC</v>
          </cell>
          <cell r="M205">
            <v>80733024</v>
          </cell>
          <cell r="N205" t="str">
            <v>LUIS CARLOS YUSTY TRUJILLO</v>
          </cell>
        </row>
        <row r="206">
          <cell r="J206">
            <v>107</v>
          </cell>
          <cell r="K206">
            <v>43487</v>
          </cell>
          <cell r="L206" t="str">
            <v>CC</v>
          </cell>
          <cell r="M206">
            <v>35503024</v>
          </cell>
          <cell r="N206" t="str">
            <v>CATALINA MARGARITA MO NAGY PATIÑO</v>
          </cell>
        </row>
        <row r="207">
          <cell r="J207">
            <v>128</v>
          </cell>
          <cell r="K207">
            <v>43487</v>
          </cell>
          <cell r="L207" t="str">
            <v>CC</v>
          </cell>
          <cell r="M207">
            <v>79489523</v>
          </cell>
          <cell r="N207" t="str">
            <v>JUAN ANDRES POVEDA RIAÑO</v>
          </cell>
        </row>
        <row r="208">
          <cell r="J208">
            <v>149</v>
          </cell>
          <cell r="K208">
            <v>43489</v>
          </cell>
          <cell r="L208" t="str">
            <v>CC</v>
          </cell>
          <cell r="M208">
            <v>80005591</v>
          </cell>
          <cell r="N208" t="str">
            <v>CHARLY ALEXANDER ROCIASCO MENDEZ</v>
          </cell>
        </row>
        <row r="209">
          <cell r="J209">
            <v>151</v>
          </cell>
          <cell r="K209">
            <v>43489</v>
          </cell>
          <cell r="L209" t="str">
            <v>CC</v>
          </cell>
          <cell r="M209">
            <v>80209434</v>
          </cell>
          <cell r="N209" t="str">
            <v>MILLER ALEJANDRO CASTRO PEREZ</v>
          </cell>
        </row>
        <row r="210">
          <cell r="J210">
            <v>94</v>
          </cell>
          <cell r="K210">
            <v>43486</v>
          </cell>
          <cell r="L210" t="str">
            <v>CC</v>
          </cell>
          <cell r="M210">
            <v>51815339</v>
          </cell>
          <cell r="N210" t="str">
            <v>MARIELA  CAJAMARCA DIAZ</v>
          </cell>
        </row>
        <row r="211">
          <cell r="J211">
            <v>185</v>
          </cell>
          <cell r="K211">
            <v>43495</v>
          </cell>
          <cell r="L211" t="str">
            <v>CC</v>
          </cell>
          <cell r="M211">
            <v>80156853</v>
          </cell>
          <cell r="N211" t="str">
            <v>EDGAR ANDRES MONCADA RUBIO</v>
          </cell>
        </row>
        <row r="212">
          <cell r="J212">
            <v>96</v>
          </cell>
          <cell r="K212">
            <v>43486</v>
          </cell>
          <cell r="L212" t="str">
            <v>CC</v>
          </cell>
          <cell r="M212">
            <v>1023912943</v>
          </cell>
          <cell r="N212" t="str">
            <v>camilo andres moreno malagon</v>
          </cell>
        </row>
        <row r="213">
          <cell r="J213">
            <v>152</v>
          </cell>
          <cell r="K213">
            <v>43490</v>
          </cell>
          <cell r="L213" t="str">
            <v>CC</v>
          </cell>
          <cell r="M213">
            <v>51567894</v>
          </cell>
          <cell r="N213" t="str">
            <v>MARIA CRISTINA SALINAS RUIZ</v>
          </cell>
        </row>
        <row r="214">
          <cell r="J214">
            <v>93</v>
          </cell>
          <cell r="K214">
            <v>43486</v>
          </cell>
          <cell r="L214" t="str">
            <v>CC</v>
          </cell>
          <cell r="M214">
            <v>79844029</v>
          </cell>
          <cell r="N214" t="str">
            <v>EDWIN ARTURO RUIZ MORENO</v>
          </cell>
        </row>
        <row r="215">
          <cell r="J215">
            <v>171</v>
          </cell>
          <cell r="K215">
            <v>43494</v>
          </cell>
          <cell r="L215" t="str">
            <v>CC</v>
          </cell>
          <cell r="M215">
            <v>51826377</v>
          </cell>
          <cell r="N215" t="str">
            <v>LUZ MARINA ZAPATA FLOREZ</v>
          </cell>
        </row>
        <row r="216">
          <cell r="J216">
            <v>154</v>
          </cell>
          <cell r="K216">
            <v>43490</v>
          </cell>
          <cell r="L216" t="str">
            <v>CC</v>
          </cell>
          <cell r="M216">
            <v>52740161</v>
          </cell>
          <cell r="N216" t="str">
            <v>NANCY  ZAMORA</v>
          </cell>
        </row>
        <row r="217">
          <cell r="J217">
            <v>153</v>
          </cell>
          <cell r="K217">
            <v>43490</v>
          </cell>
          <cell r="L217" t="str">
            <v>CC</v>
          </cell>
          <cell r="M217">
            <v>51566749</v>
          </cell>
          <cell r="N217" t="str">
            <v>NUBIA STELLA LIZARAZO SIERRA</v>
          </cell>
        </row>
        <row r="218">
          <cell r="J218">
            <v>68</v>
          </cell>
          <cell r="K218">
            <v>43486</v>
          </cell>
          <cell r="L218" t="str">
            <v>CC</v>
          </cell>
          <cell r="M218">
            <v>1016053047</v>
          </cell>
          <cell r="N218" t="str">
            <v>EDNA CAMILA DEL CONSUELO ACERO TINOCO</v>
          </cell>
        </row>
        <row r="219">
          <cell r="J219">
            <v>95</v>
          </cell>
          <cell r="K219">
            <v>43486</v>
          </cell>
          <cell r="L219" t="str">
            <v>CC</v>
          </cell>
          <cell r="M219">
            <v>79668338</v>
          </cell>
          <cell r="N219" t="str">
            <v>JAIBER ALFONSO SARMIENTO RUIZ</v>
          </cell>
        </row>
        <row r="220">
          <cell r="J220">
            <v>79</v>
          </cell>
          <cell r="K220">
            <v>43486</v>
          </cell>
          <cell r="L220" t="str">
            <v>CC</v>
          </cell>
          <cell r="M220">
            <v>1070918145</v>
          </cell>
          <cell r="N220" t="str">
            <v>JENNY GISELL QUEVEDO QUEVEDO</v>
          </cell>
        </row>
        <row r="221">
          <cell r="J221">
            <v>70</v>
          </cell>
          <cell r="K221">
            <v>43486</v>
          </cell>
          <cell r="L221" t="str">
            <v>CC</v>
          </cell>
          <cell r="M221">
            <v>1019079224</v>
          </cell>
          <cell r="N221" t="str">
            <v>NATALIA  TORRES GARZON</v>
          </cell>
        </row>
        <row r="222">
          <cell r="J222">
            <v>186</v>
          </cell>
          <cell r="K222">
            <v>43495</v>
          </cell>
          <cell r="L222" t="str">
            <v>CC</v>
          </cell>
          <cell r="M222">
            <v>35894001</v>
          </cell>
          <cell r="N222" t="str">
            <v>SANDRA PATRICIA PALACIOS ARCE</v>
          </cell>
        </row>
        <row r="223">
          <cell r="J223">
            <v>183</v>
          </cell>
          <cell r="K223">
            <v>43495</v>
          </cell>
          <cell r="L223" t="str">
            <v>NIT</v>
          </cell>
          <cell r="M223">
            <v>901182191</v>
          </cell>
          <cell r="N223" t="str">
            <v>UNION TEMPORAL ANE 2018</v>
          </cell>
        </row>
        <row r="224">
          <cell r="J224">
            <v>160</v>
          </cell>
          <cell r="K224">
            <v>43493</v>
          </cell>
          <cell r="L224" t="str">
            <v>CC</v>
          </cell>
          <cell r="M224">
            <v>52526173</v>
          </cell>
          <cell r="N224" t="str">
            <v>MONICA  PALACIOS OVIEDO</v>
          </cell>
        </row>
        <row r="225">
          <cell r="J225">
            <v>178</v>
          </cell>
          <cell r="K225">
            <v>43495</v>
          </cell>
          <cell r="L225" t="str">
            <v>CC</v>
          </cell>
          <cell r="M225">
            <v>1127572078</v>
          </cell>
          <cell r="N225" t="str">
            <v>DEBORATH LUCIA GASCON OLARTE</v>
          </cell>
        </row>
        <row r="226">
          <cell r="J226">
            <v>195</v>
          </cell>
          <cell r="K226">
            <v>43496</v>
          </cell>
          <cell r="L226" t="str">
            <v>CC</v>
          </cell>
          <cell r="M226">
            <v>52284866</v>
          </cell>
          <cell r="N226" t="str">
            <v>MARIA ISABEL VANEGAS SILVA</v>
          </cell>
        </row>
        <row r="227">
          <cell r="J227">
            <v>207</v>
          </cell>
          <cell r="K227">
            <v>43496</v>
          </cell>
          <cell r="L227" t="str">
            <v>CC</v>
          </cell>
          <cell r="M227">
            <v>1033731630</v>
          </cell>
          <cell r="N227" t="str">
            <v>JHON  GUAQUE</v>
          </cell>
        </row>
        <row r="228">
          <cell r="J228">
            <v>205</v>
          </cell>
          <cell r="K228">
            <v>43496</v>
          </cell>
          <cell r="L228" t="str">
            <v>CC</v>
          </cell>
          <cell r="M228">
            <v>1030532019</v>
          </cell>
          <cell r="N228" t="str">
            <v>YULY ALEJANDRA MORALES TREJOS</v>
          </cell>
        </row>
        <row r="229">
          <cell r="J229">
            <v>3</v>
          </cell>
          <cell r="K229">
            <v>43479</v>
          </cell>
          <cell r="L229" t="str">
            <v>NIT</v>
          </cell>
          <cell r="M229">
            <v>830037248</v>
          </cell>
          <cell r="N229" t="str">
            <v>CODENSA S. A. ESP</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P"/>
      <sheetName val="PLANEACION"/>
    </sheetNames>
    <sheetDataSet>
      <sheetData sheetId="0"/>
      <sheetData sheetId="1">
        <row r="194">
          <cell r="I194">
            <v>41</v>
          </cell>
          <cell r="J194">
            <v>38</v>
          </cell>
          <cell r="K194">
            <v>43483</v>
          </cell>
          <cell r="L194" t="str">
            <v>CC</v>
          </cell>
          <cell r="M194">
            <v>51916256</v>
          </cell>
          <cell r="N194" t="str">
            <v>YOLANDA  LOPEZ CORREAL</v>
          </cell>
          <cell r="O194" t="str">
            <v>CONTRATO DE PRESTACION DE SERVICIOS PROFESIONALES</v>
          </cell>
          <cell r="P194">
            <v>24</v>
          </cell>
          <cell r="Q194">
            <v>43483</v>
          </cell>
          <cell r="R194" t="str">
            <v>(Cód. 111) Prestar servicios profesionales al Instituto Distrital de Patrimonio Cultural para acompañar el desarrollo de publicaciones generadas en el marco de la estrategia de apropiación social del patrimonio cultural.</v>
          </cell>
          <cell r="S194">
            <v>77000000</v>
          </cell>
          <cell r="T194">
            <v>0</v>
          </cell>
          <cell r="U194">
            <v>0</v>
          </cell>
          <cell r="V194">
            <v>77000000</v>
          </cell>
        </row>
        <row r="195">
          <cell r="I195">
            <v>65</v>
          </cell>
          <cell r="J195">
            <v>36</v>
          </cell>
          <cell r="K195">
            <v>43483</v>
          </cell>
          <cell r="L195" t="str">
            <v>CC</v>
          </cell>
          <cell r="M195">
            <v>51567474</v>
          </cell>
          <cell r="N195" t="str">
            <v>GLORIA LIDIA RODRIGUEZ CASTRO</v>
          </cell>
          <cell r="O195" t="str">
            <v>CONTRATO DE PRESTACION DE SERVICIOS DE APOYO A LA GESTION</v>
          </cell>
          <cell r="P195">
            <v>23</v>
          </cell>
          <cell r="Q195">
            <v>43483</v>
          </cell>
          <cell r="R195" t="str">
            <v>(Cód. 56) Prestar servicios de apoyo a la gestión al Instituto Distrital de Patrimonio Cultural en las actividades administrativas y operativas desarrollados por la Subdirección de Divulgación de los Valores del Patrimonio Cultural.</v>
          </cell>
          <cell r="S195">
            <v>39600000</v>
          </cell>
          <cell r="T195">
            <v>0</v>
          </cell>
          <cell r="U195">
            <v>0</v>
          </cell>
          <cell r="V195">
            <v>39600000</v>
          </cell>
        </row>
        <row r="196">
          <cell r="I196">
            <v>40</v>
          </cell>
          <cell r="J196">
            <v>42</v>
          </cell>
          <cell r="K196">
            <v>43483</v>
          </cell>
          <cell r="L196" t="str">
            <v>CC</v>
          </cell>
          <cell r="M196">
            <v>52702693</v>
          </cell>
          <cell r="N196" t="str">
            <v>YESICA MILENA ACOSTA MOLINA</v>
          </cell>
          <cell r="O196" t="str">
            <v>CONTRATO DE PRESTACION DE SERVICIOS PROFESIONALES</v>
          </cell>
          <cell r="P196">
            <v>32</v>
          </cell>
          <cell r="Q196">
            <v>43483</v>
          </cell>
          <cell r="R196" t="str">
            <v>(Cód. 110)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v>
          </cell>
          <cell r="S196">
            <v>72820000</v>
          </cell>
          <cell r="T196">
            <v>0</v>
          </cell>
          <cell r="U196">
            <v>0</v>
          </cell>
          <cell r="V196">
            <v>72820000</v>
          </cell>
        </row>
        <row r="197">
          <cell r="I197">
            <v>81</v>
          </cell>
          <cell r="J197">
            <v>61</v>
          </cell>
          <cell r="K197">
            <v>43486</v>
          </cell>
          <cell r="L197" t="str">
            <v>CC</v>
          </cell>
          <cell r="M197">
            <v>52807245</v>
          </cell>
          <cell r="N197" t="str">
            <v>LILIANA MARCELA PAMPLONA ROMERO</v>
          </cell>
          <cell r="O197" t="str">
            <v>CONTRATO DE PRESTACION DE SERVICIOS PROFESIONALES</v>
          </cell>
          <cell r="P197">
            <v>35</v>
          </cell>
          <cell r="Q197">
            <v>43483</v>
          </cell>
          <cell r="R197" t="str">
            <v>(Cód. 71) Prestar servicios profesionales al Instituto Distrital de Patrimonio Cultural para orientar la estructuración e implementación de las acciones de fomento a las prácticas del patrimonio cultural.</v>
          </cell>
          <cell r="S197">
            <v>73645000</v>
          </cell>
          <cell r="T197">
            <v>0</v>
          </cell>
          <cell r="U197">
            <v>0</v>
          </cell>
          <cell r="V197">
            <v>73645000</v>
          </cell>
        </row>
        <row r="198">
          <cell r="I198">
            <v>59</v>
          </cell>
          <cell r="J198">
            <v>110</v>
          </cell>
          <cell r="K198">
            <v>43487</v>
          </cell>
          <cell r="L198" t="str">
            <v>CC</v>
          </cell>
          <cell r="M198">
            <v>52928509</v>
          </cell>
          <cell r="N198" t="str">
            <v>DIANA MARCELA GARCIA SIERRA</v>
          </cell>
          <cell r="O198" t="str">
            <v>CONTRATO DE PRESTACION DE SERVICIOS PROFESIONALES</v>
          </cell>
          <cell r="P198">
            <v>81</v>
          </cell>
          <cell r="Q198">
            <v>43487</v>
          </cell>
          <cell r="R198" t="str">
            <v>(Cód. 42) Prestar servicios profesionales al Instituto Distrital de Patrimonio Cultural para orientar las actividades de curaduría y museología del Museo de Bogotá.</v>
          </cell>
          <cell r="S198">
            <v>19860000</v>
          </cell>
          <cell r="T198">
            <v>0</v>
          </cell>
          <cell r="U198">
            <v>0</v>
          </cell>
          <cell r="V198">
            <v>19860000</v>
          </cell>
        </row>
        <row r="199">
          <cell r="I199">
            <v>79</v>
          </cell>
          <cell r="J199">
            <v>129</v>
          </cell>
          <cell r="K199">
            <v>43487</v>
          </cell>
          <cell r="L199" t="str">
            <v>CC</v>
          </cell>
          <cell r="M199">
            <v>53176815</v>
          </cell>
          <cell r="N199" t="str">
            <v>CATALINA  CAVELIER ADARVE</v>
          </cell>
          <cell r="O199" t="str">
            <v>CONTRATO DE PRESTACION DE SERVICIOS PROFESIONALES</v>
          </cell>
          <cell r="P199">
            <v>41</v>
          </cell>
          <cell r="Q199">
            <v>43483</v>
          </cell>
          <cell r="R199" t="str">
            <v>(Cód. 32) Prestar servicios profesionales al Instituto Distrital de Patrimonio Cultural para orientar las estrategias encaminados a la salvaguardia y apropiación social del patrimonio cultural inmaterial.</v>
          </cell>
          <cell r="S199">
            <v>72820000</v>
          </cell>
          <cell r="T199">
            <v>0</v>
          </cell>
          <cell r="U199">
            <v>0</v>
          </cell>
          <cell r="V199">
            <v>72820000</v>
          </cell>
        </row>
        <row r="200">
          <cell r="I200">
            <v>89</v>
          </cell>
          <cell r="J200">
            <v>111</v>
          </cell>
          <cell r="K200">
            <v>43487</v>
          </cell>
          <cell r="L200" t="str">
            <v>CC</v>
          </cell>
          <cell r="M200">
            <v>1020715507</v>
          </cell>
          <cell r="N200" t="str">
            <v>MELISSA  SOLORZANO TORO</v>
          </cell>
          <cell r="O200" t="str">
            <v>CONTRATO DE PRESTACION DE SERVICIOS PROFESIONALES</v>
          </cell>
          <cell r="P200">
            <v>84</v>
          </cell>
          <cell r="Q200">
            <v>43487</v>
          </cell>
          <cell r="R200" t="str">
            <v>(Cód. 80) Prestar servicios profesionales al Instituto Distrital de Patrimonio Cultural para orientar los procesos de gestión de la colección del Museo de Bogotá</v>
          </cell>
          <cell r="S200">
            <v>17880000</v>
          </cell>
          <cell r="T200">
            <v>0</v>
          </cell>
          <cell r="U200">
            <v>0</v>
          </cell>
          <cell r="V200">
            <v>17880000</v>
          </cell>
        </row>
        <row r="201">
          <cell r="I201">
            <v>103</v>
          </cell>
          <cell r="J201">
            <v>115</v>
          </cell>
          <cell r="K201">
            <v>43487</v>
          </cell>
          <cell r="L201" t="str">
            <v>CC</v>
          </cell>
          <cell r="M201">
            <v>38552282</v>
          </cell>
          <cell r="N201" t="str">
            <v>CAROLINA DEL PILAR MARTINEZ PEÑA</v>
          </cell>
          <cell r="O201" t="str">
            <v>CONTRATO DE PRESTACION DE SERVICIOS PROFESIONALES</v>
          </cell>
          <cell r="P201">
            <v>106</v>
          </cell>
          <cell r="Q201">
            <v>43487</v>
          </cell>
          <cell r="R201" t="str">
            <v>(Cód. 31) Prestar servicios profesionales al Instituto Distrital de Patrimonio Cultural para orientar las actividades periodísticas y de prensa requeridas en la estrategia de apropiación social del patrimonio cultural.</v>
          </cell>
          <cell r="S201">
            <v>95260000</v>
          </cell>
          <cell r="T201">
            <v>0</v>
          </cell>
          <cell r="U201">
            <v>0</v>
          </cell>
          <cell r="V201">
            <v>95260000</v>
          </cell>
        </row>
        <row r="202">
          <cell r="I202">
            <v>156</v>
          </cell>
          <cell r="J202">
            <v>168</v>
          </cell>
          <cell r="K202">
            <v>43494</v>
          </cell>
          <cell r="L202" t="str">
            <v>CC</v>
          </cell>
          <cell r="M202">
            <v>19322366</v>
          </cell>
          <cell r="N202" t="str">
            <v>CARLOS  LEMA POSADA</v>
          </cell>
          <cell r="O202" t="str">
            <v>CONTRATO DE PRESTACION DE SERVICIOS PROFESIONALES</v>
          </cell>
          <cell r="P202">
            <v>154</v>
          </cell>
          <cell r="Q202">
            <v>43494</v>
          </cell>
          <cell r="R202" t="str">
            <v>(Cód. 30) Prestar servicios profesionales al Instituto Distrital de Patrimonio Cultural para realizar el registro fotográfico y audiovisual requerido para la ejecución de la estrategia de apropiación social del patrimonio cultural.</v>
          </cell>
          <cell r="S202">
            <v>66880000</v>
          </cell>
          <cell r="T202">
            <v>0</v>
          </cell>
          <cell r="U202">
            <v>0</v>
          </cell>
          <cell r="V202">
            <v>66880000</v>
          </cell>
        </row>
        <row r="203">
          <cell r="I203">
            <v>157</v>
          </cell>
          <cell r="J203">
            <v>164</v>
          </cell>
          <cell r="K203">
            <v>43494</v>
          </cell>
          <cell r="L203" t="str">
            <v>CC</v>
          </cell>
          <cell r="M203">
            <v>80720954</v>
          </cell>
          <cell r="N203" t="str">
            <v>DIEGO ANDRES MUÑOZ CASALLAS</v>
          </cell>
          <cell r="O203" t="str">
            <v>CONTRATO DE PRESTACION DE SERVICIOS PROFESIONALES</v>
          </cell>
          <cell r="P203">
            <v>146</v>
          </cell>
          <cell r="Q203">
            <v>43494</v>
          </cell>
          <cell r="R203" t="str">
            <v>(Cód. 43) Prestar servicios profesionales al Instituto Distrital de Patrimonio Cultural para apoyar el desarrollo de estrategias orientadas a la apropiación social y salvaguardia del Patrimonio Cultural Inmaterial.</v>
          </cell>
          <cell r="S203">
            <v>65560000</v>
          </cell>
          <cell r="T203">
            <v>0</v>
          </cell>
          <cell r="U203">
            <v>0</v>
          </cell>
          <cell r="V203">
            <v>65560000</v>
          </cell>
        </row>
        <row r="204">
          <cell r="I204">
            <v>158</v>
          </cell>
          <cell r="J204">
            <v>165</v>
          </cell>
          <cell r="K204">
            <v>43494</v>
          </cell>
          <cell r="L204" t="str">
            <v>CC</v>
          </cell>
          <cell r="M204">
            <v>80041419</v>
          </cell>
          <cell r="N204" t="str">
            <v>HANZ  RIPPE GABRIEL</v>
          </cell>
          <cell r="O204" t="str">
            <v>CONTRATO DE PRESTACION DE SERVICIOS PROFESIONALES</v>
          </cell>
          <cell r="P204">
            <v>144</v>
          </cell>
          <cell r="Q204">
            <v>43494</v>
          </cell>
          <cell r="R204" t="str">
            <v>(Cód. 57) Prestar servicios profesionales al Instituto Distrital de Patrimonio Cultural para realizar el registro fotográfico y audiovisual requerido para la ejecución de la estrategia de comunicaciones de la entidad.</v>
          </cell>
          <cell r="S204">
            <v>70620000</v>
          </cell>
          <cell r="T204">
            <v>0</v>
          </cell>
          <cell r="U204">
            <v>0</v>
          </cell>
          <cell r="V204">
            <v>70620000</v>
          </cell>
        </row>
        <row r="205">
          <cell r="I205">
            <v>169</v>
          </cell>
          <cell r="J205">
            <v>173</v>
          </cell>
          <cell r="K205">
            <v>43494</v>
          </cell>
          <cell r="L205" t="str">
            <v>CC</v>
          </cell>
          <cell r="M205">
            <v>1014244983</v>
          </cell>
          <cell r="N205" t="str">
            <v>ANA MARIA COLLAZOS SOLANO</v>
          </cell>
          <cell r="O205" t="str">
            <v>CONTRATO DE PRESTACION DE SERVICIOS PROFESIONALES</v>
          </cell>
          <cell r="P205">
            <v>155</v>
          </cell>
          <cell r="Q205">
            <v>43495</v>
          </cell>
          <cell r="R205" t="str">
            <v>(Cód. 23) Prestar servicios profesionales al Instituto Distrital de Patrimonio Cultural para apoyar las acciones de diseño gráfico del Museo de Bogotá.</v>
          </cell>
          <cell r="S205">
            <v>14520000</v>
          </cell>
          <cell r="T205">
            <v>0</v>
          </cell>
          <cell r="U205">
            <v>0</v>
          </cell>
          <cell r="V205">
            <v>14520000</v>
          </cell>
        </row>
        <row r="206">
          <cell r="I206">
            <v>170</v>
          </cell>
          <cell r="J206">
            <v>162</v>
          </cell>
          <cell r="K206">
            <v>43494</v>
          </cell>
          <cell r="L206" t="str">
            <v>CC</v>
          </cell>
          <cell r="M206">
            <v>53120513</v>
          </cell>
          <cell r="N206" t="str">
            <v>JOHANNA MARCELA GALINDO URREGO</v>
          </cell>
          <cell r="O206" t="str">
            <v>CONTRATO DE PRESTACION DE SERVICIOS PROFESIONALES</v>
          </cell>
          <cell r="P206">
            <v>152</v>
          </cell>
          <cell r="Q206">
            <v>43494</v>
          </cell>
          <cell r="R206" t="str">
            <v>(Cód. 61) Prestar servicios profesionales al Instituto Distrital de Patrimonio Cultural para acompañar el componente pedagógico y didáctico del portafolio de servicios educativos y culturales del Museo de Bogotá.</v>
          </cell>
          <cell r="S206">
            <v>16080000</v>
          </cell>
          <cell r="T206">
            <v>0</v>
          </cell>
          <cell r="U206">
            <v>0</v>
          </cell>
          <cell r="V206">
            <v>16080000</v>
          </cell>
        </row>
        <row r="207">
          <cell r="I207">
            <v>172</v>
          </cell>
          <cell r="J207">
            <v>167</v>
          </cell>
          <cell r="K207">
            <v>43494</v>
          </cell>
          <cell r="L207" t="str">
            <v>CC</v>
          </cell>
          <cell r="M207">
            <v>52912702</v>
          </cell>
          <cell r="N207" t="str">
            <v>MONICA ANDREA SARMIENTO ROA</v>
          </cell>
          <cell r="O207" t="str">
            <v>CONTRATO DE PRESTACION DE SERVICIOS PROFESIONALES</v>
          </cell>
          <cell r="P207">
            <v>148</v>
          </cell>
          <cell r="Q207">
            <v>43494</v>
          </cell>
          <cell r="R207" t="str">
            <v xml:space="preserve">(Cód. 83) Prestar servicios profesionales al Instituto Distrital de Patrimonio Cultural para orientar el Programa de Patrimonios Locales y otras iniciativas que contribuyan a la salvaguardia y apropiación social del Patrimonio Cultural Inmaterial. </v>
          </cell>
          <cell r="S207">
            <v>50600000</v>
          </cell>
          <cell r="T207">
            <v>0</v>
          </cell>
          <cell r="U207">
            <v>0</v>
          </cell>
          <cell r="V207">
            <v>50600000</v>
          </cell>
        </row>
        <row r="208">
          <cell r="I208">
            <v>173</v>
          </cell>
          <cell r="J208">
            <v>170</v>
          </cell>
          <cell r="K208">
            <v>43494</v>
          </cell>
          <cell r="L208" t="str">
            <v>CC</v>
          </cell>
          <cell r="M208">
            <v>45545356</v>
          </cell>
          <cell r="N208" t="str">
            <v>SANDRA ESTER MENDOZA LAFAURIE</v>
          </cell>
          <cell r="O208" t="str">
            <v>CONTRATO DE PRESTACION DE SERVICIOS PROFESIONALES</v>
          </cell>
          <cell r="P208">
            <v>149</v>
          </cell>
          <cell r="Q208">
            <v>43495</v>
          </cell>
          <cell r="R208" t="str">
            <v xml:space="preserve">(Cód. 97) Prestar servicios profesionales al Instituto Distrital de Patrimonio Cultural para acompañar el componente histórico de los procesos curatoriales desarrollados por el Museo de Bogotá. </v>
          </cell>
          <cell r="S208">
            <v>17880000</v>
          </cell>
          <cell r="T208">
            <v>0</v>
          </cell>
          <cell r="U208">
            <v>0</v>
          </cell>
          <cell r="V208">
            <v>17880000</v>
          </cell>
        </row>
        <row r="209">
          <cell r="I209">
            <v>177</v>
          </cell>
          <cell r="J209">
            <v>163</v>
          </cell>
          <cell r="K209">
            <v>43494</v>
          </cell>
          <cell r="L209" t="str">
            <v>CC</v>
          </cell>
          <cell r="M209">
            <v>53122083</v>
          </cell>
          <cell r="N209" t="str">
            <v>GINA CATHERINE LEON CABRERA</v>
          </cell>
          <cell r="O209" t="str">
            <v>CONTRATO DE PRESTACION DE SERVICIOS PROFESIONALES</v>
          </cell>
          <cell r="P209">
            <v>158</v>
          </cell>
          <cell r="Q209">
            <v>43495</v>
          </cell>
          <cell r="R209" t="str">
            <v>(Cód. 53) Prestar servicios profesionales al Instituto Distrital de Patrimonio Cultural para apoyar los procesos de investigación, estructuración y redacción de guiones museológicos requeridos por el Museo de Bogotá.</v>
          </cell>
          <cell r="S209">
            <v>17880000</v>
          </cell>
          <cell r="T209">
            <v>0</v>
          </cell>
          <cell r="U209">
            <v>0</v>
          </cell>
          <cell r="V209">
            <v>17880000</v>
          </cell>
        </row>
        <row r="210">
          <cell r="I210">
            <v>159</v>
          </cell>
          <cell r="J210">
            <v>181</v>
          </cell>
          <cell r="K210">
            <v>43495</v>
          </cell>
          <cell r="L210" t="str">
            <v>CC</v>
          </cell>
          <cell r="M210">
            <v>80093416</v>
          </cell>
          <cell r="N210" t="str">
            <v>LUIS ALFREDO BARON LEAL</v>
          </cell>
          <cell r="O210" t="str">
            <v>CONTRATO DE PRESTACION DE SERVICIOS PROFESIONALES</v>
          </cell>
          <cell r="P210">
            <v>143</v>
          </cell>
          <cell r="Q210">
            <v>43495</v>
          </cell>
          <cell r="R210" t="str">
            <v>(Cód. 73) Prestar servicios profesionales al Instituto Distrital de Patrimonio Cultural para acompañar el desarrollo del componente histórico de la estrategia de apropiación social del patrimonio cultural.</v>
          </cell>
          <cell r="S210">
            <v>65560000</v>
          </cell>
          <cell r="T210">
            <v>0</v>
          </cell>
          <cell r="U210">
            <v>0</v>
          </cell>
          <cell r="V210">
            <v>65560000</v>
          </cell>
        </row>
        <row r="211">
          <cell r="I211">
            <v>171</v>
          </cell>
          <cell r="J211">
            <v>184</v>
          </cell>
          <cell r="K211">
            <v>43495</v>
          </cell>
          <cell r="L211" t="str">
            <v>CC</v>
          </cell>
          <cell r="M211">
            <v>1018452223</v>
          </cell>
          <cell r="N211" t="str">
            <v>JUAN FELIPE ESPINOSA DE LOS MONTEROS</v>
          </cell>
          <cell r="O211" t="str">
            <v>CONTRATO DE PRESTACION DE SERVICIOS PROFESIONALES</v>
          </cell>
          <cell r="P211">
            <v>150</v>
          </cell>
          <cell r="Q211">
            <v>43495</v>
          </cell>
          <cell r="R211" t="str">
            <v>(Cód. 63)  Prestar servicios profesionales al Instituto Distrital de Patrimonio Cultural para apoyar las acciones de diseño gráfico del Museo de Bogotá .</v>
          </cell>
          <cell r="S211">
            <v>13320000</v>
          </cell>
          <cell r="T211">
            <v>0</v>
          </cell>
          <cell r="U211">
            <v>0</v>
          </cell>
          <cell r="V211">
            <v>13320000</v>
          </cell>
        </row>
        <row r="212">
          <cell r="I212">
            <v>175</v>
          </cell>
          <cell r="J212">
            <v>174</v>
          </cell>
          <cell r="K212">
            <v>43495</v>
          </cell>
          <cell r="L212" t="str">
            <v>CC</v>
          </cell>
          <cell r="M212">
            <v>1033677719</v>
          </cell>
          <cell r="N212" t="str">
            <v>CARLOS ARTURO ROJAS PEREZ</v>
          </cell>
          <cell r="O212" t="str">
            <v>CONTRATO DE PRESTACION DE SERVICIOS PROFESIONALES</v>
          </cell>
          <cell r="P212">
            <v>157</v>
          </cell>
          <cell r="Q212">
            <v>43496</v>
          </cell>
          <cell r="R212" t="str">
            <v>(Cód. 29) Prestar servicios profesionales al Instituto Distrital de Patrimonio Cultural para apoyar el diseño museográfico de los proyectos adelantados por el Museo de Bogotá.</v>
          </cell>
          <cell r="S212">
            <v>18240000</v>
          </cell>
          <cell r="T212">
            <v>0</v>
          </cell>
          <cell r="U212">
            <v>0</v>
          </cell>
          <cell r="V212">
            <v>18240000</v>
          </cell>
        </row>
        <row r="213">
          <cell r="I213">
            <v>178</v>
          </cell>
          <cell r="J213">
            <v>180</v>
          </cell>
          <cell r="K213">
            <v>43495</v>
          </cell>
          <cell r="L213" t="str">
            <v>CC</v>
          </cell>
          <cell r="M213">
            <v>1019065560</v>
          </cell>
          <cell r="N213" t="str">
            <v>JUAN SEBASTIAN PINTO MUÑOZ</v>
          </cell>
          <cell r="O213" t="str">
            <v>CONTRATO DE PRESTACION DE SERVICIOS PROFESIONALES</v>
          </cell>
          <cell r="P213">
            <v>160</v>
          </cell>
          <cell r="Q213">
            <v>43495</v>
          </cell>
          <cell r="R213" t="str">
            <v>(Cód. 65) Prestar servicios profesionales al Instituto Distrital de Patrimonio Cultural para orientar la estrategia de apropiación social del patrimonio cultural.</v>
          </cell>
          <cell r="S213">
            <v>47300000</v>
          </cell>
          <cell r="T213">
            <v>0</v>
          </cell>
          <cell r="U213">
            <v>0</v>
          </cell>
          <cell r="V213">
            <v>47300000</v>
          </cell>
        </row>
        <row r="214">
          <cell r="I214">
            <v>180</v>
          </cell>
          <cell r="J214">
            <v>179</v>
          </cell>
          <cell r="K214">
            <v>43495</v>
          </cell>
          <cell r="L214" t="str">
            <v>CC</v>
          </cell>
          <cell r="M214">
            <v>79515828</v>
          </cell>
          <cell r="N214" t="str">
            <v>MIGUEL ANTONIO RODRIGUEZ SILVA</v>
          </cell>
          <cell r="O214" t="str">
            <v>CONTRATO DE PRESTACION DE SERVICIOS DE APOYO A LA GESTION</v>
          </cell>
          <cell r="P214">
            <v>156</v>
          </cell>
          <cell r="Q214">
            <v>43495</v>
          </cell>
          <cell r="R214" t="str">
            <v>(Cód. 81) Prestar servicios de apoyo a la gestión al Instituto Distrital de Patrimonio Cultural en los procesos de montaje y actividades logísticas requeridas por el Museo de Bogotá.</v>
          </cell>
          <cell r="S214">
            <v>7500000</v>
          </cell>
          <cell r="T214">
            <v>0</v>
          </cell>
          <cell r="U214">
            <v>0</v>
          </cell>
          <cell r="V214">
            <v>7500000</v>
          </cell>
        </row>
        <row r="215">
          <cell r="I215">
            <v>190</v>
          </cell>
          <cell r="J215">
            <v>176</v>
          </cell>
          <cell r="K215">
            <v>43495</v>
          </cell>
          <cell r="L215" t="str">
            <v>CC</v>
          </cell>
          <cell r="M215">
            <v>38602381</v>
          </cell>
          <cell r="N215" t="str">
            <v>LAURA  MEJIA TORRES</v>
          </cell>
          <cell r="O215" t="str">
            <v>CONTRATO DE PRESTACION DE SERVICIOS PROFESIONALES</v>
          </cell>
          <cell r="P215">
            <v>168</v>
          </cell>
          <cell r="Q215">
            <v>43495</v>
          </cell>
          <cell r="R215" t="str">
            <v xml:space="preserve">(Cód. 67) Prestar servicios profesionales al Instituto Distrital de Patrimonio Cultural para apoyar los procesos de inventario, catalogación y organización de los fondos documentales que conforman el Centro de Documentación. </v>
          </cell>
          <cell r="S215">
            <v>49500000</v>
          </cell>
          <cell r="T215">
            <v>0</v>
          </cell>
          <cell r="U215">
            <v>0</v>
          </cell>
          <cell r="V215">
            <v>49500000</v>
          </cell>
        </row>
        <row r="216">
          <cell r="I216">
            <v>160</v>
          </cell>
          <cell r="J216">
            <v>189</v>
          </cell>
          <cell r="K216">
            <v>43496</v>
          </cell>
          <cell r="L216" t="str">
            <v>CC</v>
          </cell>
          <cell r="M216">
            <v>1032451167</v>
          </cell>
          <cell r="N216" t="str">
            <v>HECTOR CAMILO GOMEZ CAMARGO</v>
          </cell>
          <cell r="O216" t="str">
            <v>CONTRATO DE PRESTACION DE SERVICIOS DE APOYO A LA GESTION</v>
          </cell>
          <cell r="P216">
            <v>153</v>
          </cell>
          <cell r="Q216">
            <v>43495</v>
          </cell>
          <cell r="R216" t="str">
            <v>(Cód. 95) Prestar servicios de apoyo a la gestión al Instituto Distrital de Patrimonio Cultural en los procesos de digitalización de la Colección del Museo de Bogotá.</v>
          </cell>
          <cell r="S216">
            <v>8160000</v>
          </cell>
          <cell r="T216">
            <v>0</v>
          </cell>
          <cell r="U216">
            <v>0</v>
          </cell>
          <cell r="V216">
            <v>8160000</v>
          </cell>
        </row>
        <row r="217">
          <cell r="I217">
            <v>191</v>
          </cell>
          <cell r="J217">
            <v>192</v>
          </cell>
          <cell r="K217">
            <v>43496</v>
          </cell>
          <cell r="L217" t="str">
            <v>CC</v>
          </cell>
          <cell r="M217">
            <v>53166489</v>
          </cell>
          <cell r="N217" t="str">
            <v>CONSTANZA  MEDINA DIAZ</v>
          </cell>
          <cell r="O217" t="str">
            <v>CONTRATO DE PRESTACION DE SERVICIOS PROFESIONALES</v>
          </cell>
          <cell r="P217">
            <v>170</v>
          </cell>
          <cell r="Q217">
            <v>43495</v>
          </cell>
          <cell r="R217" t="str">
            <v>(Cód. 35) Prestar servicios profesionales al Instituto Distrital del Patrimonio Cultural para apoyar la ejecucón de los trámites y procesos requeridos para la producción de los eventos generados en el marco de la estrategia de apropiación social del patrimonio cultural.</v>
          </cell>
          <cell r="S217">
            <v>55000000</v>
          </cell>
          <cell r="T217">
            <v>0</v>
          </cell>
          <cell r="U217">
            <v>0</v>
          </cell>
          <cell r="V217">
            <v>55000000</v>
          </cell>
        </row>
        <row r="218">
          <cell r="I218">
            <v>221</v>
          </cell>
          <cell r="J218">
            <v>191</v>
          </cell>
          <cell r="K218">
            <v>43496</v>
          </cell>
          <cell r="L218" t="str">
            <v>CC</v>
          </cell>
          <cell r="M218">
            <v>1026263133</v>
          </cell>
          <cell r="N218" t="str">
            <v>MARIA ALEJANDRA TORO VESGA</v>
          </cell>
          <cell r="O218" t="str">
            <v>CONTRATO DE PRESTACION DE SERVICIOS PROFESIONALES</v>
          </cell>
          <cell r="P218">
            <v>188</v>
          </cell>
          <cell r="Q218">
            <v>43497</v>
          </cell>
          <cell r="R218" t="str">
            <v>(Cód. 22) 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v>
          </cell>
          <cell r="S218">
            <v>61380000</v>
          </cell>
          <cell r="T218">
            <v>0</v>
          </cell>
          <cell r="U218">
            <v>0</v>
          </cell>
          <cell r="V218">
            <v>61380000</v>
          </cell>
        </row>
        <row r="219">
          <cell r="I219">
            <v>223</v>
          </cell>
          <cell r="J219">
            <v>190</v>
          </cell>
          <cell r="K219">
            <v>43496</v>
          </cell>
          <cell r="L219" t="str">
            <v>CC</v>
          </cell>
          <cell r="M219">
            <v>1014272803</v>
          </cell>
          <cell r="N219" t="str">
            <v>edgar andres gutierrez sanchez</v>
          </cell>
          <cell r="O219" t="str">
            <v>CONTRATO DE PRESTACION DE SERVICIOS PROFESIONALES</v>
          </cell>
          <cell r="P219">
            <v>187</v>
          </cell>
          <cell r="Q219">
            <v>43497</v>
          </cell>
          <cell r="R219" t="str">
            <v>(Cód. 48) Prestar servicios profesionales al Instituto Distrital de Patrimonio Cultural en las actividades de producción de contenidos audiovisuales requeridos para el desarrollo de la estrategia de apropiación social del patrimonio cultural.</v>
          </cell>
          <cell r="S219">
            <v>41580000</v>
          </cell>
          <cell r="T219">
            <v>0</v>
          </cell>
          <cell r="U219">
            <v>0</v>
          </cell>
          <cell r="V219">
            <v>41580000</v>
          </cell>
        </row>
        <row r="220">
          <cell r="I220">
            <v>227</v>
          </cell>
          <cell r="J220">
            <v>202</v>
          </cell>
          <cell r="K220">
            <v>43496</v>
          </cell>
          <cell r="L220" t="str">
            <v>CC</v>
          </cell>
          <cell r="M220">
            <v>80504076</v>
          </cell>
          <cell r="N220" t="str">
            <v>DIEGO LUIS ROBAYO DE ANGULO</v>
          </cell>
          <cell r="O220" t="str">
            <v>CONTRATO DE PRESTACION DE SERVICIOS PROFESIONALES</v>
          </cell>
          <cell r="P220">
            <v>181</v>
          </cell>
          <cell r="Q220">
            <v>43497</v>
          </cell>
          <cell r="R220" t="str">
            <v>(Cód. 44) Prestar servicios profesionales al Instituto Distrital de Patrimonio Cultural para acompañar la producción audiovisual y multimedial requerida para el desarrollo de la estrategia de apropiación social del patrimonio cultural.</v>
          </cell>
          <cell r="S220">
            <v>88000000</v>
          </cell>
          <cell r="T220">
            <v>0</v>
          </cell>
          <cell r="U220">
            <v>0</v>
          </cell>
          <cell r="V220">
            <v>88000000</v>
          </cell>
        </row>
        <row r="221">
          <cell r="I221">
            <v>225</v>
          </cell>
          <cell r="J221">
            <v>223</v>
          </cell>
          <cell r="K221">
            <v>43500</v>
          </cell>
          <cell r="L221" t="str">
            <v>CC</v>
          </cell>
          <cell r="M221">
            <v>80720871</v>
          </cell>
          <cell r="N221" t="str">
            <v>LEONARDO  OCHICA SALAMANCA</v>
          </cell>
          <cell r="O221" t="str">
            <v>CONTRATO DE PRESTACION DE SERVICIOS PROFESIONALES</v>
          </cell>
          <cell r="P221">
            <v>195</v>
          </cell>
          <cell r="Q221">
            <v>43497</v>
          </cell>
          <cell r="R221" t="str">
            <v>(Cód. 68) Prestar servicios profesionales al Instituto Distrital de Patrimonio Cultural para apoyar el diseño de piezas gráficas y de comunicación requeridas para la ejecución de la estrategia de comunicaciones de la entidad y de apropiación social del patrimonio cultural.</v>
          </cell>
          <cell r="S221">
            <v>65560000</v>
          </cell>
          <cell r="T221">
            <v>0</v>
          </cell>
          <cell r="U221">
            <v>0</v>
          </cell>
          <cell r="V221">
            <v>65560000</v>
          </cell>
        </row>
        <row r="222">
          <cell r="I222">
            <v>230</v>
          </cell>
          <cell r="J222">
            <v>218</v>
          </cell>
          <cell r="K222">
            <v>43500</v>
          </cell>
          <cell r="L222" t="str">
            <v>CC</v>
          </cell>
          <cell r="M222">
            <v>53167140</v>
          </cell>
          <cell r="N222" t="str">
            <v>BONILLA RODRIGUEZ NATHALY ANDREA</v>
          </cell>
          <cell r="O222" t="str">
            <v>CONTRATO DE PRESTACION DE SERVICIOS PROFESIONALES</v>
          </cell>
          <cell r="P222">
            <v>183</v>
          </cell>
          <cell r="Q222">
            <v>43497</v>
          </cell>
          <cell r="R222" t="str">
            <v>(Cód. 85) Prestar servicios profesionales al Instituto Distrital de Patrimonio Cultural para apoyar la implementación de las acciones de fomento a las prácticas del patrimonio cultural.</v>
          </cell>
          <cell r="S222">
            <v>49000000</v>
          </cell>
          <cell r="T222">
            <v>0</v>
          </cell>
          <cell r="U222">
            <v>0</v>
          </cell>
          <cell r="V222">
            <v>49000000</v>
          </cell>
        </row>
        <row r="223">
          <cell r="I223">
            <v>176</v>
          </cell>
          <cell r="J223">
            <v>232</v>
          </cell>
          <cell r="K223">
            <v>43501</v>
          </cell>
          <cell r="L223" t="str">
            <v>CC</v>
          </cell>
          <cell r="M223">
            <v>52809486</v>
          </cell>
          <cell r="N223" t="str">
            <v>Diana Marcela Gomez Bernal</v>
          </cell>
          <cell r="O223" t="str">
            <v>CONTRATO DE PRESTACION DE SERVICIOS DE APOYO A LA GESTION</v>
          </cell>
          <cell r="P223">
            <v>176</v>
          </cell>
          <cell r="Q223">
            <v>43501</v>
          </cell>
          <cell r="R223" t="str">
            <v>(Cód. 41) Prestar servicios al Instituto Distrital de Patrimonio Cultural como apoyo a la gestión en la planificación y ejecución del portafolio de servicios educativos y culturales del Museo de Bogotá.</v>
          </cell>
          <cell r="S223">
            <v>7740000</v>
          </cell>
          <cell r="T223">
            <v>0</v>
          </cell>
          <cell r="U223">
            <v>0</v>
          </cell>
          <cell r="V223">
            <v>7740000</v>
          </cell>
        </row>
        <row r="224">
          <cell r="I224">
            <v>179</v>
          </cell>
          <cell r="J224">
            <v>229</v>
          </cell>
          <cell r="K224">
            <v>43501</v>
          </cell>
          <cell r="L224" t="str">
            <v>CC</v>
          </cell>
          <cell r="M224">
            <v>79655127</v>
          </cell>
          <cell r="N224" t="str">
            <v>WALTER MAURICIO MARTINEZ ROSAS</v>
          </cell>
          <cell r="O224" t="str">
            <v>CONTRATO DE PRESTACION DE SERVICIOS PROFESIONALES</v>
          </cell>
          <cell r="P224">
            <v>174</v>
          </cell>
          <cell r="Q224">
            <v>43501</v>
          </cell>
          <cell r="R224" t="str">
            <v>(Cód. 78) Prestar servicios profesionales al Instituto Distrital de Patrimonio Cultural para acompañar el diseño, programación y desarrollo de las actividades del portafolio de servicios educativos y culturales del Museo de Bogotá.</v>
          </cell>
          <cell r="S224">
            <v>16080000</v>
          </cell>
          <cell r="T224">
            <v>0</v>
          </cell>
          <cell r="U224">
            <v>0</v>
          </cell>
          <cell r="V224">
            <v>16080000</v>
          </cell>
        </row>
        <row r="225">
          <cell r="I225">
            <v>193</v>
          </cell>
          <cell r="J225">
            <v>225</v>
          </cell>
          <cell r="K225">
            <v>43501</v>
          </cell>
          <cell r="L225" t="str">
            <v>CC</v>
          </cell>
          <cell r="M225">
            <v>16933376</v>
          </cell>
          <cell r="N225" t="str">
            <v>gustavo alfredo bueno rojas</v>
          </cell>
          <cell r="O225" t="str">
            <v>CONTRATO DE PRESTACION DE SERVICIOS PROFESIONALES</v>
          </cell>
          <cell r="P225">
            <v>184</v>
          </cell>
          <cell r="Q225">
            <v>43495</v>
          </cell>
          <cell r="R225" t="str">
            <v>(Cód. 92) Prestar servicios profesionales al Instituto Distrital de Patrimonio Cultural para apoyar la gestión de prensa generada en el marco de la estrategia de comunicaciones del IDPC.</v>
          </cell>
          <cell r="S225">
            <v>55000000</v>
          </cell>
          <cell r="T225">
            <v>0</v>
          </cell>
          <cell r="U225">
            <v>0</v>
          </cell>
          <cell r="V225">
            <v>55000000</v>
          </cell>
        </row>
        <row r="226">
          <cell r="I226">
            <v>224</v>
          </cell>
          <cell r="J226">
            <v>227</v>
          </cell>
          <cell r="K226">
            <v>43501</v>
          </cell>
          <cell r="L226" t="str">
            <v>CC</v>
          </cell>
          <cell r="M226">
            <v>52810235</v>
          </cell>
          <cell r="N226" t="str">
            <v>GLORIA ISABEL CARRILLO BUITRAGO</v>
          </cell>
          <cell r="O226" t="str">
            <v>CONTRATO DE PRESTACION DE SERVICIOS DE APOYO A LA GESTION</v>
          </cell>
          <cell r="P226">
            <v>166</v>
          </cell>
          <cell r="Q226">
            <v>43501</v>
          </cell>
          <cell r="R226" t="str">
            <v>(Cód. 55) Prestar servicios de apoyo a la gestión al Instituto Distrital de Patrimonio Cultural en los trámites administrativos y operativos generados en la operación del Museo de Bogotá.</v>
          </cell>
          <cell r="S226">
            <v>10440000</v>
          </cell>
          <cell r="T226">
            <v>0</v>
          </cell>
          <cell r="U226">
            <v>0</v>
          </cell>
          <cell r="V226">
            <v>10440000</v>
          </cell>
        </row>
        <row r="227">
          <cell r="I227">
            <v>228</v>
          </cell>
          <cell r="J227">
            <v>228</v>
          </cell>
          <cell r="K227">
            <v>43501</v>
          </cell>
          <cell r="L227" t="str">
            <v>CC</v>
          </cell>
          <cell r="M227">
            <v>1015432380</v>
          </cell>
          <cell r="N227" t="str">
            <v>MARIA CLARA MENDEZ ALVAREZ</v>
          </cell>
          <cell r="O227" t="str">
            <v>CONTRATO DE PRESTACION DE SERVICIOS PROFESIONALES</v>
          </cell>
          <cell r="P227">
            <v>177</v>
          </cell>
          <cell r="Q227">
            <v>43501</v>
          </cell>
          <cell r="R227" t="str">
            <v>(Cód. 62) Prestar servicios profesionales al Instituto Distrital de Patrimonio Cultural en la ejecución de los procesos de mediación y generación de contenidos pedagógicos del portafolio de servicios educativos y culturales del Museo de Bogotá.</v>
          </cell>
          <cell r="S227">
            <v>12060000</v>
          </cell>
          <cell r="T227">
            <v>0</v>
          </cell>
          <cell r="U227">
            <v>0</v>
          </cell>
          <cell r="V227">
            <v>12060000</v>
          </cell>
        </row>
        <row r="228">
          <cell r="I228">
            <v>229</v>
          </cell>
          <cell r="J228">
            <v>231</v>
          </cell>
          <cell r="K228">
            <v>43501</v>
          </cell>
          <cell r="L228" t="str">
            <v>CC</v>
          </cell>
          <cell r="M228">
            <v>80771426</v>
          </cell>
          <cell r="N228" t="str">
            <v>JOSE LEONARDO CRISTANCHO CASTAÑO</v>
          </cell>
          <cell r="O228" t="str">
            <v>CONTRATO DE PRESTACION DE SERVICIOS PROFESIONALES</v>
          </cell>
          <cell r="P228">
            <v>179</v>
          </cell>
          <cell r="Q228">
            <v>43501</v>
          </cell>
          <cell r="R228" t="str">
            <v>(Cód. 66) Prestar servicios profesionales al Instituto Distrital de Patrimonio Cultural en la ejecución de los procesos de mediación y generación de contenidos pedagógicos del portafolio de servicios educativos y culturales del Museo de Bogotá.</v>
          </cell>
          <cell r="S228">
            <v>12060000</v>
          </cell>
          <cell r="T228">
            <v>0</v>
          </cell>
          <cell r="U228">
            <v>0</v>
          </cell>
          <cell r="V228">
            <v>12060000</v>
          </cell>
        </row>
        <row r="229">
          <cell r="I229">
            <v>231</v>
          </cell>
          <cell r="J229">
            <v>230</v>
          </cell>
          <cell r="K229">
            <v>43501</v>
          </cell>
          <cell r="L229" t="str">
            <v>CC</v>
          </cell>
          <cell r="M229">
            <v>79782966</v>
          </cell>
          <cell r="N229" t="str">
            <v>WILSON  PACHECO GUTIERREZ</v>
          </cell>
          <cell r="O229" t="str">
            <v>CONTRATO DE PRESTACION DE SERVICIOS DE APOYO A LA GESTION</v>
          </cell>
          <cell r="P229">
            <v>178</v>
          </cell>
          <cell r="Q229">
            <v>43501</v>
          </cell>
          <cell r="R229" t="str">
            <v>(Cód. 100) Prestar servicios de apoyo a la gestión al Instituto Distrital de Patrimonio Cultural como guía de los recorridos urbanos realizados en el marco de la estrategia de apropiación social del patrimonio cultural.</v>
          </cell>
          <cell r="S229">
            <v>15000000</v>
          </cell>
          <cell r="T229">
            <v>0</v>
          </cell>
          <cell r="U229">
            <v>0</v>
          </cell>
          <cell r="V229">
            <v>15000000</v>
          </cell>
        </row>
        <row r="230">
          <cell r="I230">
            <v>232</v>
          </cell>
          <cell r="J230">
            <v>226</v>
          </cell>
          <cell r="K230">
            <v>43501</v>
          </cell>
          <cell r="L230" t="str">
            <v>CC</v>
          </cell>
          <cell r="M230">
            <v>41323858</v>
          </cell>
          <cell r="N230" t="str">
            <v>SONIA ESPERANZA CUARTAS BECERRA</v>
          </cell>
          <cell r="O230" t="str">
            <v>CONTRATO DE PRESTACION DE SERVICIOS DE APOYO A LA GESTION</v>
          </cell>
          <cell r="P230">
            <v>180</v>
          </cell>
          <cell r="Q230">
            <v>43501</v>
          </cell>
          <cell r="R230" t="str">
            <v>(Cód. 108) Prestar servicios de apoyo a la gestión al Instituto Distrital de Patrimonio Cultural como guía de los recorridos urbanos realizados en el marco de la estrategia de apropiación social del patrimonio cultural.</v>
          </cell>
          <cell r="S230">
            <v>15000000</v>
          </cell>
          <cell r="T230">
            <v>0</v>
          </cell>
          <cell r="U230">
            <v>0</v>
          </cell>
          <cell r="V230">
            <v>15000000</v>
          </cell>
        </row>
        <row r="231">
          <cell r="I231">
            <v>192</v>
          </cell>
          <cell r="J231">
            <v>246</v>
          </cell>
          <cell r="K231">
            <v>43502</v>
          </cell>
          <cell r="L231" t="str">
            <v>CC</v>
          </cell>
          <cell r="M231">
            <v>52046556</v>
          </cell>
          <cell r="N231" t="str">
            <v>NUBIA NAYIBE VELASCO CALVO</v>
          </cell>
          <cell r="O231" t="str">
            <v>CONTRATO DE PRESTACION DE SERVICIOS PROFESIONALES</v>
          </cell>
          <cell r="P231">
            <v>185</v>
          </cell>
          <cell r="Q231">
            <v>43497</v>
          </cell>
          <cell r="R231" t="str">
            <v>(Cód. 91) Prestar servicios profesionales al Instituto Distrital de Patrimonio Cultural para llevar a cabo las actividades periodísticas requeridas en la estrategia de apropiación social del patrimonio cultural.</v>
          </cell>
          <cell r="S231">
            <v>66000000</v>
          </cell>
          <cell r="T231">
            <v>0</v>
          </cell>
          <cell r="U231">
            <v>0</v>
          </cell>
          <cell r="V231">
            <v>66000000</v>
          </cell>
        </row>
        <row r="232">
          <cell r="I232">
            <v>248</v>
          </cell>
          <cell r="J232">
            <v>243</v>
          </cell>
          <cell r="K232">
            <v>43502</v>
          </cell>
          <cell r="L232" t="str">
            <v>CC</v>
          </cell>
          <cell r="M232">
            <v>51832188</v>
          </cell>
          <cell r="N232" t="str">
            <v>MARCELA  TRISTANCHO MANTILLA</v>
          </cell>
          <cell r="O232" t="str">
            <v>CONTRATO DE PRESTACION DE SERVICIOS PROFESIONALES</v>
          </cell>
          <cell r="P232">
            <v>217</v>
          </cell>
          <cell r="Q232">
            <v>43502</v>
          </cell>
          <cell r="R232" t="str">
            <v>(Cód. 74) Prestar servicios profesionales al Instituto Distrital de Patrimonio Cultural para orientar la planeación e implementación de la oferta de servicios educativos y culturales del Museo de Bogotá.</v>
          </cell>
          <cell r="S232">
            <v>19860000</v>
          </cell>
          <cell r="T232">
            <v>0</v>
          </cell>
          <cell r="U232">
            <v>0</v>
          </cell>
          <cell r="V232">
            <v>19860000</v>
          </cell>
        </row>
        <row r="233">
          <cell r="I233">
            <v>249</v>
          </cell>
          <cell r="J233">
            <v>239</v>
          </cell>
          <cell r="K233">
            <v>43502</v>
          </cell>
          <cell r="L233" t="str">
            <v>CC</v>
          </cell>
          <cell r="M233">
            <v>52806863</v>
          </cell>
          <cell r="N233" t="str">
            <v>MARIA ANTONIETA GARCIA RESTREPO</v>
          </cell>
          <cell r="O233" t="str">
            <v>CONTRATO DE PRESTACION DE SERVICIOS PROFESIONALES</v>
          </cell>
          <cell r="P233">
            <v>214</v>
          </cell>
          <cell r="Q233">
            <v>43502</v>
          </cell>
          <cell r="R233" t="str">
            <v>(Cód. 75) Prestar servicios profesionales al Instituto Distrital de Patrimonio Cultural para llevar a cabo las actividades de registro y catalogación de la colección del Museo de Bogotá.</v>
          </cell>
          <cell r="S233">
            <v>16380000</v>
          </cell>
          <cell r="T233">
            <v>0</v>
          </cell>
          <cell r="U233">
            <v>0</v>
          </cell>
          <cell r="V233">
            <v>16380000</v>
          </cell>
        </row>
        <row r="234">
          <cell r="I234">
            <v>250</v>
          </cell>
          <cell r="J234">
            <v>242</v>
          </cell>
          <cell r="K234">
            <v>43502</v>
          </cell>
          <cell r="L234" t="str">
            <v>CC</v>
          </cell>
          <cell r="M234">
            <v>52452367</v>
          </cell>
          <cell r="N234" t="str">
            <v>XIMENA PAOLA BERNAL CASTILLO</v>
          </cell>
          <cell r="O234" t="str">
            <v>CONTRATO DE PRESTACION DE SERVICIOS PROFESIONALES</v>
          </cell>
          <cell r="P234">
            <v>141</v>
          </cell>
          <cell r="Q234">
            <v>43502</v>
          </cell>
          <cell r="R234" t="str">
            <v>(Cód. 109) Prestar servicios profesionales al Instituto Distrital de Patrimonio Cultural para orientar la ejecución de los proyectos editoriales y de investigación desarrollados en el marco de la estrategia de apropiación social del patrimonio cultural.</v>
          </cell>
          <cell r="S234">
            <v>85333333</v>
          </cell>
          <cell r="T234">
            <v>0</v>
          </cell>
          <cell r="U234">
            <v>0</v>
          </cell>
          <cell r="V234">
            <v>85333333</v>
          </cell>
        </row>
        <row r="235">
          <cell r="I235">
            <v>243</v>
          </cell>
          <cell r="J235">
            <v>251</v>
          </cell>
          <cell r="K235">
            <v>43503</v>
          </cell>
          <cell r="L235" t="str">
            <v>CC</v>
          </cell>
          <cell r="M235">
            <v>52258663</v>
          </cell>
          <cell r="N235" t="str">
            <v>IRENE CAROLINA CORREDOR ROJAS</v>
          </cell>
          <cell r="O235" t="str">
            <v>CONTRATO DE PRESTACION DE SERVICIOS PROFESIONALES</v>
          </cell>
          <cell r="P235">
            <v>228</v>
          </cell>
          <cell r="Q235">
            <v>43504</v>
          </cell>
          <cell r="R235" t="str">
            <v>(Cód. 60) Prestar servicios profesionales al Instituto Distrital de Patrimonio Cultural para orientar los procesos museográficos requeridos por el Museo de Bogotá.</v>
          </cell>
          <cell r="S235">
            <v>19860000</v>
          </cell>
          <cell r="T235">
            <v>0</v>
          </cell>
          <cell r="U235">
            <v>0</v>
          </cell>
          <cell r="V235">
            <v>19860000</v>
          </cell>
        </row>
        <row r="236">
          <cell r="I236">
            <v>264</v>
          </cell>
          <cell r="J236">
            <v>265</v>
          </cell>
          <cell r="K236">
            <v>43504</v>
          </cell>
          <cell r="L236" t="str">
            <v>CC</v>
          </cell>
          <cell r="M236">
            <v>53083890</v>
          </cell>
          <cell r="N236" t="str">
            <v>DIANA PAOLA GAITAN MARTINEZ</v>
          </cell>
          <cell r="O236" t="str">
            <v>CONTRATO DE PRESTACION DE SERVICIOS PROFESIONALES</v>
          </cell>
          <cell r="P236">
            <v>239</v>
          </cell>
          <cell r="Q236">
            <v>43507</v>
          </cell>
          <cell r="R236" t="str">
            <v>(Cód. 86) Prestar servicios profesionales al Instituto Distrital de Patrimonio Cultural para apoyar la formulación, actualización, seguimiento al proceso de planeación y las actividades relacionadas con el sistema integrado de gestión, de la Subdirección de Divulgación y Apropiación del Patrimonio.</v>
          </cell>
          <cell r="S236">
            <v>72800000</v>
          </cell>
          <cell r="T236">
            <v>0</v>
          </cell>
          <cell r="U236">
            <v>0</v>
          </cell>
          <cell r="V236">
            <v>72800000</v>
          </cell>
        </row>
        <row r="237">
          <cell r="I237">
            <v>244</v>
          </cell>
          <cell r="J237">
            <v>270</v>
          </cell>
          <cell r="K237">
            <v>43507</v>
          </cell>
          <cell r="L237" t="str">
            <v>CC</v>
          </cell>
          <cell r="M237">
            <v>1032385201</v>
          </cell>
          <cell r="N237" t="str">
            <v>MONICA ANGEL LASCAR</v>
          </cell>
          <cell r="O237" t="str">
            <v>CONTRATO DE PRESTACION DE SERVICIOS PROFESIONALES</v>
          </cell>
          <cell r="P237">
            <v>229</v>
          </cell>
          <cell r="Q237">
            <v>43503</v>
          </cell>
          <cell r="R237" t="str">
            <v>(Cód. 82) Prestar servicios profesionales al Instituto Distrital de Patrimonio Cultural para apoyar el desarrollo del plan de exposiciones temporales del Museo de Bogotá y los requerimientos asociados a los planes y proyectos especiales de la entidad.</v>
          </cell>
          <cell r="S237">
            <v>11460000</v>
          </cell>
          <cell r="T237">
            <v>0</v>
          </cell>
          <cell r="U237">
            <v>0</v>
          </cell>
          <cell r="V237">
            <v>11460000</v>
          </cell>
        </row>
        <row r="238">
          <cell r="I238">
            <v>259</v>
          </cell>
          <cell r="J238">
            <v>269</v>
          </cell>
          <cell r="K238">
            <v>43507</v>
          </cell>
          <cell r="L238" t="str">
            <v>CC</v>
          </cell>
          <cell r="M238">
            <v>79521473</v>
          </cell>
          <cell r="N238" t="str">
            <v>EDGARD FRANCISCO GUERRERO GIRALDO</v>
          </cell>
          <cell r="O238" t="str">
            <v>CONTRATO DE PRESTACION DE SERVICIOS PROFESIONALES</v>
          </cell>
          <cell r="P238">
            <v>243</v>
          </cell>
          <cell r="Q238">
            <v>43507</v>
          </cell>
          <cell r="R238" t="str">
            <v>(Cód. 52) Prestar servicios profesionales al Instituto Distrital de Patrimonio Cultural para apoyar la planificación y ejecución del programa de recorridos urbanos en el marco de la estrategia de apropiación social del patrimonio cultural.</v>
          </cell>
          <cell r="S238">
            <v>46000000</v>
          </cell>
          <cell r="T238">
            <v>0</v>
          </cell>
          <cell r="U238">
            <v>0</v>
          </cell>
          <cell r="V238">
            <v>46000000</v>
          </cell>
        </row>
        <row r="239">
          <cell r="I239">
            <v>262</v>
          </cell>
          <cell r="J239">
            <v>271</v>
          </cell>
          <cell r="K239">
            <v>43507</v>
          </cell>
          <cell r="L239" t="str">
            <v>CC</v>
          </cell>
          <cell r="M239">
            <v>63557963</v>
          </cell>
          <cell r="N239" t="str">
            <v>DIANA CAROLINA RUA RANGEL</v>
          </cell>
          <cell r="O239" t="str">
            <v>CONTRATO DE PRESTACION DE SERVICIOS PROFESIONALES</v>
          </cell>
          <cell r="P239">
            <v>240</v>
          </cell>
          <cell r="Q239">
            <v>43507</v>
          </cell>
          <cell r="R239" t="str">
            <v>(Cód. 24) Prestar servicios profesionales como abogado al Instituto Distrital de Patrimonio Cultural, para el acompañamiento jurídico de la Subdirección de Divulgación y Apropiación del Patrimonio acorde con la competencia funcional de la dependencia, manteniendo los  procesos y procedimientos de gestión jurídica definidos en la entidad.</v>
          </cell>
          <cell r="S239">
            <v>66880000</v>
          </cell>
          <cell r="T239">
            <v>0</v>
          </cell>
          <cell r="U239">
            <v>0</v>
          </cell>
          <cell r="V239">
            <v>66880000</v>
          </cell>
        </row>
        <row r="240">
          <cell r="I240">
            <v>263</v>
          </cell>
          <cell r="J240">
            <v>268</v>
          </cell>
          <cell r="K240">
            <v>43507</v>
          </cell>
          <cell r="L240" t="str">
            <v>CC</v>
          </cell>
          <cell r="M240">
            <v>79594094</v>
          </cell>
          <cell r="N240" t="str">
            <v>JORGE ELKIN BUITRAGO ARENAS</v>
          </cell>
          <cell r="O240" t="str">
            <v>CONTRATO DE PRESTACION DE SERVICIOS PROFESIONALES</v>
          </cell>
          <cell r="P240">
            <v>238</v>
          </cell>
          <cell r="Q240">
            <v>43507</v>
          </cell>
          <cell r="R240" t="str">
            <v>(Cód. 49) Prestar servicios profesionales al Instituto Distrital de Patrimonio Cultural para apoyar los procesos de ejecución y control presupuestal y financiera, así como las actividades relacionadas con la gestión administrativa de la Subdirección de Divulgación y Apropiación del Patrimonio.</v>
          </cell>
          <cell r="S240">
            <v>66880000</v>
          </cell>
          <cell r="T240">
            <v>0</v>
          </cell>
          <cell r="U240">
            <v>0</v>
          </cell>
          <cell r="V240">
            <v>66880000</v>
          </cell>
        </row>
        <row r="241">
          <cell r="I241">
            <v>247</v>
          </cell>
          <cell r="J241">
            <v>277</v>
          </cell>
          <cell r="K241">
            <v>43508</v>
          </cell>
          <cell r="L241" t="str">
            <v>CE</v>
          </cell>
          <cell r="M241">
            <v>439801</v>
          </cell>
          <cell r="N241" t="str">
            <v>CLEMENT GUILLAUME ROUX</v>
          </cell>
          <cell r="O241" t="str">
            <v>CONTRATO DE PRESTACION DE SERVICIOS PROFESIONALES</v>
          </cell>
          <cell r="P241">
            <v>237</v>
          </cell>
          <cell r="Q241">
            <v>43507</v>
          </cell>
          <cell r="R241" t="str">
            <v>(Cód. 33) Prestar servicios profesionales al Instituto Distrital de Patrimonio Cultural para apoyar las actividades de comunicación y generación de contenidos requeridos para el desarrollo de la estrategia de apropiación social del patrimonio cultural.</v>
          </cell>
          <cell r="S241">
            <v>16740000</v>
          </cell>
          <cell r="T241">
            <v>0</v>
          </cell>
          <cell r="U241">
            <v>0</v>
          </cell>
          <cell r="V241">
            <v>16740000</v>
          </cell>
        </row>
        <row r="242">
          <cell r="I242">
            <v>283</v>
          </cell>
          <cell r="J242">
            <v>274</v>
          </cell>
          <cell r="K242">
            <v>43508</v>
          </cell>
          <cell r="L242" t="str">
            <v>CC</v>
          </cell>
          <cell r="M242">
            <v>53016690</v>
          </cell>
          <cell r="N242" t="str">
            <v>ANGIE MILENA MORALES MAURY</v>
          </cell>
          <cell r="O242" t="str">
            <v>CONTRATO DE PRESTACION DE SERVICIOS PROFESIONALES</v>
          </cell>
          <cell r="P242">
            <v>245</v>
          </cell>
          <cell r="Q242">
            <v>43508</v>
          </cell>
          <cell r="R242" t="str">
            <v>(Cód. 433) 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v>
          </cell>
          <cell r="S242">
            <v>44800000</v>
          </cell>
          <cell r="T242">
            <v>0</v>
          </cell>
          <cell r="U242">
            <v>0</v>
          </cell>
          <cell r="V242">
            <v>44800000</v>
          </cell>
        </row>
        <row r="243">
          <cell r="I243">
            <v>288</v>
          </cell>
          <cell r="J243">
            <v>283</v>
          </cell>
          <cell r="K243">
            <v>43511</v>
          </cell>
          <cell r="L243" t="str">
            <v>CC</v>
          </cell>
          <cell r="M243">
            <v>1014245837</v>
          </cell>
          <cell r="N243" t="str">
            <v>MARIA FARIDE PARDO SHAKER</v>
          </cell>
          <cell r="O243" t="str">
            <v>CONTRATO DE PRESTACION DE SERVICIOS PROFESIONALES</v>
          </cell>
          <cell r="P243">
            <v>252</v>
          </cell>
          <cell r="Q243">
            <v>43511</v>
          </cell>
          <cell r="R243" t="str">
            <v>(Cód. 77) Prestar servicios profesionales al Instituto Distrital de Patrimonio Cultural para apoyar las actividades de comunicación interna y organización de archivo fotográfico de la Subdirección de Divulgación y Apropiación del Patrimonio.</v>
          </cell>
          <cell r="S243">
            <v>40950000</v>
          </cell>
          <cell r="T243">
            <v>0</v>
          </cell>
          <cell r="U243">
            <v>0</v>
          </cell>
          <cell r="V243">
            <v>40950000</v>
          </cell>
        </row>
        <row r="244">
          <cell r="I244">
            <v>222</v>
          </cell>
          <cell r="J244">
            <v>282</v>
          </cell>
          <cell r="K244">
            <v>43511</v>
          </cell>
          <cell r="L244" t="str">
            <v>CC</v>
          </cell>
          <cell r="M244">
            <v>1022341455</v>
          </cell>
          <cell r="N244" t="str">
            <v>FABIAN ELIECER CERVERA LINARES</v>
          </cell>
          <cell r="O244" t="str">
            <v>CONTRATO DE PRESTACION DE SERVICIOS PROFESIONALES</v>
          </cell>
          <cell r="P244">
            <v>244</v>
          </cell>
          <cell r="Q244">
            <v>43509</v>
          </cell>
          <cell r="R244" t="str">
            <v>(Cód. 47) Prestar servicios profesionales al Instituto Distrital de Patrimonio Cultural para apoyar los procesos documentales del Centro de Documentación.</v>
          </cell>
          <cell r="S244">
            <v>42000000</v>
          </cell>
          <cell r="T244">
            <v>0</v>
          </cell>
          <cell r="U244">
            <v>0</v>
          </cell>
          <cell r="V244">
            <v>42000000</v>
          </cell>
        </row>
        <row r="245">
          <cell r="I245">
            <v>285</v>
          </cell>
          <cell r="J245">
            <v>285</v>
          </cell>
          <cell r="K245">
            <v>43511</v>
          </cell>
          <cell r="L245" t="str">
            <v>CC</v>
          </cell>
          <cell r="M245">
            <v>80084539</v>
          </cell>
          <cell r="N245" t="str">
            <v>ANGEL ENRIQUE MARTINEZ RUIZ</v>
          </cell>
          <cell r="O245" t="str">
            <v>CONTRATO DE PRESTACION DE SERVICIOS PROFESIONALES</v>
          </cell>
          <cell r="P245">
            <v>247</v>
          </cell>
          <cell r="Q245">
            <v>43514</v>
          </cell>
          <cell r="R245" t="str">
            <v>(Cód. 37) Prestar servicios profesionales al Instituto Distrital de Patrimonio Cultural en las actividades relacionadas con el desarrollo del guion curatorial para la exposición temporal del Museo de Bogotá sobre el Bicentenario de la independencia en la ciudad de Bogotá.</v>
          </cell>
          <cell r="S245">
            <v>52000000</v>
          </cell>
          <cell r="T245">
            <v>0</v>
          </cell>
          <cell r="U245">
            <v>0</v>
          </cell>
          <cell r="V245">
            <v>52000000</v>
          </cell>
        </row>
        <row r="246">
          <cell r="I246">
            <v>266</v>
          </cell>
          <cell r="J246">
            <v>295</v>
          </cell>
          <cell r="K246">
            <v>43515</v>
          </cell>
          <cell r="L246" t="str">
            <v>CC</v>
          </cell>
          <cell r="M246">
            <v>79133461</v>
          </cell>
          <cell r="N246" t="str">
            <v>GIOVANY ANDRE ALFONSO FORERO</v>
          </cell>
          <cell r="O246" t="str">
            <v>CONTRATO DE PRESTACION DE SERVICIOS DE APOYO A LA GESTION</v>
          </cell>
          <cell r="P246">
            <v>253</v>
          </cell>
          <cell r="Q246">
            <v>43514</v>
          </cell>
          <cell r="R246" t="str">
            <v>(Cód. 54) Prestar servicios de apoyo a la gestión al Instituto Distrital de Patrimonio Cultural en la ejecución de recorridos naturales realizados en el marco de la estrategia de apropiación social del patrimonio cultural.</v>
          </cell>
          <cell r="S246">
            <v>10000000</v>
          </cell>
          <cell r="T246">
            <v>0</v>
          </cell>
          <cell r="U246">
            <v>0</v>
          </cell>
          <cell r="V246">
            <v>10000000</v>
          </cell>
        </row>
        <row r="247">
          <cell r="I247">
            <v>284</v>
          </cell>
          <cell r="J247">
            <v>300</v>
          </cell>
          <cell r="K247">
            <v>43516</v>
          </cell>
          <cell r="L247" t="str">
            <v>CC</v>
          </cell>
          <cell r="M247">
            <v>52439734</v>
          </cell>
          <cell r="N247" t="str">
            <v>BIBIANA  CASTRO RAMIREZ</v>
          </cell>
          <cell r="O247" t="str">
            <v>CONTRATO DE PRESTACION DE SERVICIOS PROFESIONALES</v>
          </cell>
          <cell r="P247">
            <v>249</v>
          </cell>
          <cell r="Q247">
            <v>43515</v>
          </cell>
          <cell r="R247" t="str">
            <v>(Cód. 26) Prestar servicios profesionales  al Instituto Distrital de Patrimonio Cultural para llevar a cabo los procesos de corrección de estilo de los textos y publicaciones adelantadas por la Subdirección de Divulgación y Apropiación del Patrimonio.</v>
          </cell>
          <cell r="S247">
            <v>20000000</v>
          </cell>
          <cell r="T247">
            <v>0</v>
          </cell>
          <cell r="U247">
            <v>0</v>
          </cell>
          <cell r="V247">
            <v>20000000</v>
          </cell>
        </row>
        <row r="249">
          <cell r="I249">
            <v>260</v>
          </cell>
          <cell r="J249">
            <v>263</v>
          </cell>
        </row>
        <row r="250">
          <cell r="I250">
            <v>20</v>
          </cell>
          <cell r="J250">
            <v>30</v>
          </cell>
        </row>
        <row r="251">
          <cell r="I251">
            <v>90</v>
          </cell>
          <cell r="J251">
            <v>83</v>
          </cell>
        </row>
        <row r="252">
          <cell r="I252">
            <v>91</v>
          </cell>
          <cell r="J252">
            <v>80</v>
          </cell>
        </row>
        <row r="253">
          <cell r="I253">
            <v>92</v>
          </cell>
          <cell r="J253">
            <v>84</v>
          </cell>
        </row>
        <row r="254">
          <cell r="I254">
            <v>124</v>
          </cell>
          <cell r="J254">
            <v>149</v>
          </cell>
        </row>
        <row r="255">
          <cell r="I255">
            <v>125</v>
          </cell>
          <cell r="J255">
            <v>151</v>
          </cell>
        </row>
        <row r="256">
          <cell r="I256">
            <v>166</v>
          </cell>
          <cell r="J256">
            <v>160</v>
          </cell>
        </row>
        <row r="257">
          <cell r="I257">
            <v>181</v>
          </cell>
          <cell r="J257">
            <v>178</v>
          </cell>
        </row>
        <row r="258">
          <cell r="I258">
            <v>182</v>
          </cell>
          <cell r="J258">
            <v>195</v>
          </cell>
        </row>
        <row r="259">
          <cell r="I259">
            <v>216</v>
          </cell>
          <cell r="J259">
            <v>212</v>
          </cell>
        </row>
        <row r="260">
          <cell r="I260">
            <v>226</v>
          </cell>
          <cell r="J260">
            <v>207</v>
          </cell>
        </row>
        <row r="261">
          <cell r="I261">
            <v>238</v>
          </cell>
          <cell r="J261">
            <v>205</v>
          </cell>
        </row>
        <row r="262">
          <cell r="I262">
            <v>239</v>
          </cell>
          <cell r="J262">
            <v>204</v>
          </cell>
        </row>
        <row r="263">
          <cell r="I263">
            <v>240</v>
          </cell>
          <cell r="J263">
            <v>222</v>
          </cell>
        </row>
        <row r="264">
          <cell r="I264">
            <v>245</v>
          </cell>
          <cell r="J264">
            <v>233</v>
          </cell>
        </row>
        <row r="265">
          <cell r="I265">
            <v>267</v>
          </cell>
          <cell r="J265">
            <v>267</v>
          </cell>
        </row>
        <row r="266">
          <cell r="I266">
            <v>271</v>
          </cell>
          <cell r="J266">
            <v>278</v>
          </cell>
        </row>
        <row r="267">
          <cell r="I267">
            <v>4</v>
          </cell>
          <cell r="J267">
            <v>297</v>
          </cell>
        </row>
        <row r="268">
          <cell r="I268">
            <v>4</v>
          </cell>
          <cell r="J268">
            <v>224</v>
          </cell>
        </row>
        <row r="269">
          <cell r="I269">
            <v>4</v>
          </cell>
          <cell r="J269">
            <v>255</v>
          </cell>
        </row>
        <row r="270">
          <cell r="I270">
            <v>4</v>
          </cell>
          <cell r="J270">
            <v>272</v>
          </cell>
        </row>
        <row r="271">
          <cell r="I271">
            <v>4</v>
          </cell>
          <cell r="J271">
            <v>286</v>
          </cell>
        </row>
        <row r="272">
          <cell r="I272">
            <v>4</v>
          </cell>
          <cell r="J272">
            <v>289</v>
          </cell>
        </row>
        <row r="273">
          <cell r="I273">
            <v>4</v>
          </cell>
          <cell r="J273">
            <v>291</v>
          </cell>
        </row>
        <row r="274">
          <cell r="I274">
            <v>4</v>
          </cell>
          <cell r="J274">
            <v>157</v>
          </cell>
        </row>
        <row r="275">
          <cell r="I275">
            <v>4</v>
          </cell>
          <cell r="J275">
            <v>3</v>
          </cell>
        </row>
        <row r="276">
          <cell r="I276">
            <v>4</v>
          </cell>
          <cell r="J276">
            <v>132</v>
          </cell>
        </row>
        <row r="277">
          <cell r="I277">
            <v>4</v>
          </cell>
          <cell r="J277">
            <v>57</v>
          </cell>
        </row>
        <row r="278">
          <cell r="I278">
            <v>4</v>
          </cell>
          <cell r="J278">
            <v>58</v>
          </cell>
        </row>
        <row r="279">
          <cell r="I279">
            <v>4</v>
          </cell>
          <cell r="J279">
            <v>131</v>
          </cell>
        </row>
        <row r="280">
          <cell r="I280">
            <v>21</v>
          </cell>
          <cell r="J280">
            <v>20</v>
          </cell>
        </row>
        <row r="281">
          <cell r="I281">
            <v>22</v>
          </cell>
          <cell r="J281">
            <v>11</v>
          </cell>
        </row>
        <row r="282">
          <cell r="I282">
            <v>23</v>
          </cell>
          <cell r="J282">
            <v>8</v>
          </cell>
        </row>
        <row r="283">
          <cell r="I283">
            <v>24</v>
          </cell>
          <cell r="J283">
            <v>7</v>
          </cell>
        </row>
        <row r="284">
          <cell r="I284">
            <v>25</v>
          </cell>
          <cell r="J284">
            <v>159</v>
          </cell>
        </row>
        <row r="285">
          <cell r="I285">
            <v>26</v>
          </cell>
          <cell r="J285">
            <v>10</v>
          </cell>
        </row>
        <row r="286">
          <cell r="I286">
            <v>27</v>
          </cell>
          <cell r="J286">
            <v>9</v>
          </cell>
        </row>
        <row r="287">
          <cell r="I287">
            <v>28</v>
          </cell>
          <cell r="J287">
            <v>6</v>
          </cell>
        </row>
        <row r="288">
          <cell r="I288">
            <v>54</v>
          </cell>
          <cell r="J288">
            <v>31</v>
          </cell>
        </row>
        <row r="289">
          <cell r="I289">
            <v>55</v>
          </cell>
          <cell r="J289">
            <v>32</v>
          </cell>
        </row>
        <row r="290">
          <cell r="I290">
            <v>56</v>
          </cell>
          <cell r="J290">
            <v>34</v>
          </cell>
        </row>
        <row r="291">
          <cell r="I291">
            <v>57</v>
          </cell>
          <cell r="J291">
            <v>215</v>
          </cell>
        </row>
        <row r="292">
          <cell r="I292">
            <v>60</v>
          </cell>
          <cell r="J292">
            <v>14</v>
          </cell>
        </row>
        <row r="293">
          <cell r="I293">
            <v>61</v>
          </cell>
          <cell r="J293">
            <v>15</v>
          </cell>
        </row>
        <row r="294">
          <cell r="I294">
            <v>62</v>
          </cell>
          <cell r="J294">
            <v>12</v>
          </cell>
        </row>
        <row r="295">
          <cell r="I295">
            <v>64</v>
          </cell>
          <cell r="J295">
            <v>13</v>
          </cell>
        </row>
        <row r="296">
          <cell r="I296">
            <v>66</v>
          </cell>
          <cell r="J296">
            <v>40</v>
          </cell>
        </row>
        <row r="297">
          <cell r="I297">
            <v>67</v>
          </cell>
          <cell r="J297">
            <v>82</v>
          </cell>
        </row>
        <row r="298">
          <cell r="I298">
            <v>68</v>
          </cell>
          <cell r="J298">
            <v>51</v>
          </cell>
        </row>
        <row r="299">
          <cell r="I299">
            <v>69</v>
          </cell>
          <cell r="J299">
            <v>55</v>
          </cell>
        </row>
        <row r="300">
          <cell r="I300">
            <v>70</v>
          </cell>
          <cell r="J300">
            <v>81</v>
          </cell>
        </row>
        <row r="301">
          <cell r="I301">
            <v>71</v>
          </cell>
          <cell r="J301">
            <v>103</v>
          </cell>
        </row>
        <row r="302">
          <cell r="I302">
            <v>83</v>
          </cell>
          <cell r="J302">
            <v>105</v>
          </cell>
        </row>
        <row r="303">
          <cell r="I303">
            <v>84</v>
          </cell>
          <cell r="J303">
            <v>53</v>
          </cell>
        </row>
        <row r="304">
          <cell r="I304">
            <v>85</v>
          </cell>
          <cell r="J304">
            <v>41</v>
          </cell>
        </row>
        <row r="305">
          <cell r="I305">
            <v>86</v>
          </cell>
          <cell r="J305">
            <v>33</v>
          </cell>
        </row>
        <row r="306">
          <cell r="I306">
            <v>87</v>
          </cell>
          <cell r="J306">
            <v>112</v>
          </cell>
        </row>
        <row r="307">
          <cell r="I307">
            <v>100</v>
          </cell>
          <cell r="J307">
            <v>266</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32">
          <cell r="N132">
            <v>14</v>
          </cell>
          <cell r="O132">
            <v>60</v>
          </cell>
          <cell r="P132" t="str">
            <v>ANDERSON  MARTINEZ VAHOS</v>
          </cell>
          <cell r="Q132" t="str">
            <v>CONTRATO DE PRESTACION DE SERVICIOS PROFESIONALES</v>
          </cell>
          <cell r="R132">
            <v>1</v>
          </cell>
          <cell r="S132" t="str">
            <v>VIGENTE</v>
          </cell>
          <cell r="T132">
            <v>5460000</v>
          </cell>
        </row>
        <row r="133">
          <cell r="N133">
            <v>12</v>
          </cell>
          <cell r="O133">
            <v>62</v>
          </cell>
          <cell r="P133" t="str">
            <v>LEYSI YURANI GIRALDO MEDINA</v>
          </cell>
          <cell r="Q133" t="str">
            <v>CONTRATO DE PRESTACION DE SERVICIOS DE APOYO A LA GESTION</v>
          </cell>
          <cell r="R133">
            <v>2</v>
          </cell>
          <cell r="S133" t="str">
            <v>VIGENTE</v>
          </cell>
          <cell r="T133">
            <v>3050000</v>
          </cell>
        </row>
        <row r="134">
          <cell r="N134">
            <v>15</v>
          </cell>
          <cell r="O134">
            <v>61</v>
          </cell>
          <cell r="P134" t="str">
            <v>ANDRES  CARDENAS VILLAMIL</v>
          </cell>
          <cell r="Q134" t="str">
            <v>CONTRATO DE PRESTACION DE SERVICIOS PROFESIONALES</v>
          </cell>
          <cell r="R134">
            <v>4</v>
          </cell>
          <cell r="S134" t="str">
            <v>VIGENTE</v>
          </cell>
          <cell r="T134">
            <v>6800000</v>
          </cell>
        </row>
        <row r="135">
          <cell r="N135">
            <v>13</v>
          </cell>
          <cell r="O135">
            <v>64</v>
          </cell>
          <cell r="P135" t="str">
            <v>VICTOR MANUEL ALFONSO MEDINA</v>
          </cell>
          <cell r="Q135" t="str">
            <v>CONTRATO DE PRESTACION DE SERVICIOS DE APOYO A LA GESTION</v>
          </cell>
          <cell r="R135">
            <v>5</v>
          </cell>
          <cell r="S135" t="str">
            <v>VIGENTE</v>
          </cell>
          <cell r="T135">
            <v>3480000</v>
          </cell>
        </row>
        <row r="136">
          <cell r="N136">
            <v>6</v>
          </cell>
          <cell r="O136">
            <v>28</v>
          </cell>
          <cell r="P136" t="str">
            <v>HELBERT MAURICIO GUZMAN MATIAS</v>
          </cell>
          <cell r="Q136" t="str">
            <v>CONTRATO DE PRESTACION DE SERVICIOS PROFESIONALES</v>
          </cell>
          <cell r="R136">
            <v>6</v>
          </cell>
          <cell r="S136" t="str">
            <v>VIGENTE</v>
          </cell>
          <cell r="T136">
            <v>3730000</v>
          </cell>
        </row>
        <row r="137">
          <cell r="N137">
            <v>7</v>
          </cell>
          <cell r="O137">
            <v>24</v>
          </cell>
          <cell r="P137" t="str">
            <v>HELBER AURELIO SILVA LEGUIZAMON</v>
          </cell>
          <cell r="Q137" t="str">
            <v>CONTRATO DE PRESTACION DE SERVICIOS PROFESIONALES</v>
          </cell>
          <cell r="R137">
            <v>7</v>
          </cell>
          <cell r="S137" t="str">
            <v>VIGENTE</v>
          </cell>
          <cell r="T137">
            <v>3700000</v>
          </cell>
        </row>
        <row r="138">
          <cell r="N138">
            <v>10</v>
          </cell>
          <cell r="O138">
            <v>26</v>
          </cell>
          <cell r="P138" t="str">
            <v>SANDRA YANETH ROMO BENAVIDES</v>
          </cell>
          <cell r="Q138" t="str">
            <v>CONTRATO DE PRESTACION DE SERVICIOS PROFESIONALES</v>
          </cell>
          <cell r="R138">
            <v>8</v>
          </cell>
          <cell r="S138" t="str">
            <v>VIGENTE</v>
          </cell>
          <cell r="T138">
            <v>6390000</v>
          </cell>
        </row>
        <row r="139">
          <cell r="N139">
            <v>9</v>
          </cell>
          <cell r="O139">
            <v>27</v>
          </cell>
          <cell r="P139" t="str">
            <v>DIANA MARCELA RAMIREZ CASTILLO</v>
          </cell>
          <cell r="Q139" t="str">
            <v>CONTRATO DE PRESTACION DE SERVICIOS PROFESIONALES</v>
          </cell>
          <cell r="R139">
            <v>9</v>
          </cell>
          <cell r="S139" t="str">
            <v>VIGENTE</v>
          </cell>
          <cell r="T139">
            <v>4000000</v>
          </cell>
        </row>
        <row r="140">
          <cell r="N140">
            <v>8</v>
          </cell>
          <cell r="O140">
            <v>23</v>
          </cell>
          <cell r="P140" t="str">
            <v>ADRIANA  BERNAO GUTIERREZ</v>
          </cell>
          <cell r="Q140" t="str">
            <v>CONTRATO DE PRESTACION DE SERVICIOS PROFESIONALES</v>
          </cell>
          <cell r="R140">
            <v>10</v>
          </cell>
          <cell r="S140" t="str">
            <v>VIGENTE</v>
          </cell>
          <cell r="T140">
            <v>6200000</v>
          </cell>
        </row>
        <row r="141">
          <cell r="N141">
            <v>30</v>
          </cell>
          <cell r="O141">
            <v>20</v>
          </cell>
          <cell r="P141" t="str">
            <v>ORLANDO  ARIAS CAICEDO</v>
          </cell>
          <cell r="Q141" t="str">
            <v>CONTRATO DE PRESTACION DE SERVICIOS PROFESIONALES</v>
          </cell>
          <cell r="R141">
            <v>11</v>
          </cell>
          <cell r="S141" t="str">
            <v>VIGENTE</v>
          </cell>
          <cell r="T141">
            <v>4200000</v>
          </cell>
        </row>
        <row r="142">
          <cell r="N142">
            <v>20</v>
          </cell>
          <cell r="O142">
            <v>21</v>
          </cell>
          <cell r="P142" t="str">
            <v>OLGA LUCIA VERGARA ARENAS</v>
          </cell>
          <cell r="Q142" t="str">
            <v>CONTRATO DE PRESTACION DE SERVICIOS PROFESIONALES</v>
          </cell>
          <cell r="R142">
            <v>12</v>
          </cell>
          <cell r="S142" t="str">
            <v>VIGENTE</v>
          </cell>
          <cell r="T142">
            <v>4320000</v>
          </cell>
        </row>
        <row r="143">
          <cell r="N143">
            <v>11</v>
          </cell>
          <cell r="O143">
            <v>22</v>
          </cell>
          <cell r="P143" t="str">
            <v>KRISTHIAM ANDRES CARRIZOSA TRUJILLO</v>
          </cell>
          <cell r="Q143" t="str">
            <v>CONTRATO DE PRESTACION DE SERVICIOS DE APOYO A LA GESTION</v>
          </cell>
          <cell r="R143">
            <v>13</v>
          </cell>
          <cell r="S143" t="str">
            <v>VIGENTE</v>
          </cell>
          <cell r="T143">
            <v>2320000</v>
          </cell>
        </row>
        <row r="144">
          <cell r="N144">
            <v>31</v>
          </cell>
          <cell r="O144">
            <v>54</v>
          </cell>
          <cell r="P144" t="str">
            <v>RONALD  MORERA ESTEVEZ</v>
          </cell>
          <cell r="Q144" t="str">
            <v>CONTRATO DE PRESTACION DE SERVICIOS DE APOYO A LA GESTION</v>
          </cell>
          <cell r="R144">
            <v>27</v>
          </cell>
          <cell r="S144" t="str">
            <v>VIGENTE</v>
          </cell>
          <cell r="T144">
            <v>3090000</v>
          </cell>
        </row>
        <row r="145">
          <cell r="N145">
            <v>32</v>
          </cell>
          <cell r="O145">
            <v>55</v>
          </cell>
          <cell r="P145" t="str">
            <v>Oscar Mario Yusty Trujillo</v>
          </cell>
          <cell r="Q145" t="str">
            <v>CONTRATO DE PRESTACION DE SERVICIOS DE APOYO A LA GESTION</v>
          </cell>
          <cell r="R145">
            <v>28</v>
          </cell>
          <cell r="S145" t="str">
            <v>VIGENTE</v>
          </cell>
          <cell r="T145">
            <v>3090000</v>
          </cell>
        </row>
        <row r="146">
          <cell r="N146">
            <v>34</v>
          </cell>
          <cell r="O146">
            <v>56</v>
          </cell>
          <cell r="P146" t="str">
            <v>MAGALLY SUSANA MOREA PEÑA</v>
          </cell>
          <cell r="Q146" t="str">
            <v>CONTRATO DE PRESTACION DE SERVICIOS DE APOYO A LA GESTION</v>
          </cell>
          <cell r="R146">
            <v>29</v>
          </cell>
          <cell r="S146" t="str">
            <v>VIGENTE</v>
          </cell>
          <cell r="T146">
            <v>3090000</v>
          </cell>
        </row>
        <row r="147">
          <cell r="N147">
            <v>33</v>
          </cell>
          <cell r="O147">
            <v>86</v>
          </cell>
          <cell r="P147" t="str">
            <v>edwin alexander leon gonzalez</v>
          </cell>
          <cell r="Q147" t="str">
            <v>CONTRATO DE PRESTACION DE SERVICIOS DE APOYO A LA GESTION</v>
          </cell>
          <cell r="R147">
            <v>33</v>
          </cell>
          <cell r="S147" t="str">
            <v>VIGENTE</v>
          </cell>
          <cell r="T147">
            <v>2870000</v>
          </cell>
        </row>
        <row r="148">
          <cell r="N148">
            <v>51</v>
          </cell>
          <cell r="O148">
            <v>68</v>
          </cell>
          <cell r="P148" t="str">
            <v>IRMA  CASTAÑEDA RAMIREZ</v>
          </cell>
          <cell r="Q148" t="str">
            <v>CONTRATO DE PRESTACION DE SERVICIOS PROFESIONALES</v>
          </cell>
          <cell r="R148">
            <v>50</v>
          </cell>
          <cell r="S148" t="str">
            <v>VIGENTE</v>
          </cell>
          <cell r="T148">
            <v>5020000</v>
          </cell>
        </row>
        <row r="149">
          <cell r="N149">
            <v>41</v>
          </cell>
          <cell r="O149">
            <v>85</v>
          </cell>
          <cell r="P149" t="str">
            <v>ANGELA MARIA CASTRO CEPEDA</v>
          </cell>
          <cell r="Q149" t="str">
            <v>CONTRATO DE PRESTACION DE SERVICIOS PROFESIONALES</v>
          </cell>
          <cell r="R149">
            <v>57</v>
          </cell>
          <cell r="S149" t="str">
            <v>VIGENTE</v>
          </cell>
          <cell r="T149">
            <v>5000000</v>
          </cell>
        </row>
        <row r="150">
          <cell r="N150">
            <v>53</v>
          </cell>
          <cell r="O150">
            <v>84</v>
          </cell>
          <cell r="P150" t="str">
            <v>DAVID ALEXANDER WILCHES FLOREZ</v>
          </cell>
          <cell r="Q150" t="str">
            <v>CONTRATO DE PRESTACION DE SERVICIOS PROFESIONALES</v>
          </cell>
          <cell r="R150">
            <v>58</v>
          </cell>
          <cell r="S150" t="str">
            <v>VIGENTE</v>
          </cell>
          <cell r="T150">
            <v>5460000</v>
          </cell>
        </row>
        <row r="151">
          <cell r="N151">
            <v>40</v>
          </cell>
          <cell r="O151">
            <v>66</v>
          </cell>
          <cell r="P151" t="str">
            <v>ANGELICA ESPERANZA ACUÑA HERNANDEZ</v>
          </cell>
          <cell r="Q151" t="str">
            <v>CONTRATO DE PRESTACION DE SERVICIOS PROFESIONALES</v>
          </cell>
          <cell r="R151">
            <v>59</v>
          </cell>
          <cell r="S151" t="str">
            <v>VIGENTE</v>
          </cell>
          <cell r="T151">
            <v>3700000</v>
          </cell>
        </row>
        <row r="152">
          <cell r="N152">
            <v>103</v>
          </cell>
          <cell r="O152">
            <v>71</v>
          </cell>
          <cell r="P152" t="str">
            <v>Oscar Fabian Uyaban Dueñas</v>
          </cell>
          <cell r="Q152" t="str">
            <v>CONTRATO DE PRESTACION DE SERVICIOS DE APOYO A LA GESTION</v>
          </cell>
          <cell r="R152">
            <v>63</v>
          </cell>
          <cell r="S152" t="str">
            <v>VIGENTE</v>
          </cell>
          <cell r="T152">
            <v>2320000</v>
          </cell>
        </row>
        <row r="153">
          <cell r="N153">
            <v>107</v>
          </cell>
          <cell r="O153">
            <v>102</v>
          </cell>
          <cell r="P153" t="str">
            <v>CATALINA MARGARITA MO NAGY PATIÑO</v>
          </cell>
          <cell r="Q153" t="str">
            <v>CONTRATO DE PRESTACION DE SERVICIOS PROFESIONALES</v>
          </cell>
          <cell r="R153">
            <v>76</v>
          </cell>
          <cell r="S153" t="str">
            <v>VIGENTE</v>
          </cell>
          <cell r="T153">
            <v>8620000</v>
          </cell>
        </row>
        <row r="154">
          <cell r="N154">
            <v>80</v>
          </cell>
          <cell r="O154">
            <v>91</v>
          </cell>
          <cell r="P154" t="str">
            <v>CRISTIAN STEPH VELASQUEZ ALEJO</v>
          </cell>
          <cell r="Q154" t="str">
            <v>CONTRATO DE PRESTACION DE SERVICIOS PROFESIONALES</v>
          </cell>
          <cell r="R154">
            <v>80</v>
          </cell>
          <cell r="S154" t="str">
            <v>VIGENTE</v>
          </cell>
          <cell r="T154">
            <v>5240000</v>
          </cell>
        </row>
        <row r="155">
          <cell r="N155">
            <v>81</v>
          </cell>
          <cell r="O155">
            <v>70</v>
          </cell>
          <cell r="P155" t="str">
            <v>OMAR ALEXANDER PATIÑO PINEDA</v>
          </cell>
          <cell r="Q155" t="str">
            <v>CONTRATO DE PRESTACION DE SERVICIOS DE APOYO A LA GESTION</v>
          </cell>
          <cell r="R155">
            <v>82</v>
          </cell>
          <cell r="S155" t="str">
            <v>VIGENTE</v>
          </cell>
          <cell r="T155">
            <v>2320000</v>
          </cell>
        </row>
        <row r="156">
          <cell r="N156">
            <v>82</v>
          </cell>
          <cell r="O156">
            <v>67</v>
          </cell>
          <cell r="P156" t="str">
            <v>DARIO FERDEY YAIMA TOCANCIPA</v>
          </cell>
          <cell r="Q156" t="str">
            <v>CONTRATO DE PRESTACION DE SERVICIOS DE APOYO A LA GESTION</v>
          </cell>
          <cell r="R156">
            <v>83</v>
          </cell>
          <cell r="S156" t="str">
            <v>VIGENTE</v>
          </cell>
          <cell r="T156">
            <v>2820000</v>
          </cell>
        </row>
        <row r="157">
          <cell r="N157">
            <v>83</v>
          </cell>
          <cell r="O157">
            <v>90</v>
          </cell>
          <cell r="P157" t="str">
            <v>CARLOS HERNANDO SANDOVAL MORA</v>
          </cell>
          <cell r="Q157" t="str">
            <v>CONTRATO DE PRESTACION DE SERVICIOS PROFESIONALES</v>
          </cell>
          <cell r="R157">
            <v>85</v>
          </cell>
          <cell r="S157" t="str">
            <v>VIGENTE</v>
          </cell>
          <cell r="T157">
            <v>4880000</v>
          </cell>
        </row>
        <row r="158">
          <cell r="N158">
            <v>84</v>
          </cell>
          <cell r="O158">
            <v>92</v>
          </cell>
          <cell r="P158" t="str">
            <v>JOSE ANTONIO RAMIREZ OROZCO</v>
          </cell>
          <cell r="Q158" t="str">
            <v>CONTRATO DE PRESTACION DE SERVICIOS PROFESIONALES</v>
          </cell>
          <cell r="R158">
            <v>86</v>
          </cell>
          <cell r="S158" t="str">
            <v>VIGENTE</v>
          </cell>
          <cell r="T158">
            <v>6000000</v>
          </cell>
        </row>
        <row r="159">
          <cell r="N159">
            <v>55</v>
          </cell>
          <cell r="O159">
            <v>69</v>
          </cell>
          <cell r="P159" t="str">
            <v>JEIMMY SOLEY QUIROGA RAMIREZ</v>
          </cell>
          <cell r="Q159" t="str">
            <v>CONTRATO DE PRESTACION DE SERVICIOS DE APOYO A LA GESTION</v>
          </cell>
          <cell r="R159">
            <v>87</v>
          </cell>
          <cell r="S159" t="str">
            <v>VIGENTE</v>
          </cell>
          <cell r="T159">
            <v>3700000</v>
          </cell>
        </row>
        <row r="160">
          <cell r="N160">
            <v>112</v>
          </cell>
          <cell r="O160">
            <v>87</v>
          </cell>
          <cell r="P160" t="str">
            <v>JUAN CARLOS ALVARADO PEÑA</v>
          </cell>
          <cell r="Q160" t="str">
            <v>CONTRATO DE PRESTACION DE SERVICIOS DE APOYO A LA GESTION</v>
          </cell>
          <cell r="R160">
            <v>88</v>
          </cell>
          <cell r="S160" t="str">
            <v>VIGENTE</v>
          </cell>
          <cell r="T160">
            <v>3090000</v>
          </cell>
        </row>
        <row r="161">
          <cell r="N161">
            <v>151</v>
          </cell>
          <cell r="O161">
            <v>125</v>
          </cell>
          <cell r="P161" t="str">
            <v>MILLER ALEJANDRO CASTRO PEREZ</v>
          </cell>
          <cell r="Q161" t="str">
            <v>CONTRATO DE PRESTACION DE SERVICIOS PROFESIONALES</v>
          </cell>
          <cell r="R161">
            <v>89</v>
          </cell>
          <cell r="S161" t="str">
            <v>VIGENTE</v>
          </cell>
          <cell r="T161">
            <v>5240000</v>
          </cell>
        </row>
        <row r="162">
          <cell r="N162">
            <v>149</v>
          </cell>
          <cell r="O162">
            <v>124</v>
          </cell>
          <cell r="P162" t="str">
            <v>CHARLY ALEXANDER ROCIASCO MENDEZ</v>
          </cell>
          <cell r="Q162" t="str">
            <v>CONTRATO DE PRESTACION DE SERVICIOS PROFESIONALES</v>
          </cell>
          <cell r="R162">
            <v>91</v>
          </cell>
          <cell r="S162" t="str">
            <v>VIGENTE</v>
          </cell>
          <cell r="T162">
            <v>7000000</v>
          </cell>
        </row>
        <row r="163">
          <cell r="N163">
            <v>93</v>
          </cell>
          <cell r="O163">
            <v>144</v>
          </cell>
          <cell r="P163" t="str">
            <v>EDWIN ARTURO RUIZ MORENO</v>
          </cell>
          <cell r="Q163" t="str">
            <v>CONTRATO DE PRESTACION DE SERVICIOS PROFESIONALES</v>
          </cell>
          <cell r="R163">
            <v>109</v>
          </cell>
          <cell r="S163" t="str">
            <v>VIGENTE</v>
          </cell>
          <cell r="T163">
            <v>8030000</v>
          </cell>
        </row>
        <row r="164">
          <cell r="N164">
            <v>116</v>
          </cell>
          <cell r="O164">
            <v>101</v>
          </cell>
          <cell r="P164" t="str">
            <v>LUIS CARLOS YUSTY TRUJILLO</v>
          </cell>
          <cell r="Q164" t="str">
            <v>CONTRATO DE PRESTACION DE SERVICIOS PROFESIONALES</v>
          </cell>
          <cell r="R164">
            <v>113</v>
          </cell>
          <cell r="S164" t="str">
            <v>VIGENTE</v>
          </cell>
          <cell r="T164">
            <v>5670000</v>
          </cell>
        </row>
        <row r="165">
          <cell r="N165">
            <v>94</v>
          </cell>
          <cell r="O165">
            <v>126</v>
          </cell>
          <cell r="P165" t="str">
            <v>MARIELA  CAJAMARCA DIAZ</v>
          </cell>
          <cell r="Q165" t="str">
            <v>CONTRATO DE PRESTACION DE SERVICIOS DE APOYO A LA GESTION</v>
          </cell>
          <cell r="R165">
            <v>114</v>
          </cell>
          <cell r="S165" t="str">
            <v>VIGENTE</v>
          </cell>
          <cell r="T165">
            <v>3480000</v>
          </cell>
        </row>
        <row r="166">
          <cell r="N166">
            <v>128</v>
          </cell>
          <cell r="O166">
            <v>105</v>
          </cell>
          <cell r="P166" t="str">
            <v>JUAN ANDRES POVEDA RIAÑO</v>
          </cell>
          <cell r="Q166" t="str">
            <v>CONTRATO DE PRESTACION DE SERVICIOS DE APOYO A LA GESTION</v>
          </cell>
          <cell r="R166">
            <v>121</v>
          </cell>
          <cell r="S166" t="str">
            <v>VIGENTE</v>
          </cell>
          <cell r="T166">
            <v>2320000</v>
          </cell>
        </row>
        <row r="167">
          <cell r="N167">
            <v>68</v>
          </cell>
          <cell r="O167">
            <v>148</v>
          </cell>
          <cell r="P167" t="str">
            <v>EDNA CAMILA DEL CONSUELO ACERO TINOCO</v>
          </cell>
          <cell r="Q167" t="str">
            <v>CONTRATO DE PRESTACION DE SERVICIOS PROFESIONALES</v>
          </cell>
          <cell r="R167">
            <v>129</v>
          </cell>
          <cell r="S167" t="str">
            <v>VIGENTE</v>
          </cell>
          <cell r="T167">
            <v>3700000</v>
          </cell>
        </row>
        <row r="168">
          <cell r="N168">
            <v>70</v>
          </cell>
          <cell r="O168">
            <v>151</v>
          </cell>
          <cell r="P168" t="str">
            <v>NATALIA  TORRES GARZON</v>
          </cell>
          <cell r="Q168" t="str">
            <v>CONTRATO DE PRESTACION DE SERVICIOS PROFESIONALES</v>
          </cell>
          <cell r="R168">
            <v>130</v>
          </cell>
          <cell r="S168" t="str">
            <v>VIGENTE</v>
          </cell>
          <cell r="T168">
            <v>3700000</v>
          </cell>
        </row>
        <row r="169">
          <cell r="N169">
            <v>95</v>
          </cell>
          <cell r="O169">
            <v>149</v>
          </cell>
          <cell r="P169" t="str">
            <v>JAIBER ALFONSO SARMIENTO RUIZ</v>
          </cell>
          <cell r="Q169" t="str">
            <v>CONTRATO DE PRESTACION DE SERVICIOS DE APOYO A LA GESTION</v>
          </cell>
          <cell r="R169">
            <v>131</v>
          </cell>
          <cell r="S169" t="str">
            <v>VIGENTE</v>
          </cell>
          <cell r="T169">
            <v>3480000</v>
          </cell>
        </row>
        <row r="170">
          <cell r="N170">
            <v>96</v>
          </cell>
          <cell r="O170">
            <v>142</v>
          </cell>
          <cell r="P170" t="str">
            <v>camilo andres moreno malagon</v>
          </cell>
          <cell r="Q170" t="str">
            <v>CONTRATO DE PRESTACION DE SERVICIOS DE APOYO A LA GESTION</v>
          </cell>
          <cell r="R170">
            <v>132</v>
          </cell>
          <cell r="S170" t="str">
            <v>VIGENTE</v>
          </cell>
          <cell r="T170">
            <v>2680000</v>
          </cell>
        </row>
        <row r="171">
          <cell r="N171">
            <v>79</v>
          </cell>
          <cell r="O171">
            <v>150</v>
          </cell>
          <cell r="P171" t="str">
            <v>JENNY GISELL QUEVEDO QUEVEDO</v>
          </cell>
          <cell r="Q171" t="str">
            <v>CONTRATO DE PRESTACION DE SERVICIOS PROFESIONALES</v>
          </cell>
          <cell r="R171">
            <v>133</v>
          </cell>
          <cell r="S171" t="str">
            <v>VIGENTE</v>
          </cell>
          <cell r="T171">
            <v>4500000</v>
          </cell>
        </row>
        <row r="172">
          <cell r="N172">
            <v>154</v>
          </cell>
          <cell r="O172">
            <v>146</v>
          </cell>
          <cell r="P172" t="str">
            <v xml:space="preserve">NANCY  ZAMORA </v>
          </cell>
          <cell r="Q172" t="str">
            <v>CONTRATO DE PRESTACION DE SERVICIOS DE APOYO A LA GESTION</v>
          </cell>
          <cell r="R172">
            <v>134</v>
          </cell>
          <cell r="S172" t="str">
            <v>VIGENTE</v>
          </cell>
          <cell r="T172">
            <v>3300000</v>
          </cell>
        </row>
        <row r="173">
          <cell r="N173">
            <v>152</v>
          </cell>
          <cell r="O173">
            <v>143</v>
          </cell>
          <cell r="P173" t="str">
            <v>MARIA CRISTINA SALINAS RUIZ</v>
          </cell>
          <cell r="Q173" t="str">
            <v>CONTRATO DE PRESTACION DE SERVICIOS PROFESIONALES</v>
          </cell>
          <cell r="R173">
            <v>136</v>
          </cell>
          <cell r="S173" t="str">
            <v>VIGENTE</v>
          </cell>
          <cell r="T173">
            <v>5150000</v>
          </cell>
        </row>
        <row r="174">
          <cell r="N174">
            <v>153</v>
          </cell>
          <cell r="O174">
            <v>147</v>
          </cell>
          <cell r="P174" t="str">
            <v>NUBIA STELLA LIZARAZO SIERRA</v>
          </cell>
          <cell r="Q174" t="str">
            <v>CONTRATO DE PRESTACION DE SERVICIOS PROFESIONALES</v>
          </cell>
          <cell r="R174">
            <v>137</v>
          </cell>
          <cell r="S174" t="str">
            <v>VIGENTE</v>
          </cell>
          <cell r="T174">
            <v>3700000</v>
          </cell>
        </row>
        <row r="175">
          <cell r="N175">
            <v>159</v>
          </cell>
          <cell r="O175">
            <v>25</v>
          </cell>
          <cell r="P175" t="str">
            <v xml:space="preserve">TECHNOLOGY WORLD GROUP SAS   </v>
          </cell>
          <cell r="Q175" t="str">
            <v>CONTRATO DE PRESTACION DE SERVICIOS</v>
          </cell>
          <cell r="R175">
            <v>138</v>
          </cell>
          <cell r="S175" t="str">
            <v>VIGENTE</v>
          </cell>
          <cell r="T175">
            <v>5280030</v>
          </cell>
        </row>
        <row r="176">
          <cell r="N176">
            <v>186</v>
          </cell>
          <cell r="O176">
            <v>152</v>
          </cell>
          <cell r="P176" t="str">
            <v>SANDRA PATRICIA PALACIOS ARCE</v>
          </cell>
          <cell r="Q176" t="str">
            <v>CONTRATO DE PRESTACION DE SERVICIOS DE APOYO A LA GESTION</v>
          </cell>
          <cell r="R176">
            <v>139</v>
          </cell>
          <cell r="S176" t="str">
            <v>VIGENTE</v>
          </cell>
          <cell r="T176">
            <v>3700000</v>
          </cell>
        </row>
        <row r="177">
          <cell r="N177">
            <v>160</v>
          </cell>
          <cell r="O177">
            <v>166</v>
          </cell>
          <cell r="P177" t="str">
            <v>MONICA  PALACIOS OVIEDO</v>
          </cell>
          <cell r="Q177" t="str">
            <v>CONTRATO DE PRESTACION DE SERVICIOS PROFESIONALES</v>
          </cell>
          <cell r="R177">
            <v>140</v>
          </cell>
          <cell r="S177" t="str">
            <v>VIGENTE</v>
          </cell>
          <cell r="T177">
            <v>7000000</v>
          </cell>
        </row>
        <row r="178">
          <cell r="N178">
            <v>171</v>
          </cell>
          <cell r="O178">
            <v>145</v>
          </cell>
          <cell r="P178" t="str">
            <v>LUZ MARINA ZAPATA FLOREZ</v>
          </cell>
          <cell r="Q178" t="str">
            <v>CONTRATO DE PRESTACION DE SERVICIOS DE APOYO A LA GESTION</v>
          </cell>
          <cell r="R178">
            <v>151</v>
          </cell>
          <cell r="S178" t="str">
            <v>VIGENTE</v>
          </cell>
          <cell r="T178">
            <v>2700000</v>
          </cell>
        </row>
        <row r="179">
          <cell r="N179">
            <v>178</v>
          </cell>
          <cell r="O179">
            <v>181</v>
          </cell>
          <cell r="P179" t="str">
            <v>DEBORATH LUCIA GASCON OLARTE</v>
          </cell>
          <cell r="Q179" t="str">
            <v>CONTRATO DE PRESTACION DE SERVICIOS PROFESIONALES</v>
          </cell>
          <cell r="R179">
            <v>161</v>
          </cell>
          <cell r="S179" t="str">
            <v>VIGENTE</v>
          </cell>
          <cell r="T179">
            <v>5360000</v>
          </cell>
        </row>
        <row r="180">
          <cell r="N180">
            <v>207</v>
          </cell>
          <cell r="O180">
            <v>226</v>
          </cell>
          <cell r="P180" t="str">
            <v xml:space="preserve">JHON  GUAQUE </v>
          </cell>
          <cell r="Q180" t="str">
            <v>CONTRATO DE PRESTACION DE SERVICIOS DE APOYO A LA GESTION</v>
          </cell>
          <cell r="R180">
            <v>167</v>
          </cell>
          <cell r="S180" t="str">
            <v>VIGENTE</v>
          </cell>
          <cell r="T180">
            <v>3700000</v>
          </cell>
        </row>
        <row r="181">
          <cell r="N181">
            <v>195</v>
          </cell>
          <cell r="O181">
            <v>182</v>
          </cell>
          <cell r="P181" t="str">
            <v>MARIA ISABEL VANEGAS SILVA</v>
          </cell>
          <cell r="Q181" t="str">
            <v>CONTRATO DE PRESTACION DE SERVICIOS PROFESIONALES</v>
          </cell>
          <cell r="R181">
            <v>172</v>
          </cell>
          <cell r="S181" t="str">
            <v>VIGENTE</v>
          </cell>
          <cell r="T181">
            <v>5680000</v>
          </cell>
        </row>
        <row r="182">
          <cell r="N182">
            <v>185</v>
          </cell>
          <cell r="O182">
            <v>141</v>
          </cell>
          <cell r="P182" t="str">
            <v>EDGAR ANDRES MONCADA RUBIO</v>
          </cell>
          <cell r="Q182" t="str">
            <v>CONTRATO DE PRESTACION DE SERVICIOS DE APOYO A LA GESTION</v>
          </cell>
          <cell r="R182">
            <v>175</v>
          </cell>
          <cell r="S182" t="str">
            <v>VIGENTE</v>
          </cell>
          <cell r="T182">
            <v>2700000</v>
          </cell>
        </row>
        <row r="183">
          <cell r="N183">
            <v>215</v>
          </cell>
          <cell r="O183">
            <v>57</v>
          </cell>
          <cell r="P183" t="str">
            <v>GIOVANNA  MORALES AGUIRRE</v>
          </cell>
          <cell r="Q183" t="str">
            <v>CONTRATO DE PRESTACION DE SERVICIOS PROFESIONALES</v>
          </cell>
          <cell r="R183">
            <v>186</v>
          </cell>
          <cell r="S183" t="str">
            <v>VIGENTE</v>
          </cell>
          <cell r="T183">
            <v>7000000</v>
          </cell>
        </row>
        <row r="184">
          <cell r="N184">
            <v>222</v>
          </cell>
          <cell r="O184">
            <v>240</v>
          </cell>
          <cell r="P184" t="str">
            <v>LINA MARIA MORENO MALAGON</v>
          </cell>
          <cell r="Q184" t="str">
            <v>CONTRATO DE PRESTACION DE SERVICIOS DE APOYO A LA GESTION</v>
          </cell>
          <cell r="R184">
            <v>189</v>
          </cell>
          <cell r="S184" t="str">
            <v>VIGENTE</v>
          </cell>
          <cell r="T184">
            <v>2870000</v>
          </cell>
        </row>
        <row r="185">
          <cell r="N185">
            <v>205</v>
          </cell>
          <cell r="O185">
            <v>238</v>
          </cell>
          <cell r="P185" t="str">
            <v>YULY ALEJANDRA MORALES TREJOS</v>
          </cell>
          <cell r="Q185" t="str">
            <v>CONTRATO DE PRESTACION DE SERVICIOS PROFESIONALES</v>
          </cell>
          <cell r="R185">
            <v>193</v>
          </cell>
          <cell r="S185" t="str">
            <v>VIGENTE</v>
          </cell>
          <cell r="T185">
            <v>3700000</v>
          </cell>
        </row>
        <row r="186">
          <cell r="N186">
            <v>204</v>
          </cell>
          <cell r="O186">
            <v>239</v>
          </cell>
          <cell r="P186" t="str">
            <v>ALBERTO ANDRES GOMEZ MOSQUERA</v>
          </cell>
          <cell r="Q186" t="str">
            <v>CONTRATO DE PRESTACION DE SERVICIOS PROFESIONALES</v>
          </cell>
          <cell r="R186">
            <v>194</v>
          </cell>
          <cell r="S186" t="str">
            <v>VIGENTE</v>
          </cell>
          <cell r="T186">
            <v>7500000</v>
          </cell>
        </row>
        <row r="187">
          <cell r="N187">
            <v>233</v>
          </cell>
          <cell r="O187">
            <v>245</v>
          </cell>
          <cell r="P187" t="str">
            <v>GINNA MICHELL SUAREZ ALARCON</v>
          </cell>
          <cell r="Q187" t="str">
            <v>CONTRATO DE PRESTACION DE SERVICIOS DE APOYO A LA GESTION</v>
          </cell>
          <cell r="R187">
            <v>211</v>
          </cell>
          <cell r="S187" t="str">
            <v>VIGENTE</v>
          </cell>
          <cell r="T187">
            <v>2060000</v>
          </cell>
        </row>
        <row r="188">
          <cell r="N188">
            <v>267</v>
          </cell>
          <cell r="O188">
            <v>267</v>
          </cell>
          <cell r="P188" t="str">
            <v>VICTORIA ANDREA MUÑOZ ORDOÑEZ</v>
          </cell>
          <cell r="Q188" t="str">
            <v>CONTRATO DE PRESTACION DE SERVICIOS PROFESIONALES</v>
          </cell>
          <cell r="R188">
            <v>234</v>
          </cell>
          <cell r="S188" t="str">
            <v>VIGENTE</v>
          </cell>
          <cell r="T188">
            <v>3700000</v>
          </cell>
        </row>
        <row r="189">
          <cell r="N189">
            <v>266</v>
          </cell>
          <cell r="O189">
            <v>100</v>
          </cell>
          <cell r="P189" t="str">
            <v>MARY ELIZABETH ROJAS MUÑOZ</v>
          </cell>
          <cell r="Q189" t="str">
            <v>CONTRATO DE PRESTACION DE SERVICIOS PROFESIONALES</v>
          </cell>
          <cell r="R189">
            <v>235</v>
          </cell>
          <cell r="S189" t="str">
            <v>VIGENTE</v>
          </cell>
          <cell r="T189">
            <v>4120000</v>
          </cell>
        </row>
        <row r="190">
          <cell r="N190">
            <v>263</v>
          </cell>
          <cell r="O190">
            <v>260</v>
          </cell>
          <cell r="P190" t="str">
            <v xml:space="preserve">LAURA FLAVIE ZIMMERMANN </v>
          </cell>
          <cell r="Q190" t="str">
            <v>CONTRATO DE PRESTACION DE SERVICIOS PROFESIONALES</v>
          </cell>
          <cell r="R190">
            <v>236</v>
          </cell>
          <cell r="S190" t="str">
            <v>VIGENTE</v>
          </cell>
          <cell r="T190">
            <v>8500000</v>
          </cell>
        </row>
        <row r="191">
          <cell r="N191">
            <v>278</v>
          </cell>
          <cell r="O191">
            <v>271</v>
          </cell>
          <cell r="P191" t="str">
            <v>RAMON EDUARDO VILLAMIZAR MALDONADO</v>
          </cell>
          <cell r="Q191" t="str">
            <v>CONTRATO DE PRESTACION DE SERVICIOS PROFESIONALES</v>
          </cell>
          <cell r="R191">
            <v>246</v>
          </cell>
          <cell r="S191" t="str">
            <v>VIGENTE</v>
          </cell>
          <cell r="T191">
            <v>5700000</v>
          </cell>
        </row>
        <row r="192">
          <cell r="N192">
            <v>322</v>
          </cell>
          <cell r="O192">
            <v>297</v>
          </cell>
          <cell r="P192" t="str">
            <v>SANDRA CAROLINA NORIEGA AGUILAR</v>
          </cell>
          <cell r="Q192" t="str">
            <v>CONTRATO DE PRESTACION DE SERVICIOS PROFESIONALES</v>
          </cell>
          <cell r="R192">
            <v>257</v>
          </cell>
          <cell r="S192" t="str">
            <v>VIGENTE</v>
          </cell>
          <cell r="T192">
            <v>5200000</v>
          </cell>
        </row>
        <row r="193">
          <cell r="N193">
            <v>325</v>
          </cell>
          <cell r="O193">
            <v>318</v>
          </cell>
          <cell r="P193" t="str">
            <v>DANILO  SANCHEZ SUARIQUE</v>
          </cell>
          <cell r="Q193" t="str">
            <v>CONTRATO DE PRESTACION DE SERVICIOS PROFESIONALES</v>
          </cell>
          <cell r="R193">
            <v>272</v>
          </cell>
          <cell r="S193" t="str">
            <v>VIGENTE</v>
          </cell>
          <cell r="T193">
            <v>4193333</v>
          </cell>
        </row>
        <row r="194">
          <cell r="N194">
            <v>330</v>
          </cell>
          <cell r="O194">
            <v>324</v>
          </cell>
          <cell r="P194" t="str">
            <v>ANA MILENA PRADA URIBE</v>
          </cell>
          <cell r="Q194" t="str">
            <v>CONTRATO DE PRESTACION DE SERVICIOS PROFESIONALES</v>
          </cell>
          <cell r="R194">
            <v>275</v>
          </cell>
          <cell r="S194" t="str">
            <v>VIGENTE</v>
          </cell>
          <cell r="T194">
            <v>1720000</v>
          </cell>
        </row>
        <row r="195">
          <cell r="N195">
            <v>332</v>
          </cell>
          <cell r="O195">
            <v>322</v>
          </cell>
          <cell r="P195" t="str">
            <v>YULI ANDREA MAHECHA REINA</v>
          </cell>
          <cell r="Q195" t="str">
            <v>CONTRATO DE PRESTACION DE SERVICIOS PROFESIONALES</v>
          </cell>
          <cell r="R195">
            <v>277</v>
          </cell>
          <cell r="S195" t="str">
            <v>VIGENTE</v>
          </cell>
          <cell r="T195">
            <v>4940000</v>
          </cell>
        </row>
        <row r="196">
          <cell r="N196">
            <v>339</v>
          </cell>
          <cell r="O196">
            <v>323</v>
          </cell>
          <cell r="P196" t="str">
            <v>FERNANDO AUGUSTO VERGARA GARCIA</v>
          </cell>
          <cell r="Q196" t="str">
            <v>CONTRATO DE PRESTACION DE SERVICIOS PROFESIONALES</v>
          </cell>
          <cell r="R196">
            <v>278</v>
          </cell>
          <cell r="S196" t="str">
            <v>VIGENTE</v>
          </cell>
          <cell r="T196">
            <v>4940000</v>
          </cell>
        </row>
        <row r="197">
          <cell r="N197">
            <v>365</v>
          </cell>
          <cell r="O197">
            <v>360</v>
          </cell>
          <cell r="P197" t="str">
            <v>ALEXANDRA NAYIBE RUBIO RODRIGUEZ</v>
          </cell>
          <cell r="Q197" t="str">
            <v>CONTRATO DE PRESTACION DE SERVICIOS PROFESIONALES</v>
          </cell>
          <cell r="R197">
            <v>290</v>
          </cell>
          <cell r="S197" t="str">
            <v>VIGENTE</v>
          </cell>
          <cell r="T197">
            <v>2096667</v>
          </cell>
        </row>
        <row r="198">
          <cell r="N198">
            <v>379</v>
          </cell>
          <cell r="O198">
            <v>367</v>
          </cell>
          <cell r="P198" t="str">
            <v>FREDY ANDRES USAQUEN AGUIRRE</v>
          </cell>
          <cell r="Q198" t="str">
            <v>CONTRATO DE PRESTACION DE SERVICIOS PROFESIONALES</v>
          </cell>
          <cell r="R198">
            <v>296</v>
          </cell>
          <cell r="S198" t="str">
            <v>VIGENTE</v>
          </cell>
          <cell r="T198">
            <v>2000000</v>
          </cell>
        </row>
        <row r="199">
          <cell r="N199">
            <v>183</v>
          </cell>
          <cell r="O199">
            <v>155</v>
          </cell>
          <cell r="P199" t="str">
            <v xml:space="preserve">UNION TEMPORAL ANE 2018   </v>
          </cell>
          <cell r="Q199" t="str">
            <v>CONTRATO DE PRESTACION DE SERVICIOS</v>
          </cell>
          <cell r="R199">
            <v>305</v>
          </cell>
          <cell r="S199" t="str">
            <v>VIGENTE</v>
          </cell>
          <cell r="T199">
            <v>56611306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63">
          <cell r="N63">
            <v>141</v>
          </cell>
          <cell r="O63">
            <v>12</v>
          </cell>
          <cell r="P63" t="str">
            <v>yenifer andrea lagos bueno</v>
          </cell>
          <cell r="Q63" t="str">
            <v>CONTRATO DE PRESTACION DE SERVICIOS PROFESIONALES</v>
          </cell>
          <cell r="R63">
            <v>55</v>
          </cell>
          <cell r="S63" t="str">
            <v>VIGENTE</v>
          </cell>
          <cell r="T63">
            <v>3700000</v>
          </cell>
        </row>
        <row r="64">
          <cell r="N64">
            <v>138</v>
          </cell>
          <cell r="O64">
            <v>33</v>
          </cell>
          <cell r="P64" t="str">
            <v>MONICA  COY DE MARQUEZ</v>
          </cell>
          <cell r="Q64" t="str">
            <v>CONTRATO DE PRESTACION DE SERVICIOS PROFESIONALES</v>
          </cell>
          <cell r="R64">
            <v>39</v>
          </cell>
          <cell r="S64" t="str">
            <v>VIGENTE</v>
          </cell>
          <cell r="T64">
            <v>4640000</v>
          </cell>
        </row>
        <row r="65">
          <cell r="N65">
            <v>298</v>
          </cell>
          <cell r="O65">
            <v>308</v>
          </cell>
          <cell r="P65" t="str">
            <v>JULIAN  VALENCIA SANTOYO</v>
          </cell>
          <cell r="Q65" t="str">
            <v>CONTRATO DE PRESTACION DE SERVICIOS DE APOYO A LA GESTION</v>
          </cell>
          <cell r="R65">
            <v>260</v>
          </cell>
          <cell r="S65" t="str">
            <v>VIGENTE</v>
          </cell>
          <cell r="T65">
            <v>2625000</v>
          </cell>
        </row>
        <row r="66">
          <cell r="N66">
            <v>66</v>
          </cell>
          <cell r="O66">
            <v>15</v>
          </cell>
          <cell r="P66" t="str">
            <v>EFRAIN JOSE CANEDO CASTRO</v>
          </cell>
          <cell r="Q66" t="str">
            <v>CONTRATO DE PRESTACION DE SERVICIOS PROFESIONALES</v>
          </cell>
          <cell r="R66">
            <v>61</v>
          </cell>
          <cell r="S66" t="str">
            <v>VIGENTE</v>
          </cell>
          <cell r="T66">
            <v>4120000</v>
          </cell>
        </row>
        <row r="67">
          <cell r="N67">
            <v>280</v>
          </cell>
          <cell r="O67">
            <v>252</v>
          </cell>
          <cell r="P67" t="str">
            <v>CLAUDIA PATRICIA SILVA YEPES</v>
          </cell>
          <cell r="Q67" t="str">
            <v>CONTRATO DE PRESTACION DE SERVICIOS PROFESIONALES</v>
          </cell>
          <cell r="R67">
            <v>230</v>
          </cell>
          <cell r="S67" t="str">
            <v>VIGENTE</v>
          </cell>
          <cell r="T67">
            <v>8000000</v>
          </cell>
        </row>
        <row r="68">
          <cell r="N68">
            <v>52</v>
          </cell>
          <cell r="O68">
            <v>5</v>
          </cell>
          <cell r="P68" t="str">
            <v>DIEGO IVAN MENESES FIGUEROA</v>
          </cell>
          <cell r="Q68" t="str">
            <v>CONTRATO DE PRESTACION DE SERVICIOS PROFESIONALES</v>
          </cell>
          <cell r="R68">
            <v>44</v>
          </cell>
          <cell r="S68" t="str">
            <v>VIGENTE</v>
          </cell>
          <cell r="T68">
            <v>5500000</v>
          </cell>
        </row>
        <row r="69">
          <cell r="N69">
            <v>150</v>
          </cell>
          <cell r="O69">
            <v>7</v>
          </cell>
          <cell r="P69" t="str">
            <v>ANA GABRIELA PINILLA GONZALEZ</v>
          </cell>
          <cell r="Q69" t="str">
            <v>CONTRATO DE PRESTACION DE SERVICIOS PROFESIONALES</v>
          </cell>
          <cell r="R69">
            <v>45</v>
          </cell>
          <cell r="S69" t="str">
            <v>VIGENTE</v>
          </cell>
          <cell r="T69">
            <v>5500000</v>
          </cell>
        </row>
        <row r="70">
          <cell r="N70">
            <v>139</v>
          </cell>
          <cell r="O70">
            <v>17</v>
          </cell>
          <cell r="P70" t="str">
            <v>ANDREA YIZETH CESPEDES VILLAR</v>
          </cell>
          <cell r="Q70" t="str">
            <v>CONTRATO DE PRESTACION DE SERVICIOS PROFESIONALES</v>
          </cell>
          <cell r="R70">
            <v>60</v>
          </cell>
          <cell r="S70" t="str">
            <v>VIGENTE</v>
          </cell>
          <cell r="T70">
            <v>4120000</v>
          </cell>
        </row>
        <row r="71">
          <cell r="N71">
            <v>39</v>
          </cell>
          <cell r="O71">
            <v>16</v>
          </cell>
          <cell r="P71" t="str">
            <v>LAURA ANGELICA MORENO LEMUS</v>
          </cell>
          <cell r="Q71" t="str">
            <v>CONTRATO DE PRESTACION DE SERVICIOS PROFESIONALES</v>
          </cell>
          <cell r="R71">
            <v>49</v>
          </cell>
          <cell r="S71" t="str">
            <v>VIGENTE</v>
          </cell>
          <cell r="T71">
            <v>4120000</v>
          </cell>
        </row>
        <row r="72">
          <cell r="N72">
            <v>77</v>
          </cell>
          <cell r="O72">
            <v>14</v>
          </cell>
          <cell r="P72" t="str">
            <v>JAVIER FERNANDO MATEUS TOVAR</v>
          </cell>
          <cell r="Q72" t="str">
            <v>CONTRATO DE PRESTACION DE SERVICIOS PROFESIONALES</v>
          </cell>
          <cell r="R72">
            <v>52</v>
          </cell>
          <cell r="S72" t="str">
            <v>VIGENTE</v>
          </cell>
          <cell r="T72">
            <v>4120000</v>
          </cell>
        </row>
        <row r="73">
          <cell r="N73">
            <v>45</v>
          </cell>
          <cell r="O73">
            <v>11</v>
          </cell>
          <cell r="P73" t="str">
            <v>johan camilo prieto carreño</v>
          </cell>
          <cell r="Q73" t="str">
            <v>CONTRATO DE PRESTACION DE SERVICIOS PROFESIONALES</v>
          </cell>
          <cell r="R73">
            <v>56</v>
          </cell>
          <cell r="S73" t="str">
            <v>VIGENTE</v>
          </cell>
          <cell r="T73">
            <v>3700000</v>
          </cell>
        </row>
        <row r="74">
          <cell r="N74">
            <v>44</v>
          </cell>
          <cell r="O74">
            <v>9</v>
          </cell>
          <cell r="P74" t="str">
            <v>JUAN PABLO SANCHEZ CHAVES</v>
          </cell>
          <cell r="Q74" t="str">
            <v>CONTRATO DE PRESTACION DE SERVICIOS PROFESIONALES</v>
          </cell>
          <cell r="R74">
            <v>53</v>
          </cell>
          <cell r="S74" t="str">
            <v>VIGENTE</v>
          </cell>
          <cell r="T74">
            <v>3700000</v>
          </cell>
        </row>
        <row r="75">
          <cell r="N75">
            <v>136</v>
          </cell>
          <cell r="O75">
            <v>13</v>
          </cell>
          <cell r="P75" t="str">
            <v>CAMILO ANDRES BECERRA SANCHEZ</v>
          </cell>
          <cell r="Q75" t="str">
            <v>CONTRATO DE PRESTACION DE SERVICIOS PROFESIONALES</v>
          </cell>
          <cell r="R75">
            <v>62</v>
          </cell>
          <cell r="S75" t="str">
            <v>VIGENTE</v>
          </cell>
          <cell r="T75">
            <v>3700000</v>
          </cell>
        </row>
        <row r="76">
          <cell r="N76">
            <v>35</v>
          </cell>
          <cell r="O76">
            <v>10</v>
          </cell>
          <cell r="P76" t="str">
            <v>JUAN JOSE ALVEAR MEJIA</v>
          </cell>
          <cell r="Q76" t="str">
            <v>CONTRATO DE PRESTACION DE SERVICIOS PROFESIONALES</v>
          </cell>
          <cell r="R76">
            <v>48</v>
          </cell>
          <cell r="S76" t="str">
            <v>VIGENTE</v>
          </cell>
          <cell r="T76">
            <v>3700000</v>
          </cell>
        </row>
        <row r="77">
          <cell r="N77">
            <v>67</v>
          </cell>
          <cell r="O77">
            <v>32</v>
          </cell>
          <cell r="P77" t="str">
            <v>NATALIA  ACHIARDI ORTIZ</v>
          </cell>
          <cell r="Q77" t="str">
            <v>CONTRATO DE PRESTACION DE SERVICIOS PROFESIONALES</v>
          </cell>
          <cell r="R77">
            <v>47</v>
          </cell>
          <cell r="S77" t="str">
            <v>VIGENTE</v>
          </cell>
          <cell r="T77">
            <v>3800000</v>
          </cell>
        </row>
        <row r="78">
          <cell r="N78">
            <v>366</v>
          </cell>
          <cell r="O78">
            <v>358</v>
          </cell>
          <cell r="P78" t="str">
            <v>MAGDA FABIOLA ROJAS RAMIREZ</v>
          </cell>
          <cell r="Q78" t="str">
            <v>CONTRATO DE PRESTACION DE SERVICIOS PROFESIONALES</v>
          </cell>
          <cell r="R78">
            <v>294</v>
          </cell>
          <cell r="S78" t="str">
            <v>VIGENTE</v>
          </cell>
          <cell r="T78">
            <v>2153333</v>
          </cell>
        </row>
        <row r="79">
          <cell r="N79">
            <v>137</v>
          </cell>
          <cell r="O79">
            <v>73</v>
          </cell>
          <cell r="P79" t="str">
            <v>PAOLA ALEJANDRA BUITRAGO CORTES</v>
          </cell>
          <cell r="Q79" t="str">
            <v>CONTRATO DE PRESTACION DE SERVICIOS PROFESIONALES</v>
          </cell>
          <cell r="R79">
            <v>79</v>
          </cell>
          <cell r="S79" t="str">
            <v>VIGENTE</v>
          </cell>
          <cell r="T79">
            <v>7000000</v>
          </cell>
        </row>
        <row r="80">
          <cell r="N80">
            <v>43</v>
          </cell>
          <cell r="O80">
            <v>72</v>
          </cell>
          <cell r="P80" t="str">
            <v>SHARON NATHALY BALLESTEROS SUAREZ</v>
          </cell>
          <cell r="Q80" t="str">
            <v>CONTRATO DE PRESTACION DE SERVICIOS PROFESIONALES</v>
          </cell>
          <cell r="R80">
            <v>54</v>
          </cell>
          <cell r="S80" t="str">
            <v>VIGENTE</v>
          </cell>
          <cell r="T80">
            <v>4060000</v>
          </cell>
        </row>
        <row r="81">
          <cell r="N81">
            <v>100</v>
          </cell>
          <cell r="O81">
            <v>30</v>
          </cell>
          <cell r="P81" t="str">
            <v>CARLOS ERNESTO LINCE RODRIGUEZ</v>
          </cell>
          <cell r="Q81" t="str">
            <v>CONTRATO DE PRESTACION DE SERVICIOS PROFESIONALES</v>
          </cell>
          <cell r="R81">
            <v>36</v>
          </cell>
          <cell r="S81" t="str">
            <v>VIGENTE</v>
          </cell>
          <cell r="T81">
            <v>5540000</v>
          </cell>
        </row>
        <row r="82">
          <cell r="N82">
            <v>364</v>
          </cell>
          <cell r="O82">
            <v>364</v>
          </cell>
          <cell r="P82" t="str">
            <v>ANA MARCELA CASTRO GONZALEZ</v>
          </cell>
          <cell r="Q82" t="str">
            <v>CONTRATO DE PRESTACION DE SERVICIOS PROFESIONALES</v>
          </cell>
          <cell r="R82">
            <v>288</v>
          </cell>
          <cell r="S82" t="str">
            <v>VIGENTE</v>
          </cell>
          <cell r="T82">
            <v>2253333</v>
          </cell>
        </row>
        <row r="83">
          <cell r="N83">
            <v>135</v>
          </cell>
          <cell r="O83">
            <v>31</v>
          </cell>
          <cell r="P83" t="str">
            <v>Jorge Eliecer Rodriguez Casallas</v>
          </cell>
          <cell r="Q83" t="str">
            <v>CONTRATO DE PRESTACION DE SERVICIOS PROFESIONALES</v>
          </cell>
          <cell r="R83">
            <v>37</v>
          </cell>
          <cell r="S83" t="str">
            <v>VIGENTE</v>
          </cell>
          <cell r="T83">
            <v>3700000</v>
          </cell>
        </row>
        <row r="84">
          <cell r="N84">
            <v>308</v>
          </cell>
          <cell r="O84">
            <v>270</v>
          </cell>
          <cell r="P84" t="str">
            <v>JUAN DAVID QUINTERO PARRA</v>
          </cell>
          <cell r="Q84" t="str">
            <v>CONTRATO DE PRESTACION DE SERVICIOS DE APOYO A LA GESTION</v>
          </cell>
          <cell r="R84">
            <v>258</v>
          </cell>
          <cell r="S84" t="str">
            <v>VIGENTE</v>
          </cell>
          <cell r="T84">
            <v>2040000</v>
          </cell>
        </row>
        <row r="85">
          <cell r="N85">
            <v>247</v>
          </cell>
          <cell r="O85">
            <v>184</v>
          </cell>
          <cell r="P85" t="str">
            <v>HERNAN DAVID ALDANA CARRASCO</v>
          </cell>
          <cell r="Q85" t="str">
            <v>CONTRATO DE PRESTACION DE SERVICIOS PROFESIONALES</v>
          </cell>
          <cell r="R85">
            <v>163</v>
          </cell>
          <cell r="S85" t="str">
            <v>VIGENTE</v>
          </cell>
          <cell r="T85">
            <v>5080000</v>
          </cell>
        </row>
        <row r="86">
          <cell r="N86">
            <v>217</v>
          </cell>
          <cell r="O86">
            <v>187</v>
          </cell>
          <cell r="P86" t="str">
            <v>MARIA DEL PILAR ZAMBRANO GOMEZ</v>
          </cell>
          <cell r="Q86" t="str">
            <v>CONTRATO DE PRESTACION DE SERVICIOS PROFESIONALES</v>
          </cell>
          <cell r="R86">
            <v>164</v>
          </cell>
          <cell r="S86" t="str">
            <v>VIGENTE</v>
          </cell>
          <cell r="T86">
            <v>8000000</v>
          </cell>
        </row>
        <row r="87">
          <cell r="N87">
            <v>140</v>
          </cell>
          <cell r="O87">
            <v>8</v>
          </cell>
          <cell r="P87" t="str">
            <v>JUAN CARLOS SARMIENTO NOVOA</v>
          </cell>
          <cell r="Q87" t="str">
            <v>CONTRATO DE PRESTACION DE SERVICIOS PROFESIONALES</v>
          </cell>
          <cell r="R87">
            <v>51</v>
          </cell>
          <cell r="S87" t="str">
            <v>VIGENTE</v>
          </cell>
          <cell r="T87">
            <v>3700000</v>
          </cell>
        </row>
        <row r="88">
          <cell r="N88">
            <v>99</v>
          </cell>
          <cell r="O88">
            <v>50</v>
          </cell>
          <cell r="P88" t="str">
            <v>ANA MARIA FLOREZ FLOREZ</v>
          </cell>
          <cell r="Q88" t="str">
            <v>CONTRATO DE PRESTACION DE SERVICIOS PROFESIONALES</v>
          </cell>
          <cell r="R88">
            <v>34</v>
          </cell>
          <cell r="S88" t="str">
            <v>VIGENTE</v>
          </cell>
          <cell r="T88">
            <v>7520000</v>
          </cell>
        </row>
        <row r="89">
          <cell r="N89">
            <v>219</v>
          </cell>
          <cell r="O89">
            <v>235</v>
          </cell>
          <cell r="P89" t="str">
            <v>MARIA CLAUDIA CARRIZOSA RICAURTE</v>
          </cell>
          <cell r="Q89" t="str">
            <v>CONTRATO DE PRESTACION DE SERVICIOS PROFESIONALES</v>
          </cell>
          <cell r="R89">
            <v>190</v>
          </cell>
          <cell r="S89" t="str">
            <v>VIGENTE</v>
          </cell>
          <cell r="T89">
            <v>10200000</v>
          </cell>
        </row>
        <row r="90">
          <cell r="N90">
            <v>47</v>
          </cell>
          <cell r="O90">
            <v>58</v>
          </cell>
          <cell r="P90" t="str">
            <v>MAURICIO  CORTES GARZON</v>
          </cell>
          <cell r="Q90" t="str">
            <v>CONTRATO DE PRESTACION DE SERVICIOS PROFESIONALES</v>
          </cell>
          <cell r="R90">
            <v>46</v>
          </cell>
          <cell r="S90" t="str">
            <v>VIGENTE</v>
          </cell>
          <cell r="T90">
            <v>9200000</v>
          </cell>
        </row>
        <row r="91">
          <cell r="N91">
            <v>46</v>
          </cell>
          <cell r="O91">
            <v>6</v>
          </cell>
          <cell r="P91" t="str">
            <v>LEONOR ISBELIA GOMEZ HERNANDEZ</v>
          </cell>
          <cell r="Q91" t="str">
            <v>CONTRATO DE PRESTACION DE SERVICIOS PROFESIONALES</v>
          </cell>
          <cell r="R91">
            <v>42</v>
          </cell>
          <cell r="S91" t="str">
            <v>VIGENTE</v>
          </cell>
          <cell r="T91">
            <v>6517333</v>
          </cell>
        </row>
        <row r="92">
          <cell r="N92">
            <v>314</v>
          </cell>
          <cell r="O92">
            <v>268</v>
          </cell>
          <cell r="P92" t="str">
            <v>ANGIE MILENA ESPINEL MENESES</v>
          </cell>
          <cell r="Q92" t="str">
            <v>CONTRATO DE PRESTACION DE SERVICIOS PROFESIONALES</v>
          </cell>
          <cell r="R92">
            <v>256</v>
          </cell>
          <cell r="S92" t="str">
            <v>VIGENTE</v>
          </cell>
          <cell r="T92">
            <v>5080000</v>
          </cell>
        </row>
        <row r="93">
          <cell r="N93">
            <v>188</v>
          </cell>
          <cell r="O93">
            <v>183</v>
          </cell>
          <cell r="P93" t="str">
            <v>JOHAN ALBERTO GARZON CASTAÑEDA</v>
          </cell>
          <cell r="Q93" t="str">
            <v>CONTRATO DE PRESTACION DE SERVICIOS PROFESIONALES</v>
          </cell>
          <cell r="R93">
            <v>165</v>
          </cell>
          <cell r="S93" t="str">
            <v>VIGENTE</v>
          </cell>
          <cell r="T93">
            <v>4000000</v>
          </cell>
        </row>
        <row r="94">
          <cell r="N94">
            <v>187</v>
          </cell>
          <cell r="O94">
            <v>165</v>
          </cell>
          <cell r="P94" t="str">
            <v>LINA MARCELA MORENO ROA</v>
          </cell>
          <cell r="Q94" t="str">
            <v>CONTRATO DE PRESTACION DE SERVICIOS PROFESIONALES</v>
          </cell>
          <cell r="R94">
            <v>145</v>
          </cell>
          <cell r="S94" t="str">
            <v>VIGENTE</v>
          </cell>
          <cell r="T94">
            <v>6000000</v>
          </cell>
        </row>
        <row r="95">
          <cell r="N95">
            <v>142</v>
          </cell>
          <cell r="O95">
            <v>51</v>
          </cell>
          <cell r="P95" t="str">
            <v>SERGIO IVAN ROJAS BERRIO</v>
          </cell>
          <cell r="Q95" t="str">
            <v>CONTRATO DE PRESTACION DE SERVICIOS PROFESIONALES</v>
          </cell>
          <cell r="R95">
            <v>38</v>
          </cell>
          <cell r="S95" t="str">
            <v>VIGENTE</v>
          </cell>
          <cell r="T95">
            <v>5700000</v>
          </cell>
        </row>
        <row r="96">
          <cell r="N96">
            <v>284</v>
          </cell>
          <cell r="O96">
            <v>289</v>
          </cell>
          <cell r="P96" t="str">
            <v>ANDRES FELIPE VILLAMIL VILLAMIL</v>
          </cell>
          <cell r="Q96" t="str">
            <v>CONTRATO DE PRESTACION DE SERVICIOS PROFESIONALES</v>
          </cell>
          <cell r="R96">
            <v>248</v>
          </cell>
          <cell r="S96" t="str">
            <v>VIGENTE</v>
          </cell>
          <cell r="T96">
            <v>5400000</v>
          </cell>
        </row>
        <row r="97">
          <cell r="N97">
            <v>148</v>
          </cell>
          <cell r="O97">
            <v>106</v>
          </cell>
          <cell r="P97" t="str">
            <v>PAOLA ANDREA LUNA CORTES</v>
          </cell>
          <cell r="Q97" t="str">
            <v>CONTRATO DE PRESTACION DE SERVICIOS PROFESIONALES</v>
          </cell>
          <cell r="R97">
            <v>90</v>
          </cell>
          <cell r="S97" t="str">
            <v>VIGENTE</v>
          </cell>
          <cell r="T97">
            <v>5000000</v>
          </cell>
        </row>
        <row r="98">
          <cell r="N98">
            <v>249</v>
          </cell>
          <cell r="O98">
            <v>251</v>
          </cell>
          <cell r="P98" t="str">
            <v>ALICIA VICTORIA BELLO DURAN</v>
          </cell>
          <cell r="Q98" t="str">
            <v>CONTRATO DE PRESTACION DE SERVICIOS PROFESIONALES</v>
          </cell>
          <cell r="R98">
            <v>216</v>
          </cell>
          <cell r="S98" t="str">
            <v>VIGENTE</v>
          </cell>
          <cell r="T98">
            <v>4500000</v>
          </cell>
        </row>
        <row r="99">
          <cell r="N99">
            <v>259</v>
          </cell>
          <cell r="O99">
            <v>253</v>
          </cell>
          <cell r="P99" t="str">
            <v>DAVID HUMBERTO DELGADO RODRIGUEZ</v>
          </cell>
          <cell r="Q99" t="str">
            <v>CONTRATO DE PRESTACION DE SERVICIOS PROFESIONALES</v>
          </cell>
          <cell r="R99">
            <v>231</v>
          </cell>
          <cell r="S99" t="str">
            <v>VIGENTE</v>
          </cell>
          <cell r="T99">
            <v>10440000</v>
          </cell>
        </row>
        <row r="100">
          <cell r="N100">
            <v>260</v>
          </cell>
          <cell r="O100">
            <v>186</v>
          </cell>
          <cell r="P100" t="str">
            <v>LAURA CRISTINA BALCAZAR DIAZ</v>
          </cell>
          <cell r="Q100" t="str">
            <v>CONTRATO DE PRESTACION DE SERVICIOS DE APOYO A LA GESTION</v>
          </cell>
          <cell r="R100">
            <v>173</v>
          </cell>
          <cell r="S100" t="str">
            <v>VIGENTE</v>
          </cell>
          <cell r="T100">
            <v>2500000</v>
          </cell>
        </row>
        <row r="101">
          <cell r="N101">
            <v>342</v>
          </cell>
          <cell r="O101">
            <v>306</v>
          </cell>
          <cell r="P101" t="str">
            <v xml:space="preserve">JUAN FELIPE PINILLA &amp; ASOCIADOS DERECHO-URBANO SAS   </v>
          </cell>
          <cell r="Q101" t="str">
            <v>CONTRATO DE PRESTACION DE SERVICIOS PROFESIONALES</v>
          </cell>
          <cell r="R101">
            <v>274</v>
          </cell>
          <cell r="S101" t="str">
            <v>VIGENTE</v>
          </cell>
          <cell r="T101">
            <v>8500000</v>
          </cell>
        </row>
        <row r="102">
          <cell r="N102">
            <v>320</v>
          </cell>
          <cell r="O102">
            <v>305</v>
          </cell>
          <cell r="P102" t="str">
            <v>CRISTIAN ANDRES GUTIERREZ PRIETO</v>
          </cell>
          <cell r="Q102" t="str">
            <v>CONTRATO DE PRESTACION DE SERVICIOS PROFESIONALES</v>
          </cell>
          <cell r="R102">
            <v>269</v>
          </cell>
          <cell r="S102" t="str">
            <v>VIGENTE</v>
          </cell>
          <cell r="T102">
            <v>7000000</v>
          </cell>
        </row>
        <row r="103">
          <cell r="N103">
            <v>303</v>
          </cell>
          <cell r="O103">
            <v>307</v>
          </cell>
          <cell r="P103" t="str">
            <v>JUAN CAMILO GONZALEZ MEDINA</v>
          </cell>
          <cell r="Q103" t="str">
            <v>CONTRATO DE PRESTACION DE SERVICIOS PROFESIONALES</v>
          </cell>
          <cell r="R103">
            <v>259</v>
          </cell>
          <cell r="S103" t="str">
            <v>VIGENTE</v>
          </cell>
          <cell r="T103">
            <v>6900000</v>
          </cell>
        </row>
        <row r="104">
          <cell r="N104">
            <v>264</v>
          </cell>
          <cell r="O104">
            <v>185</v>
          </cell>
          <cell r="P104" t="str">
            <v>VALENTIN ALEJANDRO URBINA PALMERA</v>
          </cell>
          <cell r="Q104" t="str">
            <v>CONTRATO DE PRESTACION DE SERVICIOS PROFESIONALES</v>
          </cell>
          <cell r="R104">
            <v>162</v>
          </cell>
          <cell r="S104" t="str">
            <v>VIGENTE</v>
          </cell>
          <cell r="T104">
            <v>5080000</v>
          </cell>
        </row>
        <row r="105">
          <cell r="N105">
            <v>220</v>
          </cell>
          <cell r="O105">
            <v>188</v>
          </cell>
          <cell r="P105" t="str">
            <v>YOLANDA  OVIEDO ROJAS</v>
          </cell>
          <cell r="Q105" t="str">
            <v>CONTRATO DE PRESTACION DE SERVICIOS PROFESIONALES</v>
          </cell>
          <cell r="R105">
            <v>192</v>
          </cell>
          <cell r="S105" t="str">
            <v>VIGENTE</v>
          </cell>
          <cell r="T105">
            <v>9200000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209</v>
          </cell>
          <cell r="O2">
            <v>200</v>
          </cell>
          <cell r="P2" t="str">
            <v>ANGYE CATERYNN PEÑA VARON</v>
          </cell>
          <cell r="Q2" t="str">
            <v>CONTRATO DE PRESTACION DE SERVICIOS PROFESIONALES</v>
          </cell>
          <cell r="R2">
            <v>202</v>
          </cell>
          <cell r="S2" t="str">
            <v>VIGENTE</v>
          </cell>
          <cell r="T2">
            <v>1773000</v>
          </cell>
        </row>
        <row r="3">
          <cell r="N3">
            <v>214</v>
          </cell>
          <cell r="O3">
            <v>199</v>
          </cell>
          <cell r="P3" t="str">
            <v xml:space="preserve">ROMY ERVIN GANOA </v>
          </cell>
          <cell r="Q3" t="str">
            <v>CONTRATO DE PRESTACION DE SERVICIOS DE APOYO A LA GESTION</v>
          </cell>
          <cell r="R3">
            <v>197</v>
          </cell>
          <cell r="S3" t="str">
            <v>VIGENTE</v>
          </cell>
          <cell r="T3">
            <v>2630000</v>
          </cell>
        </row>
        <row r="4">
          <cell r="N4">
            <v>113</v>
          </cell>
          <cell r="O4">
            <v>121</v>
          </cell>
          <cell r="P4" t="str">
            <v xml:space="preserve">ANDREA VIVIANA BRITO </v>
          </cell>
          <cell r="Q4" t="str">
            <v>CONTRATO DE PRESTACION DE SERVICIOS DE APOYO A LA GESTION</v>
          </cell>
          <cell r="R4">
            <v>96</v>
          </cell>
          <cell r="S4" t="str">
            <v>VIGENTE</v>
          </cell>
          <cell r="T4">
            <v>3100000</v>
          </cell>
        </row>
        <row r="5">
          <cell r="N5">
            <v>123</v>
          </cell>
          <cell r="O5">
            <v>138</v>
          </cell>
          <cell r="P5" t="str">
            <v>ARIEL RODRIGO FERNANDEZ BACA</v>
          </cell>
          <cell r="Q5" t="str">
            <v>CONTRATO DE PRESTACION DE SERVICIOS PROFESIONALES</v>
          </cell>
          <cell r="R5">
            <v>127</v>
          </cell>
          <cell r="S5" t="str">
            <v>VIGENTE</v>
          </cell>
          <cell r="T5">
            <v>6620000</v>
          </cell>
        </row>
        <row r="6">
          <cell r="N6">
            <v>125</v>
          </cell>
          <cell r="O6">
            <v>140</v>
          </cell>
          <cell r="P6" t="str">
            <v>juan sebastian robayo castillo</v>
          </cell>
          <cell r="Q6" t="str">
            <v>CONTRATO DE PRESTACION DE SERVICIOS PROFESIONALES</v>
          </cell>
          <cell r="R6">
            <v>111</v>
          </cell>
          <cell r="S6" t="str">
            <v>VIGENTE</v>
          </cell>
          <cell r="T6">
            <v>5440000</v>
          </cell>
        </row>
        <row r="7">
          <cell r="N7">
            <v>63</v>
          </cell>
          <cell r="O7">
            <v>94</v>
          </cell>
          <cell r="P7" t="str">
            <v>WINER ENRIQUE MARTINEZ CUADRADO</v>
          </cell>
          <cell r="Q7" t="str">
            <v>CONTRATO DE PRESTACION DE SERVICIOS DE APOYO A LA GESTION</v>
          </cell>
          <cell r="R7">
            <v>73</v>
          </cell>
          <cell r="S7" t="str">
            <v>VIGENTE</v>
          </cell>
          <cell r="T7">
            <v>3320000</v>
          </cell>
        </row>
        <row r="8">
          <cell r="N8">
            <v>221</v>
          </cell>
          <cell r="O8">
            <v>233</v>
          </cell>
          <cell r="P8" t="str">
            <v>DIEGO  MARTIN ACERO</v>
          </cell>
          <cell r="Q8" t="str">
            <v>CONTRATO DE PRESTACION DE SERVICIOS PROFESIONALES</v>
          </cell>
          <cell r="R8">
            <v>203</v>
          </cell>
          <cell r="S8" t="str">
            <v>VIGENTE</v>
          </cell>
          <cell r="T8">
            <v>3645000</v>
          </cell>
        </row>
        <row r="9">
          <cell r="N9">
            <v>25</v>
          </cell>
          <cell r="O9">
            <v>38</v>
          </cell>
          <cell r="P9" t="str">
            <v>ANA MARIA MONTOYA CORREA</v>
          </cell>
          <cell r="Q9" t="str">
            <v>CONTRATO DE PRESTACION DE SERVICIOS PROFESIONALES</v>
          </cell>
          <cell r="R9">
            <v>18</v>
          </cell>
          <cell r="S9" t="str">
            <v>VIGENTE</v>
          </cell>
          <cell r="T9">
            <v>8500000</v>
          </cell>
        </row>
        <row r="10">
          <cell r="N10">
            <v>16</v>
          </cell>
          <cell r="O10">
            <v>36</v>
          </cell>
          <cell r="P10" t="str">
            <v>MARILUZ  LOAIZA CANTOR</v>
          </cell>
          <cell r="Q10" t="str">
            <v>CONTRATO DE PRESTACION DE SERVICIOS PROFESIONALES</v>
          </cell>
          <cell r="R10">
            <v>21</v>
          </cell>
          <cell r="S10" t="str">
            <v>VIGENTE</v>
          </cell>
          <cell r="T10">
            <v>6600000</v>
          </cell>
        </row>
        <row r="11">
          <cell r="N11">
            <v>108</v>
          </cell>
          <cell r="O11">
            <v>98</v>
          </cell>
          <cell r="P11" t="str">
            <v>LAURA KATHERINE PEREZ ALMANZA</v>
          </cell>
          <cell r="Q11" t="str">
            <v>CONTRATO DE PRESTACION DE SERVICIOS PROFESIONALES</v>
          </cell>
          <cell r="R11">
            <v>77</v>
          </cell>
          <cell r="S11" t="str">
            <v>VIGENTE</v>
          </cell>
          <cell r="T11">
            <v>4050000</v>
          </cell>
        </row>
        <row r="12">
          <cell r="N12">
            <v>74</v>
          </cell>
          <cell r="O12">
            <v>116</v>
          </cell>
          <cell r="P12" t="str">
            <v>FRANK ADRIANO AGUIRRE SALAMANCA</v>
          </cell>
          <cell r="Q12" t="str">
            <v>CONTRATO DE PRESTACION DE SERVICIOS PROFESIONALES</v>
          </cell>
          <cell r="R12">
            <v>105</v>
          </cell>
          <cell r="S12" t="str">
            <v>VIGENTE</v>
          </cell>
          <cell r="T12">
            <v>4800000</v>
          </cell>
        </row>
        <row r="13">
          <cell r="N13">
            <v>29</v>
          </cell>
          <cell r="O13">
            <v>49</v>
          </cell>
          <cell r="P13" t="str">
            <v>Angie Lizeth Murillo Pineda</v>
          </cell>
          <cell r="Q13" t="str">
            <v>CONTRATO DE PRESTACION DE SERVICIOS PROFESIONALES</v>
          </cell>
          <cell r="R13">
            <v>26</v>
          </cell>
          <cell r="S13" t="str">
            <v>VIGENTE</v>
          </cell>
          <cell r="T13">
            <v>4120000</v>
          </cell>
        </row>
        <row r="14">
          <cell r="N14">
            <v>27</v>
          </cell>
          <cell r="O14">
            <v>35</v>
          </cell>
          <cell r="P14" t="str">
            <v>JONATHAN  OLARTE GUANA</v>
          </cell>
          <cell r="Q14" t="str">
            <v>CONTRATO DE PRESTACION DE SERVICIOS DE APOYO A LA GESTION</v>
          </cell>
          <cell r="R14">
            <v>19</v>
          </cell>
          <cell r="S14" t="str">
            <v>VIGENTE</v>
          </cell>
          <cell r="T14">
            <v>3480000</v>
          </cell>
        </row>
        <row r="15">
          <cell r="N15">
            <v>98</v>
          </cell>
          <cell r="O15">
            <v>74</v>
          </cell>
          <cell r="P15" t="str">
            <v>PAOLA RENATA BARRAGAN ZAMORA</v>
          </cell>
          <cell r="Q15" t="str">
            <v>CONTRATO DE PRESTACION DE SERVICIOS PROFESIONALES</v>
          </cell>
          <cell r="R15">
            <v>68</v>
          </cell>
          <cell r="S15" t="str">
            <v>VIGENTE</v>
          </cell>
          <cell r="T15">
            <v>8340000</v>
          </cell>
        </row>
        <row r="16">
          <cell r="N16">
            <v>114</v>
          </cell>
          <cell r="O16">
            <v>107</v>
          </cell>
          <cell r="P16" t="str">
            <v>NATALIA  ORTEGA RENGIFO</v>
          </cell>
          <cell r="Q16" t="str">
            <v>CONTRATO DE PRESTACION DE SERVICIOS PROFESIONALES</v>
          </cell>
          <cell r="R16">
            <v>102</v>
          </cell>
          <cell r="S16" t="str">
            <v>VIGENTE</v>
          </cell>
          <cell r="T16">
            <v>5380000</v>
          </cell>
        </row>
        <row r="17">
          <cell r="N17">
            <v>73</v>
          </cell>
          <cell r="O17">
            <v>117</v>
          </cell>
          <cell r="P17" t="str">
            <v>SANDRA MILENA FORERO BALLESTEROS</v>
          </cell>
          <cell r="Q17" t="str">
            <v>CONTRATO DE PRESTACION DE SERVICIOS PROFESIONALES</v>
          </cell>
          <cell r="R17">
            <v>95</v>
          </cell>
          <cell r="S17" t="str">
            <v>VIGENTE</v>
          </cell>
          <cell r="T17">
            <v>4800000</v>
          </cell>
        </row>
        <row r="18">
          <cell r="N18">
            <v>92</v>
          </cell>
          <cell r="O18">
            <v>118</v>
          </cell>
          <cell r="P18" t="str">
            <v>jhon edwin morales herrera</v>
          </cell>
          <cell r="Q18" t="str">
            <v>CONTRATO DE PRESTACION DE SERVICIOS PROFESIONALES</v>
          </cell>
          <cell r="R18">
            <v>104</v>
          </cell>
          <cell r="S18" t="str">
            <v>VIGENTE</v>
          </cell>
          <cell r="T18">
            <v>4800000</v>
          </cell>
        </row>
        <row r="19">
          <cell r="N19">
            <v>75</v>
          </cell>
          <cell r="O19">
            <v>123</v>
          </cell>
          <cell r="P19" t="str">
            <v>SANDRA PATRICIA MENDOZA VARGAS</v>
          </cell>
          <cell r="Q19" t="str">
            <v>CONTRATO DE PRESTACION DE SERVICIOS PROFESIONALES</v>
          </cell>
          <cell r="R19">
            <v>107</v>
          </cell>
          <cell r="S19" t="str">
            <v>VIGENTE</v>
          </cell>
          <cell r="T19">
            <v>6640000</v>
          </cell>
        </row>
        <row r="20">
          <cell r="N20">
            <v>17</v>
          </cell>
          <cell r="O20">
            <v>34</v>
          </cell>
          <cell r="P20" t="str">
            <v>LUZ MERY BOLIVAR RINCON</v>
          </cell>
          <cell r="Q20" t="str">
            <v>CONTRATO DE PRESTACION DE SERVICIOS PROFESIONALES</v>
          </cell>
          <cell r="R20">
            <v>20</v>
          </cell>
          <cell r="S20" t="str">
            <v>VIGENTE</v>
          </cell>
          <cell r="T20">
            <v>5200000</v>
          </cell>
        </row>
        <row r="21">
          <cell r="N21">
            <v>119</v>
          </cell>
          <cell r="O21">
            <v>139</v>
          </cell>
          <cell r="P21" t="str">
            <v>MARIBEL  CHARRY DIAZ</v>
          </cell>
          <cell r="Q21" t="str">
            <v>CONTRATO DE PRESTACION DE SERVICIOS PROFESIONALES</v>
          </cell>
          <cell r="R21">
            <v>119</v>
          </cell>
          <cell r="S21" t="str">
            <v>VIGENTE</v>
          </cell>
          <cell r="T21">
            <v>8240000</v>
          </cell>
        </row>
        <row r="22">
          <cell r="N22">
            <v>238</v>
          </cell>
          <cell r="O22">
            <v>210</v>
          </cell>
          <cell r="P22" t="str">
            <v>DIANA CAROLINA SHOOL MONTOYA</v>
          </cell>
          <cell r="Q22" t="str">
            <v>CONTRATO DE PRESTACION DE SERVICIOS PROFESIONALES</v>
          </cell>
          <cell r="R22">
            <v>224</v>
          </cell>
          <cell r="S22" t="str">
            <v>VIGENTE</v>
          </cell>
          <cell r="T22">
            <v>5500000</v>
          </cell>
        </row>
        <row r="23">
          <cell r="N23">
            <v>236</v>
          </cell>
          <cell r="O23">
            <v>196</v>
          </cell>
          <cell r="P23" t="str">
            <v xml:space="preserve">ALEXANDER  VALLEJO </v>
          </cell>
          <cell r="Q23" t="str">
            <v>CONTRATO DE PRESTACION DE SERVICIOS PROFESIONALES</v>
          </cell>
          <cell r="R23">
            <v>222</v>
          </cell>
          <cell r="S23" t="str">
            <v>VIGENTE</v>
          </cell>
          <cell r="T23">
            <v>4000000</v>
          </cell>
        </row>
        <row r="24">
          <cell r="N24">
            <v>216</v>
          </cell>
          <cell r="O24">
            <v>234</v>
          </cell>
          <cell r="P24" t="str">
            <v>MARITZA  FORERO HERNANDEZ</v>
          </cell>
          <cell r="Q24" t="str">
            <v>CONTRATO DE PRESTACION DE SERVICIOS PROFESIONALES</v>
          </cell>
          <cell r="R24">
            <v>210</v>
          </cell>
          <cell r="S24" t="str">
            <v>VIGENTE</v>
          </cell>
          <cell r="T24">
            <v>4140000</v>
          </cell>
        </row>
        <row r="25">
          <cell r="N25">
            <v>50</v>
          </cell>
          <cell r="O25">
            <v>43</v>
          </cell>
          <cell r="P25" t="str">
            <v>WILSON ORLANDO DAZA MONTAÑO</v>
          </cell>
          <cell r="Q25" t="str">
            <v>CONTRATO DE PRESTACION DE SERVICIOS DE APOYO A LA GESTION</v>
          </cell>
          <cell r="R25">
            <v>30</v>
          </cell>
          <cell r="S25" t="str">
            <v>VIGENTE</v>
          </cell>
          <cell r="T25">
            <v>2630000</v>
          </cell>
        </row>
        <row r="26">
          <cell r="N26">
            <v>48</v>
          </cell>
          <cell r="O26">
            <v>46</v>
          </cell>
          <cell r="P26" t="str">
            <v>GIOVANNY ANDRES CUBILLOS MORENO</v>
          </cell>
          <cell r="Q26" t="str">
            <v>CONTRATO DE PRESTACION DE SERVICIOS DE APOYO A LA GESTION</v>
          </cell>
          <cell r="R26">
            <v>65</v>
          </cell>
          <cell r="S26" t="str">
            <v>VIGENTE</v>
          </cell>
          <cell r="T26">
            <v>2630000</v>
          </cell>
        </row>
        <row r="27">
          <cell r="N27">
            <v>54</v>
          </cell>
          <cell r="O27">
            <v>45</v>
          </cell>
          <cell r="P27" t="str">
            <v>ANGELA MARIA RUIZ ARAQUE</v>
          </cell>
          <cell r="Q27" t="str">
            <v>CONTRATO DE PRESTACION DE SERVICIOS PROFESIONALES</v>
          </cell>
          <cell r="R27">
            <v>31</v>
          </cell>
          <cell r="S27" t="str">
            <v>VIGENTE</v>
          </cell>
          <cell r="T27">
            <v>4800000</v>
          </cell>
        </row>
        <row r="28">
          <cell r="N28">
            <v>109</v>
          </cell>
          <cell r="O28">
            <v>99</v>
          </cell>
          <cell r="P28" t="str">
            <v>LEONEL  SERRATO VASQUEZ</v>
          </cell>
          <cell r="Q28" t="str">
            <v>CONTRATO DE PRESTACION DE SERVICIOS DE APOYO A LA GESTION</v>
          </cell>
          <cell r="R28">
            <v>78</v>
          </cell>
          <cell r="S28" t="str">
            <v>VIGENTE</v>
          </cell>
          <cell r="T28">
            <v>2630000</v>
          </cell>
        </row>
        <row r="29">
          <cell r="N29">
            <v>88</v>
          </cell>
          <cell r="O29">
            <v>120</v>
          </cell>
          <cell r="P29" t="str">
            <v>RODOLFO ANTONIO PARRA RODRIGUEZ</v>
          </cell>
          <cell r="Q29" t="str">
            <v>CONTRATO DE PRESTACION DE SERVICIOS PROFESIONALES</v>
          </cell>
          <cell r="R29">
            <v>98</v>
          </cell>
          <cell r="S29" t="str">
            <v>VIGENTE</v>
          </cell>
          <cell r="T29">
            <v>6600000</v>
          </cell>
        </row>
        <row r="30">
          <cell r="N30">
            <v>196</v>
          </cell>
          <cell r="O30">
            <v>206</v>
          </cell>
          <cell r="P30" t="str">
            <v>JAIR ALEJANDRO ALVARADO SOTO</v>
          </cell>
          <cell r="Q30" t="str">
            <v>CONTRATO DE PRESTACION DE SERVICIOS PROFESIONALES</v>
          </cell>
          <cell r="R30">
            <v>208</v>
          </cell>
          <cell r="S30" t="str">
            <v>VIGENTE</v>
          </cell>
          <cell r="T30">
            <v>4500000</v>
          </cell>
        </row>
        <row r="31">
          <cell r="N31">
            <v>104</v>
          </cell>
          <cell r="O31">
            <v>93</v>
          </cell>
          <cell r="P31" t="str">
            <v>ALVARO IVAN SALAZAR DAZA</v>
          </cell>
          <cell r="Q31" t="str">
            <v>CONTRATO DE PRESTACION DE SERVICIOS PROFESIONALES</v>
          </cell>
          <cell r="R31">
            <v>64</v>
          </cell>
          <cell r="S31" t="str">
            <v>VIGENTE</v>
          </cell>
          <cell r="T31">
            <v>2950000</v>
          </cell>
        </row>
        <row r="32">
          <cell r="N32">
            <v>64</v>
          </cell>
          <cell r="O32">
            <v>48</v>
          </cell>
          <cell r="P32" t="str">
            <v>NUBIA ALEXANDRA CORTES REINA</v>
          </cell>
          <cell r="Q32" t="str">
            <v>CONTRATO DE PRESTACION DE SERVICIOS DE APOYO A LA GESTION</v>
          </cell>
          <cell r="R32">
            <v>71</v>
          </cell>
          <cell r="S32" t="str">
            <v>VIGENTE</v>
          </cell>
          <cell r="T32">
            <v>2630000</v>
          </cell>
        </row>
        <row r="33">
          <cell r="N33">
            <v>198</v>
          </cell>
          <cell r="O33">
            <v>215</v>
          </cell>
          <cell r="P33" t="str">
            <v>DIEGO ANTONIO RODRIGUEZ CARRILLO</v>
          </cell>
          <cell r="Q33" t="str">
            <v>CONTRATO DE PRESTACION DE SERVICIOS PROFESIONALES</v>
          </cell>
          <cell r="R33">
            <v>200</v>
          </cell>
          <cell r="S33" t="str">
            <v>VIGENTE</v>
          </cell>
          <cell r="T33">
            <v>4500000</v>
          </cell>
        </row>
        <row r="34">
          <cell r="N34">
            <v>208</v>
          </cell>
          <cell r="O34">
            <v>204</v>
          </cell>
          <cell r="P34" t="str">
            <v>JORGE LEONARDO TORRES ROMERO</v>
          </cell>
          <cell r="Q34" t="str">
            <v>CONTRATO DE PRESTACION DE SERVICIOS DE APOYO A LA GESTION</v>
          </cell>
          <cell r="R34">
            <v>204</v>
          </cell>
          <cell r="S34" t="str">
            <v>VIGENTE</v>
          </cell>
          <cell r="T34">
            <v>1773000</v>
          </cell>
        </row>
        <row r="35">
          <cell r="N35">
            <v>62</v>
          </cell>
          <cell r="O35">
            <v>44</v>
          </cell>
          <cell r="P35" t="str">
            <v>OSCAR JAVIER MARTINEZ REYES</v>
          </cell>
          <cell r="Q35" t="str">
            <v>CONTRATO DE PRESTACION DE SERVICIOS DE APOYO A LA GESTION</v>
          </cell>
          <cell r="R35">
            <v>66</v>
          </cell>
          <cell r="S35" t="str">
            <v>VIGENTE</v>
          </cell>
          <cell r="T35">
            <v>2630000</v>
          </cell>
        </row>
        <row r="36">
          <cell r="N36">
            <v>118</v>
          </cell>
          <cell r="O36">
            <v>127</v>
          </cell>
          <cell r="P36" t="str">
            <v>Karem Lizette Cespedes Hernandez</v>
          </cell>
          <cell r="Q36" t="str">
            <v>CONTRATO DE PRESTACION DE SERVICIOS PROFESIONALES</v>
          </cell>
          <cell r="R36">
            <v>117</v>
          </cell>
          <cell r="S36" t="str">
            <v>VIGENTE</v>
          </cell>
          <cell r="T36">
            <v>5380000</v>
          </cell>
        </row>
        <row r="37">
          <cell r="N37">
            <v>235</v>
          </cell>
          <cell r="O37">
            <v>214</v>
          </cell>
          <cell r="P37" t="str">
            <v>KATHERINE AURORA MEJIA LEAL</v>
          </cell>
          <cell r="Q37" t="str">
            <v>CONTRATO DE PRESTACION DE SERVICIOS PROFESIONALES</v>
          </cell>
          <cell r="R37">
            <v>218</v>
          </cell>
          <cell r="S37" t="str">
            <v>VIGENTE</v>
          </cell>
          <cell r="T37">
            <v>4448000</v>
          </cell>
        </row>
        <row r="38">
          <cell r="N38">
            <v>234</v>
          </cell>
          <cell r="O38">
            <v>195</v>
          </cell>
          <cell r="P38" t="str">
            <v>DAVID ERNESTO ARIAS SILVA</v>
          </cell>
          <cell r="Q38" t="str">
            <v>CONTRATO DE PRESTACION DE SERVICIOS PROFESIONALES</v>
          </cell>
          <cell r="R38">
            <v>212</v>
          </cell>
          <cell r="S38" t="str">
            <v>VIGENTE</v>
          </cell>
          <cell r="T38">
            <v>5500000</v>
          </cell>
        </row>
        <row r="39">
          <cell r="N39">
            <v>134</v>
          </cell>
          <cell r="O39">
            <v>131</v>
          </cell>
          <cell r="P39" t="str">
            <v>ALEJANDRO  MENDOZA JARAMILLO</v>
          </cell>
          <cell r="Q39" t="str">
            <v>CONTRATO DE PRESTACION DE SERVICIOS PROFESIONALES</v>
          </cell>
          <cell r="R39">
            <v>122</v>
          </cell>
          <cell r="S39" t="str">
            <v>VIGENTE</v>
          </cell>
          <cell r="T39">
            <v>4800000</v>
          </cell>
        </row>
        <row r="40">
          <cell r="N40">
            <v>90</v>
          </cell>
          <cell r="O40">
            <v>112</v>
          </cell>
          <cell r="P40" t="str">
            <v>OSCAR JAVIER BECERRA MORA</v>
          </cell>
          <cell r="Q40" t="str">
            <v>CONTRATO DE PRESTACION DE SERVICIOS DE APOYO A LA GESTION</v>
          </cell>
          <cell r="R40">
            <v>100</v>
          </cell>
          <cell r="S40" t="str">
            <v>VIGENTE</v>
          </cell>
          <cell r="T40">
            <v>5890000</v>
          </cell>
        </row>
        <row r="41">
          <cell r="N41">
            <v>127</v>
          </cell>
          <cell r="O41">
            <v>115</v>
          </cell>
          <cell r="P41" t="str">
            <v>CHALOT  GAVIRIA VELANDIA</v>
          </cell>
          <cell r="Q41" t="str">
            <v>CONTRATO DE PRESTACION DE SERVICIOS PROFESIONALES</v>
          </cell>
          <cell r="R41">
            <v>97</v>
          </cell>
          <cell r="S41" t="str">
            <v>VIGENTE</v>
          </cell>
          <cell r="T41">
            <v>4800000</v>
          </cell>
        </row>
        <row r="42">
          <cell r="N42">
            <v>206</v>
          </cell>
          <cell r="O42">
            <v>205</v>
          </cell>
          <cell r="P42" t="str">
            <v>giovanny francisco lopez perez</v>
          </cell>
          <cell r="Q42" t="str">
            <v>CONTRATO DE PRESTACION DE SERVICIOS DE APOYO A LA GESTION</v>
          </cell>
          <cell r="R42">
            <v>198</v>
          </cell>
          <cell r="S42" t="str">
            <v>VIGENTE</v>
          </cell>
          <cell r="T42">
            <v>1970000</v>
          </cell>
        </row>
        <row r="43">
          <cell r="N43">
            <v>121</v>
          </cell>
          <cell r="O43">
            <v>132</v>
          </cell>
          <cell r="P43" t="str">
            <v>JUAN SEBASTIAN ORTIZ ROJAS</v>
          </cell>
          <cell r="Q43" t="str">
            <v>CONTRATO DE PRESTACION DE SERVICIOS PROFESIONALES</v>
          </cell>
          <cell r="R43">
            <v>124</v>
          </cell>
          <cell r="S43" t="str">
            <v>VIGENTE</v>
          </cell>
          <cell r="T43">
            <v>6600000</v>
          </cell>
        </row>
        <row r="44">
          <cell r="N44">
            <v>126</v>
          </cell>
          <cell r="O44">
            <v>133</v>
          </cell>
          <cell r="P44" t="str">
            <v>KAREN ROCIO FORERO GARAVITO</v>
          </cell>
          <cell r="Q44" t="str">
            <v>CONTRATO DE PRESTACION DE SERVICIOS PROFESIONALES</v>
          </cell>
          <cell r="R44">
            <v>128</v>
          </cell>
          <cell r="S44" t="str">
            <v>VIGENTE</v>
          </cell>
          <cell r="T44">
            <v>4840000</v>
          </cell>
        </row>
        <row r="45">
          <cell r="N45">
            <v>124</v>
          </cell>
          <cell r="O45">
            <v>135</v>
          </cell>
          <cell r="P45" t="str">
            <v>MARTHA LILIANA TRIGOS PICON</v>
          </cell>
          <cell r="Q45" t="str">
            <v>CONTRATO DE PRESTACION DE SERVICIOS PROFESIONALES</v>
          </cell>
          <cell r="R45">
            <v>110</v>
          </cell>
          <cell r="S45" t="str">
            <v>VIGENTE</v>
          </cell>
          <cell r="T45">
            <v>4800000</v>
          </cell>
        </row>
        <row r="46">
          <cell r="N46">
            <v>89</v>
          </cell>
          <cell r="O46">
            <v>119</v>
          </cell>
          <cell r="P46" t="str">
            <v>HELENA MARIA FERNANDEZ SARMIENTO</v>
          </cell>
          <cell r="Q46" t="str">
            <v>CONTRATO DE PRESTACION DE SERVICIOS PROFESIONALES</v>
          </cell>
          <cell r="R46">
            <v>99</v>
          </cell>
          <cell r="S46" t="str">
            <v>VIGENTE</v>
          </cell>
          <cell r="T46">
            <v>5380000</v>
          </cell>
        </row>
        <row r="47">
          <cell r="N47">
            <v>143</v>
          </cell>
          <cell r="O47">
            <v>134</v>
          </cell>
          <cell r="P47" t="str">
            <v>FERNANDO  SANCHEZ SABOGAL</v>
          </cell>
          <cell r="Q47" t="str">
            <v>CONTRATO DE PRESTACION DE SERVICIOS DE APOYO A LA GESTION</v>
          </cell>
          <cell r="R47">
            <v>118</v>
          </cell>
          <cell r="S47" t="str">
            <v>VIGENTE</v>
          </cell>
          <cell r="T47">
            <v>2920000</v>
          </cell>
        </row>
        <row r="48">
          <cell r="N48">
            <v>201</v>
          </cell>
          <cell r="O48">
            <v>202</v>
          </cell>
          <cell r="P48" t="str">
            <v>SANTIAGO  URREGO GARAY</v>
          </cell>
          <cell r="Q48" t="str">
            <v>CONTRATO DE PRESTACION DE SERVICIOS DE APOYO A LA GESTION</v>
          </cell>
          <cell r="R48">
            <v>207</v>
          </cell>
          <cell r="S48" t="str">
            <v>VIGENTE</v>
          </cell>
          <cell r="T48">
            <v>1970000</v>
          </cell>
        </row>
        <row r="49">
          <cell r="N49">
            <v>257</v>
          </cell>
          <cell r="O49">
            <v>208</v>
          </cell>
          <cell r="P49" t="str">
            <v>SIMON ANDRES ROJAS GUTIERREZ</v>
          </cell>
          <cell r="Q49" t="str">
            <v>CONTRATO DE PRESTACION DE SERVICIOS PROFESIONALES</v>
          </cell>
          <cell r="R49">
            <v>220</v>
          </cell>
          <cell r="S49" t="str">
            <v>VIGENTE</v>
          </cell>
          <cell r="T49">
            <v>3534667</v>
          </cell>
        </row>
        <row r="50">
          <cell r="N50">
            <v>130</v>
          </cell>
          <cell r="O50">
            <v>114</v>
          </cell>
          <cell r="P50" t="str">
            <v>LIDA CONSTANZA MEDRANO RINCON</v>
          </cell>
          <cell r="Q50" t="str">
            <v>CONTRATO DE PRESTACION DE SERVICIOS PROFESIONALES</v>
          </cell>
          <cell r="R50">
            <v>126</v>
          </cell>
          <cell r="S50" t="str">
            <v>VIGENTE</v>
          </cell>
          <cell r="T50">
            <v>6606000</v>
          </cell>
        </row>
        <row r="51">
          <cell r="N51">
            <v>197</v>
          </cell>
          <cell r="O51">
            <v>198</v>
          </cell>
          <cell r="P51" t="str">
            <v>JOSE NICOLAS MARTINEZ ARENAS</v>
          </cell>
          <cell r="Q51" t="str">
            <v>CONTRATO DE PRESTACION DE SERVICIOS PROFESIONALES</v>
          </cell>
          <cell r="R51">
            <v>191</v>
          </cell>
          <cell r="S51" t="str">
            <v>VIGENTE</v>
          </cell>
          <cell r="T51">
            <v>2630000</v>
          </cell>
        </row>
        <row r="52">
          <cell r="N52">
            <v>28</v>
          </cell>
          <cell r="O52">
            <v>37</v>
          </cell>
          <cell r="P52" t="str">
            <v>INGRID JOHANA PARADA MENDIVELSO</v>
          </cell>
          <cell r="Q52" t="str">
            <v>CONTRATO DE PRESTACION DE SERVICIOS DE APOYO A LA GESTION</v>
          </cell>
          <cell r="R52">
            <v>17</v>
          </cell>
          <cell r="S52" t="str">
            <v>VIGENTE</v>
          </cell>
          <cell r="T52">
            <v>3600000</v>
          </cell>
        </row>
        <row r="53">
          <cell r="N53">
            <v>87</v>
          </cell>
          <cell r="O53">
            <v>122</v>
          </cell>
          <cell r="P53" t="str">
            <v>OSWALDO JAVIER URREGO VARGAS</v>
          </cell>
          <cell r="Q53" t="str">
            <v>CONTRATO DE PRESTACION DE SERVICIOS PROFESIONALES</v>
          </cell>
          <cell r="R53">
            <v>94</v>
          </cell>
          <cell r="S53" t="str">
            <v>VIGENTE</v>
          </cell>
          <cell r="T53">
            <v>4910000</v>
          </cell>
        </row>
        <row r="54">
          <cell r="N54">
            <v>311</v>
          </cell>
          <cell r="O54">
            <v>310</v>
          </cell>
          <cell r="P54" t="str">
            <v>NUBIA MARCELA RINCON BUENHOMBRE</v>
          </cell>
          <cell r="Q54" t="str">
            <v>CONTRATO DE PRESTACION DE SERVICIOS PROFESIONALES</v>
          </cell>
          <cell r="R54">
            <v>265</v>
          </cell>
          <cell r="S54" t="str">
            <v>VIGENTE</v>
          </cell>
          <cell r="T54">
            <v>1320000</v>
          </cell>
        </row>
        <row r="55">
          <cell r="N55">
            <v>211</v>
          </cell>
          <cell r="O55">
            <v>213</v>
          </cell>
          <cell r="P55" t="str">
            <v>DIEGO JAVIER PARRA CORTES</v>
          </cell>
          <cell r="Q55" t="str">
            <v>CONTRATO DE PRESTACION DE SERVICIOS PROFESIONALES</v>
          </cell>
          <cell r="R55">
            <v>209</v>
          </cell>
          <cell r="S55" t="str">
            <v>VIGENTE</v>
          </cell>
          <cell r="T55">
            <v>7200000</v>
          </cell>
        </row>
        <row r="56">
          <cell r="N56">
            <v>72</v>
          </cell>
          <cell r="O56">
            <v>113</v>
          </cell>
          <cell r="P56" t="str">
            <v>ANDRES JULIAN JIMENEZ DURAN</v>
          </cell>
          <cell r="Q56" t="str">
            <v>CONTRATO DE PRESTACION DE SERVICIOS PROFESIONALES</v>
          </cell>
          <cell r="R56">
            <v>101</v>
          </cell>
          <cell r="S56" t="str">
            <v>VIGENTE</v>
          </cell>
          <cell r="T56">
            <v>5890000</v>
          </cell>
        </row>
        <row r="57">
          <cell r="N57">
            <v>91</v>
          </cell>
          <cell r="O57">
            <v>108</v>
          </cell>
          <cell r="P57" t="str">
            <v>LIZETH PAOLA LOPEZ BARRERA</v>
          </cell>
          <cell r="Q57" t="str">
            <v>CONTRATO DE PRESTACION DE SERVICIOS PROFESIONALES</v>
          </cell>
          <cell r="R57">
            <v>103</v>
          </cell>
          <cell r="S57" t="str">
            <v>VIGENTE</v>
          </cell>
          <cell r="T57">
            <v>5380000</v>
          </cell>
        </row>
        <row r="58">
          <cell r="N58">
            <v>120</v>
          </cell>
          <cell r="O58">
            <v>128</v>
          </cell>
          <cell r="P58" t="str">
            <v>SANDRA JINNETH SABOGAL BERNAL</v>
          </cell>
          <cell r="Q58" t="str">
            <v>CONTRATO DE PRESTACION DE SERVICIOS PROFESIONALES</v>
          </cell>
          <cell r="R58">
            <v>123</v>
          </cell>
          <cell r="S58" t="str">
            <v>VIGENTE</v>
          </cell>
          <cell r="T58">
            <v>5380000</v>
          </cell>
        </row>
        <row r="59">
          <cell r="N59">
            <v>85</v>
          </cell>
          <cell r="O59">
            <v>111</v>
          </cell>
          <cell r="P59" t="str">
            <v>JULIETH GEORYANNA RODRIGUEZ JAIMES</v>
          </cell>
          <cell r="Q59" t="str">
            <v>CONTRATO DE PRESTACION DE SERVICIOS PROFESIONALES</v>
          </cell>
          <cell r="R59">
            <v>92</v>
          </cell>
          <cell r="S59" t="str">
            <v>VIGENTE</v>
          </cell>
          <cell r="T59">
            <v>5380000</v>
          </cell>
        </row>
        <row r="60">
          <cell r="N60">
            <v>101</v>
          </cell>
          <cell r="O60">
            <v>109</v>
          </cell>
          <cell r="P60" t="str">
            <v>PAULA ANDREA AYALA BARON</v>
          </cell>
          <cell r="Q60" t="str">
            <v>CONTRATO DE PRESTACION DE SERVICIOS PROFESIONALES</v>
          </cell>
          <cell r="R60">
            <v>93</v>
          </cell>
          <cell r="S60" t="str">
            <v>VIGENTE</v>
          </cell>
          <cell r="T60">
            <v>5380000</v>
          </cell>
        </row>
        <row r="61">
          <cell r="N61">
            <v>76</v>
          </cell>
          <cell r="O61">
            <v>110</v>
          </cell>
          <cell r="P61" t="str">
            <v>CAROLINA  ORTIZ PEDRAZA</v>
          </cell>
          <cell r="Q61" t="str">
            <v>CONTRATO DE PRESTACION DE SERVICIOS PROFESIONALES</v>
          </cell>
          <cell r="R61">
            <v>120</v>
          </cell>
          <cell r="S61" t="str">
            <v>VIGENTE</v>
          </cell>
          <cell r="T61">
            <v>5380000</v>
          </cell>
        </row>
        <row r="62">
          <cell r="N62">
            <v>250</v>
          </cell>
          <cell r="O62">
            <v>212</v>
          </cell>
          <cell r="P62" t="str">
            <v>DIANA PAOLA BEDOYA GARCIA</v>
          </cell>
          <cell r="Q62" t="str">
            <v>CONTRATO DE PRESTACION DE SERVICIOS PROFESIONALES</v>
          </cell>
          <cell r="R62">
            <v>223</v>
          </cell>
          <cell r="S62" t="str">
            <v>VIGENTE</v>
          </cell>
          <cell r="T62">
            <v>4515667</v>
          </cell>
        </row>
        <row r="63">
          <cell r="N63">
            <v>117</v>
          </cell>
          <cell r="O63">
            <v>137</v>
          </cell>
          <cell r="P63" t="str">
            <v>JAVIER ENRIQUE MOTTA MORALES</v>
          </cell>
          <cell r="Q63" t="str">
            <v>CONTRATO DE PRESTACION DE SERVICIOS DE APOYO A LA GESTION</v>
          </cell>
          <cell r="R63">
            <v>116</v>
          </cell>
          <cell r="S63" t="str">
            <v>VIGENTE</v>
          </cell>
          <cell r="T63">
            <v>3480000</v>
          </cell>
        </row>
        <row r="64">
          <cell r="N64">
            <v>210</v>
          </cell>
          <cell r="O64">
            <v>201</v>
          </cell>
          <cell r="P64" t="str">
            <v>CESAR FERSEN ANDERY PADILLA RODRIGUEZ</v>
          </cell>
          <cell r="Q64" t="str">
            <v>CONTRATO DE PRESTACION DE SERVICIOS DE APOYO A LA GESTION</v>
          </cell>
          <cell r="R64">
            <v>206</v>
          </cell>
          <cell r="S64" t="str">
            <v>VIGENTE</v>
          </cell>
          <cell r="T64">
            <v>1970000</v>
          </cell>
        </row>
        <row r="65">
          <cell r="N65">
            <v>122</v>
          </cell>
          <cell r="O65">
            <v>136</v>
          </cell>
          <cell r="P65" t="str">
            <v>HELLEN  QUIROGA MORA</v>
          </cell>
          <cell r="Q65" t="str">
            <v>CONTRATO DE PRESTACION DE SERVICIOS PROFESIONALES</v>
          </cell>
          <cell r="R65">
            <v>125</v>
          </cell>
          <cell r="S65" t="str">
            <v>VIGENTE</v>
          </cell>
          <cell r="T65">
            <v>5282044</v>
          </cell>
        </row>
        <row r="66">
          <cell r="N66">
            <v>78</v>
          </cell>
          <cell r="O66">
            <v>130</v>
          </cell>
          <cell r="P66" t="str">
            <v>ANDRES IVAN ALBARRACIN SALAMANCA</v>
          </cell>
          <cell r="Q66" t="str">
            <v>CONTRATO DE PRESTACION DE SERVICIOS PROFESIONALES</v>
          </cell>
          <cell r="R66">
            <v>115</v>
          </cell>
          <cell r="S66" t="str">
            <v>VIGENTE</v>
          </cell>
          <cell r="T66">
            <v>4800000</v>
          </cell>
        </row>
        <row r="67">
          <cell r="N67">
            <v>200</v>
          </cell>
          <cell r="O67">
            <v>203</v>
          </cell>
          <cell r="P67" t="str">
            <v>JOSE LUIS ORTIZ CARDENAS</v>
          </cell>
          <cell r="Q67" t="str">
            <v>CONTRATO DE PRESTACION DE SERVICIOS DE APOYO A LA GESTION</v>
          </cell>
          <cell r="R67">
            <v>201</v>
          </cell>
          <cell r="S67" t="str">
            <v>VIGENTE</v>
          </cell>
          <cell r="T67">
            <v>1970000</v>
          </cell>
        </row>
        <row r="68">
          <cell r="N68">
            <v>49</v>
          </cell>
          <cell r="O68">
            <v>47</v>
          </cell>
          <cell r="P68" t="str">
            <v>LAURA RENNEE DEL PINO BUSTOS</v>
          </cell>
          <cell r="Q68" t="str">
            <v>CONTRATO DE PRESTACION DE SERVICIOS PROFESIONALES</v>
          </cell>
          <cell r="R68">
            <v>70</v>
          </cell>
          <cell r="S68" t="str">
            <v>VIGENTE</v>
          </cell>
          <cell r="T68">
            <v>4820000</v>
          </cell>
        </row>
        <row r="69">
          <cell r="N69">
            <v>237</v>
          </cell>
          <cell r="O69">
            <v>207</v>
          </cell>
          <cell r="P69" t="str">
            <v xml:space="preserve">JHOAN SEBASTIAN SANCHEZ </v>
          </cell>
          <cell r="Q69" t="str">
            <v>CONTRATO DE PRESTACION DE SERVICIOS DE APOYO A LA GESTION</v>
          </cell>
          <cell r="R69">
            <v>221</v>
          </cell>
          <cell r="S69" t="str">
            <v>VIGENTE</v>
          </cell>
          <cell r="T69">
            <v>2104000</v>
          </cell>
        </row>
        <row r="70">
          <cell r="N70">
            <v>69</v>
          </cell>
          <cell r="O70">
            <v>129</v>
          </cell>
          <cell r="P70" t="str">
            <v>MELVA SAHIDY PASTRANA MORALES</v>
          </cell>
          <cell r="Q70" t="str">
            <v>CONTRATO DE PRESTACION DE SERVICIOS PROFESIONALES</v>
          </cell>
          <cell r="R70">
            <v>108</v>
          </cell>
          <cell r="S70" t="str">
            <v>VIGENTE</v>
          </cell>
          <cell r="T70">
            <v>5280000</v>
          </cell>
        </row>
        <row r="71">
          <cell r="N71">
            <v>106</v>
          </cell>
          <cell r="O71">
            <v>95</v>
          </cell>
          <cell r="P71" t="str">
            <v>JUAN PABLO LOPEZ PENAGOS</v>
          </cell>
          <cell r="Q71" t="str">
            <v>CONTRATO DE PRESTACION DE SERVICIOS PROFESIONALES</v>
          </cell>
          <cell r="R71">
            <v>74</v>
          </cell>
          <cell r="S71" t="str">
            <v>VIGENTE</v>
          </cell>
          <cell r="T71">
            <v>4800000</v>
          </cell>
        </row>
        <row r="72">
          <cell r="N72">
            <v>65</v>
          </cell>
          <cell r="O72">
            <v>97</v>
          </cell>
          <cell r="P72" t="str">
            <v>ARMANDO  LOZANO REYES</v>
          </cell>
          <cell r="Q72" t="str">
            <v>CONTRATO DE PRESTACION DE SERVICIOS PROFESIONALES</v>
          </cell>
          <cell r="R72">
            <v>72</v>
          </cell>
          <cell r="S72" t="str">
            <v>VIGENTE</v>
          </cell>
          <cell r="T72">
            <v>8750000</v>
          </cell>
        </row>
        <row r="73">
          <cell r="N73">
            <v>97</v>
          </cell>
          <cell r="O73">
            <v>52</v>
          </cell>
          <cell r="P73" t="str">
            <v>JULIANA ANDREA SANCHEZ RODRIGUEZ</v>
          </cell>
          <cell r="Q73" t="str">
            <v>CONTRATO DE PRESTACION DE SERVICIOS PROFESIONALES</v>
          </cell>
          <cell r="R73">
            <v>67</v>
          </cell>
          <cell r="S73" t="str">
            <v>VIGENTE</v>
          </cell>
          <cell r="T73">
            <v>5150000</v>
          </cell>
        </row>
        <row r="74">
          <cell r="N74">
            <v>296</v>
          </cell>
          <cell r="O74">
            <v>309</v>
          </cell>
          <cell r="P74" t="str">
            <v>ANA MARIA CADENA TOBON</v>
          </cell>
          <cell r="Q74" t="str">
            <v>OFICIO</v>
          </cell>
          <cell r="R74">
            <v>16493</v>
          </cell>
          <cell r="S74" t="str">
            <v>VIGENTE</v>
          </cell>
          <cell r="T74">
            <v>985458</v>
          </cell>
        </row>
        <row r="75">
          <cell r="N75">
            <v>248</v>
          </cell>
          <cell r="O75">
            <v>211</v>
          </cell>
          <cell r="P75" t="str">
            <v>MILDRED TATIANA MORENO CASTRO</v>
          </cell>
          <cell r="Q75" t="str">
            <v>CONTRATO DE PRESTACION DE SERVICIOS PROFESIONALES</v>
          </cell>
          <cell r="R75">
            <v>219</v>
          </cell>
          <cell r="S75" t="str">
            <v>VIGENTE</v>
          </cell>
          <cell r="T75">
            <v>5075333</v>
          </cell>
        </row>
        <row r="76">
          <cell r="N76">
            <v>199</v>
          </cell>
          <cell r="O76">
            <v>197</v>
          </cell>
          <cell r="P76" t="str">
            <v>CARLOS GUILLERMO VALENCIA MALDONADO</v>
          </cell>
          <cell r="Q76" t="str">
            <v>CONTRATO DE PRESTACION DE SERVICIOS PROFESIONALES</v>
          </cell>
          <cell r="R76">
            <v>199</v>
          </cell>
          <cell r="S76" t="str">
            <v>VIGENTE</v>
          </cell>
          <cell r="T76">
            <v>3240000</v>
          </cell>
        </row>
        <row r="77">
          <cell r="N77">
            <v>203</v>
          </cell>
          <cell r="O77">
            <v>209</v>
          </cell>
          <cell r="P77" t="str">
            <v>PABLO ANDRES ANGEL PEREZ</v>
          </cell>
          <cell r="Q77" t="str">
            <v>CONTRATO DE PRESTACION DE SERVICIOS PROFESIONALES</v>
          </cell>
          <cell r="R77">
            <v>205</v>
          </cell>
          <cell r="S77" t="str">
            <v>VIGENTE</v>
          </cell>
          <cell r="T77">
            <v>7700000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M92"/>
  <sheetViews>
    <sheetView tabSelected="1" zoomScale="87" zoomScaleNormal="87" workbookViewId="0">
      <selection sqref="A1:A3"/>
    </sheetView>
  </sheetViews>
  <sheetFormatPr baseColWidth="10" defaultRowHeight="12.75"/>
  <cols>
    <col min="1" max="1" width="28.42578125" customWidth="1"/>
    <col min="2" max="2" width="15.42578125" style="114" customWidth="1"/>
    <col min="3" max="3" width="20" customWidth="1"/>
    <col min="4" max="4" width="23.7109375" customWidth="1"/>
    <col min="5" max="5" width="30.85546875" customWidth="1"/>
    <col min="6" max="6" width="32.7109375" customWidth="1"/>
    <col min="7" max="8" width="23.7109375" customWidth="1"/>
    <col min="9" max="9" width="10.85546875" style="997" customWidth="1"/>
    <col min="10" max="10" width="11" style="133" customWidth="1"/>
    <col min="11" max="11" width="10.85546875" style="165" customWidth="1"/>
    <col min="12" max="12" width="9" style="134" customWidth="1"/>
    <col min="13" max="13" width="15" style="114" customWidth="1"/>
    <col min="14" max="14" width="15" style="524" customWidth="1"/>
    <col min="15" max="15" width="15" style="114" customWidth="1"/>
    <col min="16" max="16" width="13.5703125" style="70" customWidth="1"/>
    <col min="17" max="18" width="11.42578125" style="116" customWidth="1"/>
    <col min="19" max="23" width="12.7109375" style="116" customWidth="1"/>
    <col min="24" max="24" width="14.28515625" style="116" customWidth="1"/>
    <col min="25" max="25" width="13.42578125" style="116" customWidth="1"/>
    <col min="26" max="26" width="14.42578125" style="116" bestFit="1" customWidth="1"/>
    <col min="27" max="27" width="13.42578125" style="116" customWidth="1"/>
    <col min="28" max="28" width="12.140625" style="116" customWidth="1"/>
    <col min="29" max="29" width="13.85546875" style="418" customWidth="1"/>
    <col min="30" max="30" width="13.85546875" style="116" bestFit="1" customWidth="1"/>
    <col min="31" max="31" width="5.5703125" style="1505" customWidth="1"/>
    <col min="32" max="32" width="8.28515625" style="116" hidden="1" customWidth="1"/>
    <col min="33" max="33" width="28" style="129" hidden="1" customWidth="1"/>
    <col min="34" max="34" width="13.28515625" style="129" hidden="1" customWidth="1"/>
    <col min="35" max="35" width="12.140625" style="553" hidden="1" customWidth="1"/>
    <col min="36" max="36" width="17.28515625" style="114" hidden="1" customWidth="1"/>
    <col min="37" max="37" width="14.28515625" hidden="1" customWidth="1"/>
    <col min="38" max="38" width="11.42578125" style="972" hidden="1" customWidth="1"/>
    <col min="39" max="39" width="0" hidden="1" customWidth="1"/>
  </cols>
  <sheetData>
    <row r="1" spans="1:38" ht="42.75" customHeight="1" thickBot="1">
      <c r="A1" s="2075"/>
      <c r="B1" s="2072" t="s">
        <v>648</v>
      </c>
      <c r="C1" s="2073"/>
      <c r="D1" s="2073"/>
      <c r="E1" s="2073"/>
      <c r="F1" s="2073"/>
      <c r="G1" s="2073"/>
      <c r="H1" s="2073"/>
      <c r="I1" s="2073"/>
      <c r="J1" s="2073"/>
      <c r="K1" s="2073"/>
      <c r="L1" s="2073"/>
      <c r="M1" s="2073"/>
      <c r="N1" s="2073"/>
      <c r="O1" s="2073"/>
      <c r="P1" s="2073"/>
      <c r="Q1" s="2073"/>
      <c r="R1" s="2073"/>
      <c r="S1" s="2073"/>
      <c r="T1" s="2073"/>
      <c r="U1" s="2073"/>
      <c r="V1" s="2073"/>
      <c r="W1" s="2073"/>
      <c r="X1" s="2073"/>
      <c r="Y1" s="2073"/>
      <c r="Z1" s="2073"/>
      <c r="AA1" s="2073"/>
      <c r="AB1" s="2073"/>
      <c r="AC1" s="2073"/>
      <c r="AD1" s="2074"/>
      <c r="AE1" s="1496"/>
      <c r="AF1" s="312"/>
      <c r="AG1" s="1"/>
    </row>
    <row r="2" spans="1:38" ht="42.75" customHeight="1" thickBot="1">
      <c r="A2" s="2076"/>
      <c r="B2" s="2072" t="s">
        <v>1222</v>
      </c>
      <c r="C2" s="2073"/>
      <c r="D2" s="2073"/>
      <c r="E2" s="2073"/>
      <c r="F2" s="2073"/>
      <c r="G2" s="2073"/>
      <c r="H2" s="2073"/>
      <c r="I2" s="2073"/>
      <c r="J2" s="2073"/>
      <c r="K2" s="2073"/>
      <c r="L2" s="2073"/>
      <c r="M2" s="2073"/>
      <c r="N2" s="2073"/>
      <c r="O2" s="2073"/>
      <c r="P2" s="2073"/>
      <c r="Q2" s="2073"/>
      <c r="R2" s="2073"/>
      <c r="S2" s="2073"/>
      <c r="T2" s="2073"/>
      <c r="U2" s="2073"/>
      <c r="V2" s="2073"/>
      <c r="W2" s="2073"/>
      <c r="X2" s="2073"/>
      <c r="Y2" s="2073"/>
      <c r="Z2" s="2073"/>
      <c r="AA2" s="2073"/>
      <c r="AB2" s="2073"/>
      <c r="AC2" s="2073"/>
      <c r="AD2" s="2074"/>
      <c r="AE2" s="1496"/>
      <c r="AF2" s="312"/>
      <c r="AG2" s="2"/>
    </row>
    <row r="3" spans="1:38" ht="42.75" customHeight="1" thickBot="1">
      <c r="A3" s="2077"/>
      <c r="B3" s="2072" t="s">
        <v>1207</v>
      </c>
      <c r="C3" s="2073"/>
      <c r="D3" s="2073"/>
      <c r="E3" s="2073"/>
      <c r="F3" s="2073"/>
      <c r="G3" s="2073"/>
      <c r="H3" s="2073"/>
      <c r="I3" s="2073"/>
      <c r="J3" s="2073"/>
      <c r="K3" s="2073"/>
      <c r="L3" s="2073"/>
      <c r="M3" s="2073"/>
      <c r="N3" s="2073"/>
      <c r="O3" s="2073"/>
      <c r="P3" s="2073"/>
      <c r="Q3" s="2073"/>
      <c r="R3" s="2073"/>
      <c r="S3" s="2073"/>
      <c r="T3" s="2073"/>
      <c r="U3" s="2073"/>
      <c r="V3" s="2073"/>
      <c r="W3" s="2073"/>
      <c r="X3" s="2073"/>
      <c r="Y3" s="2073"/>
      <c r="Z3" s="2073"/>
      <c r="AA3" s="2073"/>
      <c r="AB3" s="2073"/>
      <c r="AC3" s="2073"/>
      <c r="AD3" s="2074"/>
      <c r="AE3" s="1496"/>
      <c r="AF3" s="312"/>
      <c r="AG3" s="2"/>
    </row>
    <row r="4" spans="1:38" s="291" customFormat="1" ht="12" customHeight="1">
      <c r="A4" s="773" t="s">
        <v>0</v>
      </c>
      <c r="B4" s="559"/>
      <c r="C4" s="559"/>
      <c r="D4" s="559"/>
      <c r="E4" s="559"/>
      <c r="F4" s="559"/>
      <c r="G4" s="559"/>
      <c r="H4" s="1909"/>
      <c r="I4" s="998"/>
      <c r="J4" s="38"/>
      <c r="K4" s="490"/>
      <c r="L4" s="1022"/>
      <c r="M4" s="490"/>
      <c r="N4" s="1022"/>
      <c r="O4" s="490"/>
      <c r="P4" s="39"/>
      <c r="Q4" s="39"/>
      <c r="R4" s="39"/>
      <c r="S4" s="39"/>
      <c r="T4" s="39"/>
      <c r="U4" s="39"/>
      <c r="V4" s="39"/>
      <c r="W4" s="39"/>
      <c r="X4" s="39"/>
      <c r="Y4" s="39"/>
      <c r="Z4" s="39"/>
      <c r="AA4" s="39"/>
      <c r="AB4" s="39"/>
      <c r="AC4" s="39"/>
      <c r="AD4" s="1494"/>
      <c r="AE4" s="1496"/>
      <c r="AF4" s="39"/>
      <c r="AI4" s="1086"/>
      <c r="AJ4" s="327"/>
      <c r="AL4" s="1245"/>
    </row>
    <row r="5" spans="1:38" s="291" customFormat="1">
      <c r="A5" s="2079" t="s">
        <v>435</v>
      </c>
      <c r="B5" s="2078"/>
      <c r="C5" s="2078"/>
      <c r="D5" s="2078"/>
      <c r="E5" s="2078"/>
      <c r="F5" s="2078"/>
      <c r="G5" s="2078"/>
      <c r="H5" s="1909"/>
      <c r="I5" s="981"/>
      <c r="J5" s="292"/>
      <c r="K5" s="499"/>
      <c r="L5" s="975"/>
      <c r="M5" s="499"/>
      <c r="N5" s="975"/>
      <c r="O5" s="499"/>
      <c r="P5" s="297"/>
      <c r="Q5" s="297"/>
      <c r="R5" s="297"/>
      <c r="S5" s="297"/>
      <c r="T5" s="297"/>
      <c r="U5" s="297"/>
      <c r="V5" s="297"/>
      <c r="W5" s="297"/>
      <c r="X5" s="297"/>
      <c r="Y5" s="297"/>
      <c r="Z5" s="297"/>
      <c r="AA5" s="297"/>
      <c r="AB5" s="297"/>
      <c r="AC5" s="459"/>
      <c r="AD5" s="563"/>
      <c r="AE5" s="1497"/>
      <c r="AF5" s="297"/>
      <c r="AI5" s="1086"/>
      <c r="AJ5" s="327"/>
      <c r="AL5" s="1245"/>
    </row>
    <row r="6" spans="1:38" s="291" customFormat="1">
      <c r="A6" s="2079" t="s">
        <v>146</v>
      </c>
      <c r="B6" s="2078"/>
      <c r="C6" s="2078"/>
      <c r="D6" s="2078"/>
      <c r="E6" s="2078"/>
      <c r="F6" s="2078"/>
      <c r="G6" s="2078"/>
      <c r="H6" s="1909"/>
      <c r="I6" s="981"/>
      <c r="J6" s="292"/>
      <c r="K6" s="499"/>
      <c r="L6" s="975"/>
      <c r="M6" s="499"/>
      <c r="N6" s="975"/>
      <c r="O6" s="499"/>
      <c r="P6" s="297"/>
      <c r="Q6" s="297"/>
      <c r="R6" s="297"/>
      <c r="S6" s="297"/>
      <c r="T6" s="297"/>
      <c r="U6" s="297"/>
      <c r="V6" s="297"/>
      <c r="W6" s="297"/>
      <c r="X6" s="297"/>
      <c r="Y6" s="297"/>
      <c r="Z6" s="297"/>
      <c r="AA6" s="297"/>
      <c r="AB6" s="297"/>
      <c r="AC6" s="459"/>
      <c r="AD6" s="563"/>
      <c r="AE6" s="1497"/>
      <c r="AF6" s="297"/>
      <c r="AI6" s="1086"/>
      <c r="AJ6" s="327"/>
      <c r="AL6" s="1245"/>
    </row>
    <row r="7" spans="1:38" s="291" customFormat="1">
      <c r="A7" s="2079" t="s">
        <v>145</v>
      </c>
      <c r="B7" s="2078"/>
      <c r="C7" s="2078"/>
      <c r="D7" s="2078"/>
      <c r="E7" s="2078"/>
      <c r="F7" s="2078"/>
      <c r="G7" s="2078"/>
      <c r="H7" s="1909"/>
      <c r="I7" s="981"/>
      <c r="J7" s="292"/>
      <c r="K7" s="499"/>
      <c r="L7" s="975"/>
      <c r="M7" s="499"/>
      <c r="N7" s="975"/>
      <c r="O7" s="499"/>
      <c r="P7" s="297"/>
      <c r="Q7" s="297"/>
      <c r="R7" s="297"/>
      <c r="S7" s="297"/>
      <c r="T7" s="297"/>
      <c r="U7" s="297"/>
      <c r="V7" s="297"/>
      <c r="W7" s="297"/>
      <c r="X7" s="297"/>
      <c r="Y7" s="297"/>
      <c r="Z7" s="297"/>
      <c r="AA7" s="297"/>
      <c r="AB7" s="297"/>
      <c r="AC7" s="459"/>
      <c r="AD7" s="563"/>
      <c r="AE7" s="1497"/>
      <c r="AF7" s="297"/>
      <c r="AI7" s="1086"/>
      <c r="AJ7" s="327"/>
      <c r="AL7" s="1245"/>
    </row>
    <row r="8" spans="1:38" s="291" customFormat="1">
      <c r="A8" s="2079" t="s">
        <v>144</v>
      </c>
      <c r="B8" s="2078"/>
      <c r="C8" s="2078"/>
      <c r="D8" s="2078"/>
      <c r="E8" s="2078"/>
      <c r="F8" s="2078"/>
      <c r="G8" s="2078"/>
      <c r="H8" s="1909"/>
      <c r="I8" s="981"/>
      <c r="J8" s="292"/>
      <c r="K8" s="499"/>
      <c r="L8" s="975"/>
      <c r="M8" s="499"/>
      <c r="N8" s="975"/>
      <c r="O8" s="499"/>
      <c r="P8" s="297"/>
      <c r="Q8" s="297"/>
      <c r="R8" s="297"/>
      <c r="S8" s="297"/>
      <c r="T8" s="297"/>
      <c r="U8" s="297"/>
      <c r="V8" s="297"/>
      <c r="W8" s="297"/>
      <c r="X8" s="297"/>
      <c r="Y8" s="297"/>
      <c r="Z8" s="297"/>
      <c r="AA8" s="297"/>
      <c r="AB8" s="297"/>
      <c r="AC8" s="459"/>
      <c r="AD8" s="563"/>
      <c r="AE8" s="1497"/>
      <c r="AF8" s="297"/>
      <c r="AI8" s="1086"/>
      <c r="AJ8" s="327"/>
      <c r="AL8" s="1245"/>
    </row>
    <row r="9" spans="1:38" s="291" customFormat="1">
      <c r="A9" s="2080" t="s">
        <v>1</v>
      </c>
      <c r="B9" s="2081"/>
      <c r="C9" s="2081"/>
      <c r="D9" s="2081"/>
      <c r="E9" s="2081"/>
      <c r="F9" s="2081"/>
      <c r="G9" s="2081"/>
      <c r="H9" s="1910"/>
      <c r="I9" s="981"/>
      <c r="J9" s="292"/>
      <c r="K9" s="499"/>
      <c r="L9" s="975"/>
      <c r="M9" s="499"/>
      <c r="N9" s="975"/>
      <c r="O9" s="499"/>
      <c r="P9" s="297"/>
      <c r="Q9" s="297"/>
      <c r="R9" s="297"/>
      <c r="S9" s="297"/>
      <c r="T9" s="297"/>
      <c r="U9" s="297"/>
      <c r="V9" s="297"/>
      <c r="W9" s="297"/>
      <c r="X9" s="297"/>
      <c r="Y9" s="297"/>
      <c r="Z9" s="297"/>
      <c r="AA9" s="297"/>
      <c r="AB9" s="297"/>
      <c r="AC9" s="459"/>
      <c r="AD9" s="563"/>
      <c r="AE9" s="1497"/>
      <c r="AF9" s="297"/>
      <c r="AI9" s="1086"/>
      <c r="AJ9" s="327"/>
      <c r="AL9" s="1245"/>
    </row>
    <row r="10" spans="1:38" s="293" customFormat="1">
      <c r="A10" s="772" t="s">
        <v>2</v>
      </c>
      <c r="B10" s="2078" t="s">
        <v>3</v>
      </c>
      <c r="C10" s="2078"/>
      <c r="D10" s="2078"/>
      <c r="E10" s="303"/>
      <c r="F10" s="303"/>
      <c r="G10" s="303"/>
      <c r="H10" s="303"/>
      <c r="I10" s="981"/>
      <c r="J10" s="292"/>
      <c r="K10" s="499"/>
      <c r="L10" s="975"/>
      <c r="M10" s="499"/>
      <c r="N10" s="975"/>
      <c r="O10" s="499"/>
      <c r="P10" s="297"/>
      <c r="Q10" s="297"/>
      <c r="R10" s="297"/>
      <c r="S10" s="297"/>
      <c r="T10" s="297"/>
      <c r="U10" s="297"/>
      <c r="V10" s="297"/>
      <c r="W10" s="297"/>
      <c r="X10" s="297"/>
      <c r="Y10" s="297"/>
      <c r="Z10" s="297"/>
      <c r="AA10" s="297"/>
      <c r="AB10" s="297"/>
      <c r="AC10" s="459"/>
      <c r="AD10" s="563"/>
      <c r="AE10" s="1497"/>
      <c r="AF10" s="297"/>
      <c r="AI10" s="1087"/>
      <c r="AJ10" s="294"/>
      <c r="AL10" s="1246"/>
    </row>
    <row r="11" spans="1:38" s="293" customFormat="1">
      <c r="A11" s="772" t="s">
        <v>4</v>
      </c>
      <c r="B11" s="2078" t="s">
        <v>5</v>
      </c>
      <c r="C11" s="2078"/>
      <c r="D11" s="2078"/>
      <c r="E11" s="2078"/>
      <c r="F11" s="2078"/>
      <c r="G11" s="2078"/>
      <c r="H11" s="1909"/>
      <c r="I11" s="981"/>
      <c r="J11" s="292"/>
      <c r="K11" s="499"/>
      <c r="L11" s="975"/>
      <c r="M11" s="499"/>
      <c r="N11" s="975"/>
      <c r="O11" s="499"/>
      <c r="P11" s="297"/>
      <c r="Q11" s="297"/>
      <c r="R11" s="297"/>
      <c r="S11" s="297"/>
      <c r="T11" s="297"/>
      <c r="U11" s="297"/>
      <c r="V11" s="297"/>
      <c r="W11" s="297"/>
      <c r="X11" s="297"/>
      <c r="Y11" s="297"/>
      <c r="Z11" s="297"/>
      <c r="AA11" s="297"/>
      <c r="AB11" s="297"/>
      <c r="AC11" s="459"/>
      <c r="AD11" s="563"/>
      <c r="AE11" s="1497"/>
      <c r="AF11" s="297"/>
      <c r="AI11" s="1087"/>
      <c r="AJ11" s="294"/>
      <c r="AL11" s="1246"/>
    </row>
    <row r="12" spans="1:38" s="293" customFormat="1">
      <c r="A12" s="564" t="s">
        <v>6</v>
      </c>
      <c r="B12" s="2078" t="s">
        <v>7</v>
      </c>
      <c r="C12" s="2078"/>
      <c r="D12" s="2078"/>
      <c r="E12" s="2078"/>
      <c r="F12" s="2078"/>
      <c r="G12" s="2078"/>
      <c r="H12" s="1909"/>
      <c r="I12" s="981"/>
      <c r="J12" s="292"/>
      <c r="K12" s="499"/>
      <c r="L12" s="975"/>
      <c r="M12" s="499"/>
      <c r="N12" s="975"/>
      <c r="O12" s="499"/>
      <c r="P12" s="297"/>
      <c r="Q12" s="297"/>
      <c r="R12" s="297"/>
      <c r="S12" s="297"/>
      <c r="T12" s="297"/>
      <c r="U12" s="297"/>
      <c r="V12" s="297"/>
      <c r="W12" s="297"/>
      <c r="X12" s="297"/>
      <c r="Y12" s="297"/>
      <c r="Z12" s="297"/>
      <c r="AA12" s="297"/>
      <c r="AB12" s="297"/>
      <c r="AC12" s="459"/>
      <c r="AD12" s="563"/>
      <c r="AE12" s="1497"/>
      <c r="AF12" s="297"/>
      <c r="AI12" s="1087"/>
      <c r="AJ12" s="294"/>
      <c r="AL12" s="1246"/>
    </row>
    <row r="13" spans="1:38" s="293" customFormat="1">
      <c r="A13" s="565" t="s">
        <v>8</v>
      </c>
      <c r="B13" s="304">
        <v>43687</v>
      </c>
      <c r="C13" s="559"/>
      <c r="D13" s="305"/>
      <c r="E13" s="305"/>
      <c r="F13" s="305"/>
      <c r="G13" s="305"/>
      <c r="H13" s="305"/>
      <c r="I13" s="981"/>
      <c r="J13" s="292"/>
      <c r="K13" s="499"/>
      <c r="L13" s="975"/>
      <c r="M13" s="499"/>
      <c r="N13" s="975"/>
      <c r="O13" s="499"/>
      <c r="P13" s="297"/>
      <c r="Q13" s="297"/>
      <c r="R13" s="297"/>
      <c r="S13" s="297"/>
      <c r="T13" s="297"/>
      <c r="U13" s="297"/>
      <c r="V13" s="297"/>
      <c r="W13" s="297"/>
      <c r="X13" s="297"/>
      <c r="Y13" s="297"/>
      <c r="Z13" s="297"/>
      <c r="AA13" s="297"/>
      <c r="AB13" s="297"/>
      <c r="AC13" s="459"/>
      <c r="AD13" s="563"/>
      <c r="AE13" s="1497"/>
      <c r="AF13" s="297"/>
      <c r="AI13" s="1087"/>
      <c r="AJ13" s="294"/>
      <c r="AL13" s="1246"/>
    </row>
    <row r="14" spans="1:38" s="293" customFormat="1">
      <c r="A14" s="566" t="s">
        <v>9</v>
      </c>
      <c r="B14" s="318">
        <f>D15-E15</f>
        <v>0</v>
      </c>
      <c r="C14" s="1418" t="s">
        <v>136</v>
      </c>
      <c r="D14" s="1418" t="s">
        <v>1044</v>
      </c>
      <c r="E14" s="1418" t="s">
        <v>1045</v>
      </c>
      <c r="F14" s="325"/>
      <c r="G14" s="325"/>
      <c r="H14" s="1925"/>
      <c r="I14" s="982"/>
      <c r="J14" s="295"/>
      <c r="K14" s="500"/>
      <c r="L14" s="976"/>
      <c r="M14" s="500"/>
      <c r="N14" s="976"/>
      <c r="O14" s="500"/>
      <c r="P14" s="298"/>
      <c r="Q14" s="298"/>
      <c r="R14" s="298"/>
      <c r="S14" s="298"/>
      <c r="T14" s="298"/>
      <c r="U14" s="298"/>
      <c r="V14" s="298"/>
      <c r="W14" s="298"/>
      <c r="X14" s="298"/>
      <c r="Y14" s="298"/>
      <c r="Z14" s="298"/>
      <c r="AA14" s="298"/>
      <c r="AB14" s="298"/>
      <c r="AC14" s="460"/>
      <c r="AD14" s="567"/>
      <c r="AE14" s="1497"/>
      <c r="AF14" s="297"/>
      <c r="AI14" s="1087"/>
      <c r="AJ14" s="294"/>
      <c r="AL14" s="1246"/>
    </row>
    <row r="15" spans="1:38" s="293" customFormat="1" ht="13.5" thickBot="1">
      <c r="A15" s="568" t="s">
        <v>10</v>
      </c>
      <c r="B15" s="306">
        <f>C15+B14</f>
        <v>740000000</v>
      </c>
      <c r="C15" s="306">
        <v>740000000</v>
      </c>
      <c r="D15" s="1495">
        <v>0</v>
      </c>
      <c r="E15" s="1495">
        <v>0</v>
      </c>
      <c r="F15" s="559"/>
      <c r="G15" s="559"/>
      <c r="H15" s="1909"/>
      <c r="I15" s="983"/>
      <c r="J15" s="190"/>
      <c r="K15" s="491"/>
      <c r="L15" s="977"/>
      <c r="M15" s="979"/>
      <c r="N15" s="977"/>
      <c r="O15" s="980"/>
      <c r="P15" s="296"/>
      <c r="Q15" s="296"/>
      <c r="R15" s="296"/>
      <c r="S15" s="296"/>
      <c r="T15" s="296"/>
      <c r="U15" s="296"/>
      <c r="V15" s="296"/>
      <c r="W15" s="296"/>
      <c r="X15" s="296"/>
      <c r="Y15" s="296"/>
      <c r="Z15" s="296"/>
      <c r="AA15" s="296"/>
      <c r="AB15" s="296"/>
      <c r="AC15" s="461"/>
      <c r="AD15" s="569"/>
      <c r="AE15" s="1498"/>
      <c r="AF15" s="326"/>
      <c r="AI15" s="1087"/>
      <c r="AJ15" s="294"/>
      <c r="AL15" s="1246"/>
    </row>
    <row r="16" spans="1:38" ht="25.5">
      <c r="A16" s="570" t="s">
        <v>11</v>
      </c>
      <c r="B16" s="119" t="s">
        <v>12</v>
      </c>
      <c r="C16" s="119" t="s">
        <v>13</v>
      </c>
      <c r="D16" s="3" t="s">
        <v>14</v>
      </c>
      <c r="E16" s="3" t="s">
        <v>15</v>
      </c>
      <c r="F16" s="3" t="s">
        <v>436</v>
      </c>
      <c r="G16" s="3" t="s">
        <v>16</v>
      </c>
      <c r="H16" s="3" t="s">
        <v>1379</v>
      </c>
      <c r="I16" s="206" t="s">
        <v>527</v>
      </c>
      <c r="J16" s="4" t="s">
        <v>95</v>
      </c>
      <c r="K16" s="278" t="s">
        <v>130</v>
      </c>
      <c r="L16" s="106" t="s">
        <v>96</v>
      </c>
      <c r="M16" s="5" t="s">
        <v>17</v>
      </c>
      <c r="N16" s="98" t="s">
        <v>97</v>
      </c>
      <c r="O16" s="5" t="s">
        <v>18</v>
      </c>
      <c r="P16" s="254" t="s">
        <v>98</v>
      </c>
      <c r="Q16" s="746" t="s">
        <v>99</v>
      </c>
      <c r="R16" s="747" t="s">
        <v>100</v>
      </c>
      <c r="S16" s="747" t="s">
        <v>101</v>
      </c>
      <c r="T16" s="747" t="s">
        <v>102</v>
      </c>
      <c r="U16" s="747" t="s">
        <v>103</v>
      </c>
      <c r="V16" s="747" t="s">
        <v>104</v>
      </c>
      <c r="W16" s="747" t="s">
        <v>105</v>
      </c>
      <c r="X16" s="747" t="s">
        <v>106</v>
      </c>
      <c r="Y16" s="747" t="s">
        <v>107</v>
      </c>
      <c r="Z16" s="747" t="s">
        <v>108</v>
      </c>
      <c r="AA16" s="747" t="s">
        <v>109</v>
      </c>
      <c r="AB16" s="747" t="s">
        <v>110</v>
      </c>
      <c r="AC16" s="774" t="s">
        <v>111</v>
      </c>
      <c r="AD16" s="775" t="s">
        <v>112</v>
      </c>
      <c r="AE16" s="1499"/>
      <c r="AF16" s="914" t="s">
        <v>134</v>
      </c>
      <c r="AG16" s="917" t="s">
        <v>114</v>
      </c>
      <c r="AH16" s="917" t="s">
        <v>115</v>
      </c>
      <c r="AI16" s="1088" t="s">
        <v>119</v>
      </c>
      <c r="AJ16" s="917" t="s">
        <v>122</v>
      </c>
      <c r="AK16" s="918" t="s">
        <v>135</v>
      </c>
    </row>
    <row r="17" spans="1:39" s="6" customFormat="1" ht="34.5" customHeight="1">
      <c r="A17" s="758" t="s">
        <v>23</v>
      </c>
      <c r="B17" s="120">
        <f>637000000-15400000</f>
        <v>621600000</v>
      </c>
      <c r="C17" s="1318" t="s">
        <v>20</v>
      </c>
      <c r="D17" s="1318" t="s">
        <v>21</v>
      </c>
      <c r="E17" s="1316" t="s">
        <v>140</v>
      </c>
      <c r="F17" s="1316" t="s">
        <v>796</v>
      </c>
      <c r="G17" s="1316" t="s">
        <v>22</v>
      </c>
      <c r="H17" s="1927" t="s">
        <v>1381</v>
      </c>
      <c r="I17" s="984"/>
      <c r="J17" s="331"/>
      <c r="K17" s="501"/>
      <c r="L17" s="332"/>
      <c r="M17" s="333"/>
      <c r="N17" s="334"/>
      <c r="O17" s="333"/>
      <c r="P17" s="335"/>
      <c r="Q17" s="336"/>
      <c r="R17" s="337"/>
      <c r="S17" s="337"/>
      <c r="T17" s="337"/>
      <c r="U17" s="337"/>
      <c r="V17" s="337"/>
      <c r="W17" s="337"/>
      <c r="X17" s="337"/>
      <c r="Y17" s="337"/>
      <c r="Z17" s="337"/>
      <c r="AA17" s="337"/>
      <c r="AB17" s="337"/>
      <c r="AC17" s="462"/>
      <c r="AD17" s="456"/>
      <c r="AE17" s="1500"/>
      <c r="AF17" s="960"/>
      <c r="AG17" s="338"/>
      <c r="AH17" s="338"/>
      <c r="AI17" s="1089"/>
      <c r="AJ17" s="339"/>
      <c r="AK17" s="961"/>
      <c r="AL17" s="973"/>
    </row>
    <row r="18" spans="1:39" s="630" customFormat="1" ht="14.25">
      <c r="A18" s="625" t="s">
        <v>23</v>
      </c>
      <c r="B18" s="154">
        <f>M18</f>
        <v>28119000</v>
      </c>
      <c r="C18" s="78" t="s">
        <v>20</v>
      </c>
      <c r="D18" s="78" t="s">
        <v>21</v>
      </c>
      <c r="E18" s="78" t="s">
        <v>140</v>
      </c>
      <c r="F18" s="78" t="s">
        <v>796</v>
      </c>
      <c r="G18" s="78" t="s">
        <v>22</v>
      </c>
      <c r="H18" s="1928" t="s">
        <v>1381</v>
      </c>
      <c r="I18" s="985">
        <v>1</v>
      </c>
      <c r="J18" s="608"/>
      <c r="K18" s="154"/>
      <c r="L18" s="626">
        <v>254</v>
      </c>
      <c r="M18" s="1314">
        <v>28119000</v>
      </c>
      <c r="N18" s="627">
        <v>261</v>
      </c>
      <c r="O18" s="628">
        <v>28119000</v>
      </c>
      <c r="P18" s="255">
        <v>226</v>
      </c>
      <c r="Q18" s="240"/>
      <c r="R18" s="153"/>
      <c r="S18" s="153">
        <f>VLOOKUP(N18,[2]Hoja2!N$2:T$15,7,0)</f>
        <v>1963867</v>
      </c>
      <c r="T18" s="153">
        <v>2678000</v>
      </c>
      <c r="U18" s="153">
        <v>2678000</v>
      </c>
      <c r="V18" s="153">
        <v>2678000</v>
      </c>
      <c r="W18" s="153">
        <v>2678000</v>
      </c>
      <c r="X18" s="153">
        <v>2678000</v>
      </c>
      <c r="Y18" s="153">
        <v>2678000</v>
      </c>
      <c r="Z18" s="153"/>
      <c r="AA18" s="153"/>
      <c r="AB18" s="153"/>
      <c r="AC18" s="431">
        <f>SUM(Q18:AB18)</f>
        <v>18031867</v>
      </c>
      <c r="AD18" s="406">
        <f>O18-AC18</f>
        <v>10087133</v>
      </c>
      <c r="AE18" s="355"/>
      <c r="AF18" s="962">
        <v>1</v>
      </c>
      <c r="AG18" s="322" t="s">
        <v>305</v>
      </c>
      <c r="AH18" s="328" t="s">
        <v>1208</v>
      </c>
      <c r="AI18" s="1054">
        <f>P18</f>
        <v>226</v>
      </c>
      <c r="AJ18" s="629">
        <v>28119000</v>
      </c>
      <c r="AK18" s="926">
        <f t="shared" ref="AK18:AK36" si="0">AJ18-O18</f>
        <v>0</v>
      </c>
      <c r="AL18" s="973"/>
      <c r="AM18" s="1605">
        <f>AJ18-M18</f>
        <v>0</v>
      </c>
    </row>
    <row r="19" spans="1:39" s="8" customFormat="1" ht="14.25">
      <c r="A19" s="82" t="s">
        <v>23</v>
      </c>
      <c r="B19" s="154">
        <f t="shared" ref="B19:B36" si="1">M19</f>
        <v>53460000</v>
      </c>
      <c r="C19" s="78" t="s">
        <v>20</v>
      </c>
      <c r="D19" s="78" t="s">
        <v>21</v>
      </c>
      <c r="E19" s="78" t="s">
        <v>140</v>
      </c>
      <c r="F19" s="78" t="s">
        <v>796</v>
      </c>
      <c r="G19" s="78" t="s">
        <v>22</v>
      </c>
      <c r="H19" s="1928" t="s">
        <v>1381</v>
      </c>
      <c r="I19" s="986">
        <v>2</v>
      </c>
      <c r="J19" s="97"/>
      <c r="K19" s="131"/>
      <c r="L19" s="626">
        <v>237</v>
      </c>
      <c r="M19" s="105">
        <v>53460000</v>
      </c>
      <c r="N19" s="627">
        <v>213</v>
      </c>
      <c r="O19" s="628">
        <v>53460000</v>
      </c>
      <c r="P19" s="255">
        <v>196</v>
      </c>
      <c r="Q19" s="240"/>
      <c r="R19" s="153"/>
      <c r="S19" s="153">
        <f>VLOOKUP(N19,[2]Hoja2!N$2:T$15,7,0)</f>
        <v>4860000</v>
      </c>
      <c r="T19" s="153">
        <v>4860000</v>
      </c>
      <c r="U19" s="153">
        <v>4860000</v>
      </c>
      <c r="V19" s="153">
        <v>4860000</v>
      </c>
      <c r="W19" s="153">
        <v>4860000</v>
      </c>
      <c r="X19" s="153">
        <v>4860000</v>
      </c>
      <c r="Y19" s="153">
        <v>4860000</v>
      </c>
      <c r="Z19" s="153"/>
      <c r="AA19" s="153"/>
      <c r="AB19" s="153"/>
      <c r="AC19" s="431">
        <f>SUM(Q19:AB19)</f>
        <v>34020000</v>
      </c>
      <c r="AD19" s="406">
        <f>O19-AC19</f>
        <v>19440000</v>
      </c>
      <c r="AE19" s="355"/>
      <c r="AF19" s="962">
        <v>2</v>
      </c>
      <c r="AG19" s="322" t="s">
        <v>306</v>
      </c>
      <c r="AH19" s="328" t="s">
        <v>1209</v>
      </c>
      <c r="AI19" s="1054">
        <f t="shared" ref="AI19:AI36" si="2">P19</f>
        <v>196</v>
      </c>
      <c r="AJ19" s="316">
        <v>53460000</v>
      </c>
      <c r="AK19" s="926">
        <f t="shared" si="0"/>
        <v>0</v>
      </c>
      <c r="AL19" s="973"/>
      <c r="AM19" s="1605">
        <f t="shared" ref="AM19:AM36" si="3">AJ19-M19</f>
        <v>0</v>
      </c>
    </row>
    <row r="20" spans="1:39" s="8" customFormat="1" ht="14.25">
      <c r="A20" s="82" t="s">
        <v>23</v>
      </c>
      <c r="B20" s="154">
        <f t="shared" si="1"/>
        <v>9233600</v>
      </c>
      <c r="C20" s="78" t="s">
        <v>20</v>
      </c>
      <c r="D20" s="78" t="s">
        <v>21</v>
      </c>
      <c r="E20" s="78" t="s">
        <v>140</v>
      </c>
      <c r="F20" s="78" t="s">
        <v>796</v>
      </c>
      <c r="G20" s="78" t="s">
        <v>22</v>
      </c>
      <c r="H20" s="1928" t="s">
        <v>1381</v>
      </c>
      <c r="I20" s="986" t="s">
        <v>150</v>
      </c>
      <c r="J20" s="97">
        <v>550</v>
      </c>
      <c r="K20" s="131">
        <f>1003000</f>
        <v>1003000</v>
      </c>
      <c r="L20" s="1132" t="s">
        <v>1359</v>
      </c>
      <c r="M20" s="105">
        <f>451600+1647400+2119600+1003000+1003000+1003000+1003000+1003000</f>
        <v>9233600</v>
      </c>
      <c r="N20" s="627" t="s">
        <v>1360</v>
      </c>
      <c r="O20" s="105">
        <f>451600+1647400+2119600+1003000+1003000+1003000+1003000+1003000</f>
        <v>9233600</v>
      </c>
      <c r="P20" s="1218" t="s">
        <v>647</v>
      </c>
      <c r="Q20" s="240"/>
      <c r="R20" s="153">
        <v>451600</v>
      </c>
      <c r="S20" s="153">
        <v>1647400</v>
      </c>
      <c r="T20" s="153">
        <v>2119600</v>
      </c>
      <c r="U20" s="153">
        <v>1003000</v>
      </c>
      <c r="V20" s="153">
        <v>1003000</v>
      </c>
      <c r="W20" s="153">
        <v>1003000</v>
      </c>
      <c r="X20" s="153">
        <v>1003000</v>
      </c>
      <c r="Y20" s="153">
        <v>1003000</v>
      </c>
      <c r="Z20" s="153"/>
      <c r="AA20" s="153"/>
      <c r="AB20" s="153"/>
      <c r="AC20" s="431">
        <f>SUM(Q20:AB20)</f>
        <v>9233600</v>
      </c>
      <c r="AD20" s="406">
        <f>O20-AC20</f>
        <v>0</v>
      </c>
      <c r="AE20" s="355"/>
      <c r="AF20" s="962" t="s">
        <v>150</v>
      </c>
      <c r="AG20" s="322" t="s">
        <v>307</v>
      </c>
      <c r="AH20" s="328" t="s">
        <v>648</v>
      </c>
      <c r="AI20" s="1054" t="str">
        <f t="shared" si="2"/>
        <v>ARL POSITIVA</v>
      </c>
      <c r="AJ20" s="316">
        <v>11000000</v>
      </c>
      <c r="AK20" s="926">
        <f t="shared" si="0"/>
        <v>1766400</v>
      </c>
      <c r="AL20" s="973"/>
      <c r="AM20" s="1605">
        <f t="shared" si="3"/>
        <v>1766400</v>
      </c>
    </row>
    <row r="21" spans="1:39" s="8" customFormat="1" ht="14.25">
      <c r="A21" s="82" t="s">
        <v>23</v>
      </c>
      <c r="B21" s="154">
        <f t="shared" si="1"/>
        <v>28119000</v>
      </c>
      <c r="C21" s="78" t="s">
        <v>20</v>
      </c>
      <c r="D21" s="78" t="s">
        <v>21</v>
      </c>
      <c r="E21" s="78" t="s">
        <v>140</v>
      </c>
      <c r="F21" s="78" t="s">
        <v>796</v>
      </c>
      <c r="G21" s="78" t="s">
        <v>22</v>
      </c>
      <c r="H21" s="1928" t="s">
        <v>1381</v>
      </c>
      <c r="I21" s="986">
        <v>3</v>
      </c>
      <c r="J21" s="97"/>
      <c r="K21" s="131"/>
      <c r="L21" s="626">
        <v>246</v>
      </c>
      <c r="M21" s="105">
        <v>28119000</v>
      </c>
      <c r="N21" s="627">
        <v>241</v>
      </c>
      <c r="O21" s="628">
        <v>28119000</v>
      </c>
      <c r="P21" s="255">
        <v>213</v>
      </c>
      <c r="Q21" s="240"/>
      <c r="R21" s="153"/>
      <c r="S21" s="153">
        <f>VLOOKUP(N21,[2]Hoja2!N$2:T$15,7,0)</f>
        <v>1785333</v>
      </c>
      <c r="T21" s="153">
        <v>2678000</v>
      </c>
      <c r="U21" s="153">
        <v>2678000</v>
      </c>
      <c r="V21" s="153">
        <v>2678000</v>
      </c>
      <c r="W21" s="153">
        <v>2678000</v>
      </c>
      <c r="X21" s="153">
        <v>2678000</v>
      </c>
      <c r="Y21" s="153">
        <v>2678000</v>
      </c>
      <c r="Z21" s="153"/>
      <c r="AA21" s="153"/>
      <c r="AB21" s="153"/>
      <c r="AC21" s="431">
        <f>SUM(Q21:AB21)</f>
        <v>17853333</v>
      </c>
      <c r="AD21" s="406">
        <f>O21-AC21</f>
        <v>10265667</v>
      </c>
      <c r="AE21" s="355"/>
      <c r="AF21" s="962">
        <v>3</v>
      </c>
      <c r="AG21" s="322" t="s">
        <v>305</v>
      </c>
      <c r="AH21" s="328" t="s">
        <v>649</v>
      </c>
      <c r="AI21" s="1054">
        <f t="shared" si="2"/>
        <v>213</v>
      </c>
      <c r="AJ21" s="316">
        <v>28119000</v>
      </c>
      <c r="AK21" s="926">
        <f t="shared" si="0"/>
        <v>0</v>
      </c>
      <c r="AL21" s="973"/>
      <c r="AM21" s="1605">
        <f t="shared" si="3"/>
        <v>0</v>
      </c>
    </row>
    <row r="22" spans="1:39" s="8" customFormat="1" ht="14.25">
      <c r="A22" s="82" t="s">
        <v>23</v>
      </c>
      <c r="B22" s="154">
        <f t="shared" si="1"/>
        <v>59400000</v>
      </c>
      <c r="C22" s="78" t="s">
        <v>20</v>
      </c>
      <c r="D22" s="78" t="s">
        <v>21</v>
      </c>
      <c r="E22" s="78" t="s">
        <v>140</v>
      </c>
      <c r="F22" s="78" t="s">
        <v>796</v>
      </c>
      <c r="G22" s="78" t="s">
        <v>22</v>
      </c>
      <c r="H22" s="1928" t="s">
        <v>1381</v>
      </c>
      <c r="I22" s="986">
        <v>5</v>
      </c>
      <c r="J22" s="97"/>
      <c r="K22" s="131"/>
      <c r="L22" s="626">
        <v>370</v>
      </c>
      <c r="M22" s="105">
        <v>59400000</v>
      </c>
      <c r="N22" s="627">
        <v>388</v>
      </c>
      <c r="O22" s="628">
        <v>59400000</v>
      </c>
      <c r="P22" s="255">
        <v>305</v>
      </c>
      <c r="Q22" s="240"/>
      <c r="R22" s="153"/>
      <c r="S22" s="153"/>
      <c r="T22" s="153"/>
      <c r="U22" s="153"/>
      <c r="V22" s="153"/>
      <c r="W22" s="153"/>
      <c r="X22" s="153"/>
      <c r="Y22" s="153"/>
      <c r="Z22" s="153"/>
      <c r="AA22" s="153"/>
      <c r="AB22" s="153"/>
      <c r="AC22" s="431">
        <f>SUM(Q22:AB22)</f>
        <v>0</v>
      </c>
      <c r="AD22" s="406">
        <f>O22-AC22</f>
        <v>59400000</v>
      </c>
      <c r="AE22" s="355"/>
      <c r="AF22" s="962">
        <v>5</v>
      </c>
      <c r="AG22" s="322" t="s">
        <v>308</v>
      </c>
      <c r="AH22" s="328" t="s">
        <v>851</v>
      </c>
      <c r="AI22" s="1054">
        <f t="shared" si="2"/>
        <v>305</v>
      </c>
      <c r="AJ22" s="316">
        <v>59400000</v>
      </c>
      <c r="AK22" s="926">
        <f t="shared" si="0"/>
        <v>0</v>
      </c>
      <c r="AL22" s="973"/>
      <c r="AM22" s="1605">
        <f t="shared" si="3"/>
        <v>0</v>
      </c>
    </row>
    <row r="23" spans="1:39" s="8" customFormat="1" ht="14.25">
      <c r="A23" s="82" t="s">
        <v>23</v>
      </c>
      <c r="B23" s="154">
        <f t="shared" si="1"/>
        <v>48280000</v>
      </c>
      <c r="C23" s="78" t="s">
        <v>20</v>
      </c>
      <c r="D23" s="78" t="s">
        <v>21</v>
      </c>
      <c r="E23" s="78" t="s">
        <v>140</v>
      </c>
      <c r="F23" s="78" t="s">
        <v>796</v>
      </c>
      <c r="G23" s="78" t="s">
        <v>22</v>
      </c>
      <c r="H23" s="1928" t="s">
        <v>1381</v>
      </c>
      <c r="I23" s="986">
        <v>6</v>
      </c>
      <c r="J23" s="97"/>
      <c r="K23" s="131"/>
      <c r="L23" s="626">
        <v>167</v>
      </c>
      <c r="M23" s="105">
        <v>48280000</v>
      </c>
      <c r="N23" s="99">
        <v>161</v>
      </c>
      <c r="O23" s="105">
        <v>48280000</v>
      </c>
      <c r="P23" s="255">
        <v>142</v>
      </c>
      <c r="Q23" s="240"/>
      <c r="R23" s="153"/>
      <c r="S23" s="153">
        <v>4504000</v>
      </c>
      <c r="T23" s="153">
        <v>4342000</v>
      </c>
      <c r="U23" s="153">
        <v>4342000</v>
      </c>
      <c r="V23" s="153">
        <v>4342000</v>
      </c>
      <c r="W23" s="153">
        <v>4342000</v>
      </c>
      <c r="X23" s="153">
        <v>4342000</v>
      </c>
      <c r="Y23" s="153">
        <v>4342000</v>
      </c>
      <c r="Z23" s="153"/>
      <c r="AA23" s="153"/>
      <c r="AB23" s="153"/>
      <c r="AC23" s="431">
        <f t="shared" ref="AC23:AC35" si="4">SUM(Q23:AB23)</f>
        <v>30556000</v>
      </c>
      <c r="AD23" s="406">
        <f t="shared" ref="AD23:AD35" si="5">O23-AC23</f>
        <v>17724000</v>
      </c>
      <c r="AE23" s="355"/>
      <c r="AF23" s="962">
        <v>6</v>
      </c>
      <c r="AG23" s="322" t="s">
        <v>309</v>
      </c>
      <c r="AH23" s="328" t="s">
        <v>1210</v>
      </c>
      <c r="AI23" s="1054">
        <f t="shared" si="2"/>
        <v>142</v>
      </c>
      <c r="AJ23" s="316">
        <v>48280000</v>
      </c>
      <c r="AK23" s="926">
        <f t="shared" si="0"/>
        <v>0</v>
      </c>
      <c r="AL23" s="973"/>
      <c r="AM23" s="1605">
        <f t="shared" si="3"/>
        <v>0</v>
      </c>
    </row>
    <row r="24" spans="1:39" s="8" customFormat="1" ht="14.25">
      <c r="A24" s="82" t="s">
        <v>23</v>
      </c>
      <c r="B24" s="154">
        <f t="shared" si="1"/>
        <v>0</v>
      </c>
      <c r="C24" s="78" t="s">
        <v>20</v>
      </c>
      <c r="D24" s="78" t="s">
        <v>21</v>
      </c>
      <c r="E24" s="78" t="s">
        <v>140</v>
      </c>
      <c r="F24" s="78" t="s">
        <v>796</v>
      </c>
      <c r="G24" s="78" t="s">
        <v>22</v>
      </c>
      <c r="H24" s="1928" t="s">
        <v>1381</v>
      </c>
      <c r="I24" s="986">
        <v>8</v>
      </c>
      <c r="J24" s="97"/>
      <c r="K24" s="131"/>
      <c r="L24" s="626"/>
      <c r="M24" s="105"/>
      <c r="N24" s="627"/>
      <c r="O24" s="628"/>
      <c r="P24" s="255"/>
      <c r="Q24" s="240"/>
      <c r="R24" s="153"/>
      <c r="S24" s="153"/>
      <c r="T24" s="153"/>
      <c r="U24" s="153"/>
      <c r="V24" s="153"/>
      <c r="W24" s="153"/>
      <c r="X24" s="153"/>
      <c r="Y24" s="153"/>
      <c r="Z24" s="153"/>
      <c r="AA24" s="153"/>
      <c r="AB24" s="153"/>
      <c r="AC24" s="431">
        <f t="shared" si="4"/>
        <v>0</v>
      </c>
      <c r="AD24" s="406">
        <f t="shared" si="5"/>
        <v>0</v>
      </c>
      <c r="AE24" s="355"/>
      <c r="AF24" s="962">
        <v>8</v>
      </c>
      <c r="AG24" s="322" t="s">
        <v>310</v>
      </c>
      <c r="AH24" s="328" t="s">
        <v>178</v>
      </c>
      <c r="AI24" s="1054">
        <f t="shared" si="2"/>
        <v>0</v>
      </c>
      <c r="AJ24" s="316">
        <f>29528000-29528000</f>
        <v>0</v>
      </c>
      <c r="AK24" s="926">
        <f t="shared" si="0"/>
        <v>0</v>
      </c>
      <c r="AL24" s="973"/>
      <c r="AM24" s="1605">
        <f t="shared" si="3"/>
        <v>0</v>
      </c>
    </row>
    <row r="25" spans="1:39" s="8" customFormat="1" ht="14.25">
      <c r="A25" s="82" t="s">
        <v>23</v>
      </c>
      <c r="B25" s="154">
        <f t="shared" si="1"/>
        <v>28119000</v>
      </c>
      <c r="C25" s="78" t="s">
        <v>20</v>
      </c>
      <c r="D25" s="78" t="s">
        <v>21</v>
      </c>
      <c r="E25" s="78" t="s">
        <v>140</v>
      </c>
      <c r="F25" s="78" t="s">
        <v>796</v>
      </c>
      <c r="G25" s="78" t="s">
        <v>22</v>
      </c>
      <c r="H25" s="1928" t="s">
        <v>1381</v>
      </c>
      <c r="I25" s="986">
        <v>9</v>
      </c>
      <c r="J25" s="97"/>
      <c r="K25" s="131"/>
      <c r="L25" s="626">
        <v>255</v>
      </c>
      <c r="M25" s="105">
        <v>28119000</v>
      </c>
      <c r="N25" s="627">
        <v>262</v>
      </c>
      <c r="O25" s="628">
        <v>28119000</v>
      </c>
      <c r="P25" s="255">
        <v>225</v>
      </c>
      <c r="Q25" s="240"/>
      <c r="R25" s="153"/>
      <c r="S25" s="153">
        <f>VLOOKUP(N25,[2]Hoja2!N$2:T$15,7,0)</f>
        <v>1963867</v>
      </c>
      <c r="T25" s="153">
        <v>2678000</v>
      </c>
      <c r="U25" s="153">
        <v>2678000</v>
      </c>
      <c r="V25" s="153">
        <v>2678000</v>
      </c>
      <c r="W25" s="153">
        <v>2678000</v>
      </c>
      <c r="X25" s="153">
        <v>2678000</v>
      </c>
      <c r="Y25" s="153">
        <v>2678000</v>
      </c>
      <c r="Z25" s="153"/>
      <c r="AA25" s="153"/>
      <c r="AB25" s="153"/>
      <c r="AC25" s="431">
        <f t="shared" si="4"/>
        <v>18031867</v>
      </c>
      <c r="AD25" s="406">
        <f t="shared" si="5"/>
        <v>10087133</v>
      </c>
      <c r="AE25" s="355"/>
      <c r="AF25" s="962">
        <v>9</v>
      </c>
      <c r="AG25" s="322" t="s">
        <v>305</v>
      </c>
      <c r="AH25" s="328" t="s">
        <v>1211</v>
      </c>
      <c r="AI25" s="1054">
        <f t="shared" si="2"/>
        <v>225</v>
      </c>
      <c r="AJ25" s="316">
        <v>28119000</v>
      </c>
      <c r="AK25" s="926">
        <f t="shared" si="0"/>
        <v>0</v>
      </c>
      <c r="AL25" s="973"/>
      <c r="AM25" s="1605">
        <f t="shared" si="3"/>
        <v>0</v>
      </c>
    </row>
    <row r="26" spans="1:39" s="8" customFormat="1" ht="14.25">
      <c r="A26" s="82" t="s">
        <v>23</v>
      </c>
      <c r="B26" s="154">
        <f t="shared" si="1"/>
        <v>28119000</v>
      </c>
      <c r="C26" s="78" t="s">
        <v>20</v>
      </c>
      <c r="D26" s="78" t="s">
        <v>21</v>
      </c>
      <c r="E26" s="78" t="s">
        <v>140</v>
      </c>
      <c r="F26" s="78" t="s">
        <v>796</v>
      </c>
      <c r="G26" s="78" t="s">
        <v>22</v>
      </c>
      <c r="H26" s="1928" t="s">
        <v>1381</v>
      </c>
      <c r="I26" s="986">
        <v>10</v>
      </c>
      <c r="J26" s="97"/>
      <c r="K26" s="131"/>
      <c r="L26" s="626">
        <v>256</v>
      </c>
      <c r="M26" s="105">
        <v>28119000</v>
      </c>
      <c r="N26" s="627">
        <v>252</v>
      </c>
      <c r="O26" s="628">
        <v>28119000</v>
      </c>
      <c r="P26" s="255">
        <v>227</v>
      </c>
      <c r="Q26" s="240"/>
      <c r="R26" s="153"/>
      <c r="S26" s="153">
        <f>VLOOKUP(N26,[2]Hoja2!N$2:T$15,7,0)</f>
        <v>1963867</v>
      </c>
      <c r="T26" s="153">
        <v>2678000</v>
      </c>
      <c r="U26" s="153">
        <v>2678000</v>
      </c>
      <c r="V26" s="153">
        <v>2678000</v>
      </c>
      <c r="W26" s="153">
        <v>2678000</v>
      </c>
      <c r="X26" s="153">
        <v>2678000</v>
      </c>
      <c r="Y26" s="153">
        <v>2678000</v>
      </c>
      <c r="Z26" s="153"/>
      <c r="AA26" s="153"/>
      <c r="AB26" s="153"/>
      <c r="AC26" s="431">
        <f t="shared" si="4"/>
        <v>18031867</v>
      </c>
      <c r="AD26" s="406">
        <f t="shared" si="5"/>
        <v>10087133</v>
      </c>
      <c r="AE26" s="355"/>
      <c r="AF26" s="962">
        <v>10</v>
      </c>
      <c r="AG26" s="322" t="s">
        <v>305</v>
      </c>
      <c r="AH26" s="328" t="s">
        <v>1212</v>
      </c>
      <c r="AI26" s="1054">
        <f t="shared" si="2"/>
        <v>227</v>
      </c>
      <c r="AJ26" s="316">
        <v>28119000</v>
      </c>
      <c r="AK26" s="926">
        <f t="shared" si="0"/>
        <v>0</v>
      </c>
      <c r="AL26" s="973"/>
      <c r="AM26" s="1605">
        <f t="shared" si="3"/>
        <v>0</v>
      </c>
    </row>
    <row r="27" spans="1:39" s="8" customFormat="1" ht="14.25">
      <c r="A27" s="82" t="s">
        <v>23</v>
      </c>
      <c r="B27" s="154">
        <f t="shared" si="1"/>
        <v>28119000</v>
      </c>
      <c r="C27" s="78" t="s">
        <v>20</v>
      </c>
      <c r="D27" s="78" t="s">
        <v>21</v>
      </c>
      <c r="E27" s="78" t="s">
        <v>140</v>
      </c>
      <c r="F27" s="78" t="s">
        <v>796</v>
      </c>
      <c r="G27" s="78" t="s">
        <v>22</v>
      </c>
      <c r="H27" s="1928" t="s">
        <v>1381</v>
      </c>
      <c r="I27" s="986">
        <v>11</v>
      </c>
      <c r="J27" s="97"/>
      <c r="K27" s="131"/>
      <c r="L27" s="626">
        <v>257</v>
      </c>
      <c r="M27" s="105">
        <v>28119000</v>
      </c>
      <c r="N27" s="627">
        <v>276</v>
      </c>
      <c r="O27" s="628">
        <v>28119000</v>
      </c>
      <c r="P27" s="255">
        <v>241</v>
      </c>
      <c r="Q27" s="240"/>
      <c r="R27" s="153"/>
      <c r="S27" s="153">
        <f>VLOOKUP(N27,[2]Hoja2!N$2:T$15,7,0)</f>
        <v>1606800</v>
      </c>
      <c r="T27" s="153">
        <v>2678000</v>
      </c>
      <c r="U27" s="153">
        <v>2678000</v>
      </c>
      <c r="V27" s="153">
        <v>2678000</v>
      </c>
      <c r="W27" s="153">
        <v>2678000</v>
      </c>
      <c r="X27" s="153">
        <v>2678000</v>
      </c>
      <c r="Y27" s="153">
        <v>2678000</v>
      </c>
      <c r="Z27" s="153"/>
      <c r="AA27" s="153"/>
      <c r="AB27" s="153"/>
      <c r="AC27" s="431">
        <f t="shared" si="4"/>
        <v>17674800</v>
      </c>
      <c r="AD27" s="406">
        <f t="shared" si="5"/>
        <v>10444200</v>
      </c>
      <c r="AE27" s="355"/>
      <c r="AF27" s="962">
        <v>11</v>
      </c>
      <c r="AG27" s="322" t="s">
        <v>305</v>
      </c>
      <c r="AH27" s="328" t="s">
        <v>1213</v>
      </c>
      <c r="AI27" s="1054">
        <f t="shared" si="2"/>
        <v>241</v>
      </c>
      <c r="AJ27" s="316">
        <v>28119000</v>
      </c>
      <c r="AK27" s="926">
        <f t="shared" si="0"/>
        <v>0</v>
      </c>
      <c r="AL27" s="973"/>
      <c r="AM27" s="1605">
        <f t="shared" si="3"/>
        <v>0</v>
      </c>
    </row>
    <row r="28" spans="1:39" s="8" customFormat="1" ht="14.25">
      <c r="A28" s="82" t="s">
        <v>23</v>
      </c>
      <c r="B28" s="154">
        <f t="shared" si="1"/>
        <v>28119000</v>
      </c>
      <c r="C28" s="78" t="s">
        <v>20</v>
      </c>
      <c r="D28" s="78" t="s">
        <v>21</v>
      </c>
      <c r="E28" s="78" t="s">
        <v>140</v>
      </c>
      <c r="F28" s="78" t="s">
        <v>796</v>
      </c>
      <c r="G28" s="78" t="s">
        <v>22</v>
      </c>
      <c r="H28" s="1928" t="s">
        <v>1381</v>
      </c>
      <c r="I28" s="986">
        <v>12</v>
      </c>
      <c r="J28" s="97"/>
      <c r="K28" s="131"/>
      <c r="L28" s="626">
        <v>258</v>
      </c>
      <c r="M28" s="105">
        <v>28119000</v>
      </c>
      <c r="N28" s="627">
        <v>275</v>
      </c>
      <c r="O28" s="628">
        <v>28119000</v>
      </c>
      <c r="P28" s="255">
        <v>242</v>
      </c>
      <c r="Q28" s="240"/>
      <c r="R28" s="153"/>
      <c r="S28" s="153">
        <f>VLOOKUP(N28,[2]Hoja2!N$2:T$15,7,0)</f>
        <v>1696067</v>
      </c>
      <c r="T28" s="153">
        <v>2678000</v>
      </c>
      <c r="U28" s="153">
        <v>2678000</v>
      </c>
      <c r="V28" s="153">
        <v>2678000</v>
      </c>
      <c r="W28" s="153">
        <v>2678000</v>
      </c>
      <c r="X28" s="153">
        <v>2678000</v>
      </c>
      <c r="Y28" s="153">
        <v>2678000</v>
      </c>
      <c r="Z28" s="153"/>
      <c r="AA28" s="153"/>
      <c r="AB28" s="153"/>
      <c r="AC28" s="431">
        <f t="shared" si="4"/>
        <v>17764067</v>
      </c>
      <c r="AD28" s="406">
        <f t="shared" si="5"/>
        <v>10354933</v>
      </c>
      <c r="AE28" s="355"/>
      <c r="AF28" s="962">
        <v>12</v>
      </c>
      <c r="AG28" s="322" t="s">
        <v>305</v>
      </c>
      <c r="AH28" s="328" t="s">
        <v>1214</v>
      </c>
      <c r="AI28" s="1054">
        <f t="shared" si="2"/>
        <v>242</v>
      </c>
      <c r="AJ28" s="316">
        <v>28119000</v>
      </c>
      <c r="AK28" s="926">
        <f t="shared" si="0"/>
        <v>0</v>
      </c>
      <c r="AL28" s="973"/>
      <c r="AM28" s="1605">
        <f t="shared" si="3"/>
        <v>0</v>
      </c>
    </row>
    <row r="29" spans="1:39" s="8" customFormat="1" ht="14.25">
      <c r="A29" s="82" t="s">
        <v>23</v>
      </c>
      <c r="B29" s="154">
        <f t="shared" si="1"/>
        <v>21975166</v>
      </c>
      <c r="C29" s="78" t="s">
        <v>20</v>
      </c>
      <c r="D29" s="78" t="s">
        <v>21</v>
      </c>
      <c r="E29" s="78" t="s">
        <v>140</v>
      </c>
      <c r="F29" s="78" t="s">
        <v>796</v>
      </c>
      <c r="G29" s="78" t="s">
        <v>22</v>
      </c>
      <c r="H29" s="1928" t="s">
        <v>1381</v>
      </c>
      <c r="I29" s="986">
        <v>13</v>
      </c>
      <c r="J29" s="97"/>
      <c r="K29" s="131"/>
      <c r="L29" s="626">
        <v>378</v>
      </c>
      <c r="M29" s="105">
        <v>21975166</v>
      </c>
      <c r="N29" s="627">
        <v>465</v>
      </c>
      <c r="O29" s="628">
        <v>21975166</v>
      </c>
      <c r="P29" s="255">
        <v>322</v>
      </c>
      <c r="Q29" s="240"/>
      <c r="R29" s="153"/>
      <c r="S29" s="153"/>
      <c r="T29" s="153"/>
      <c r="U29" s="153"/>
      <c r="V29" s="153"/>
      <c r="W29" s="153"/>
      <c r="X29" s="153"/>
      <c r="Y29" s="153"/>
      <c r="Z29" s="153"/>
      <c r="AA29" s="153"/>
      <c r="AB29" s="153"/>
      <c r="AC29" s="431">
        <f t="shared" si="4"/>
        <v>0</v>
      </c>
      <c r="AD29" s="406">
        <f t="shared" si="5"/>
        <v>21975166</v>
      </c>
      <c r="AE29" s="355"/>
      <c r="AF29" s="962">
        <v>13</v>
      </c>
      <c r="AG29" s="322" t="s">
        <v>311</v>
      </c>
      <c r="AH29" s="328" t="s">
        <v>1215</v>
      </c>
      <c r="AI29" s="1054">
        <f t="shared" si="2"/>
        <v>322</v>
      </c>
      <c r="AJ29" s="316">
        <f>30000000-8000000</f>
        <v>22000000</v>
      </c>
      <c r="AK29" s="926">
        <f t="shared" si="0"/>
        <v>24834</v>
      </c>
      <c r="AL29" s="973"/>
      <c r="AM29" s="1605">
        <f t="shared" si="3"/>
        <v>24834</v>
      </c>
    </row>
    <row r="30" spans="1:39" s="8" customFormat="1" ht="14.25">
      <c r="A30" s="82" t="s">
        <v>23</v>
      </c>
      <c r="B30" s="154">
        <f t="shared" si="1"/>
        <v>53460000</v>
      </c>
      <c r="C30" s="78" t="s">
        <v>20</v>
      </c>
      <c r="D30" s="78" t="s">
        <v>21</v>
      </c>
      <c r="E30" s="78" t="s">
        <v>140</v>
      </c>
      <c r="F30" s="78" t="s">
        <v>796</v>
      </c>
      <c r="G30" s="78" t="s">
        <v>22</v>
      </c>
      <c r="H30" s="1928" t="s">
        <v>1381</v>
      </c>
      <c r="I30" s="986">
        <v>14</v>
      </c>
      <c r="J30" s="97"/>
      <c r="K30" s="131"/>
      <c r="L30" s="626">
        <v>219</v>
      </c>
      <c r="M30" s="105">
        <v>53460000</v>
      </c>
      <c r="N30" s="99">
        <v>177</v>
      </c>
      <c r="O30" s="139">
        <v>53460000</v>
      </c>
      <c r="P30" s="255">
        <v>171</v>
      </c>
      <c r="Q30" s="240"/>
      <c r="R30" s="153"/>
      <c r="S30" s="153">
        <f>VLOOKUP(N30,[2]Hoja2!N$2:T$15,7,0)</f>
        <v>5022000</v>
      </c>
      <c r="T30" s="153">
        <v>4860000</v>
      </c>
      <c r="U30" s="153">
        <v>4860000</v>
      </c>
      <c r="V30" s="153">
        <v>4860000</v>
      </c>
      <c r="W30" s="153">
        <v>4860000</v>
      </c>
      <c r="X30" s="153">
        <v>4860000</v>
      </c>
      <c r="Y30" s="153">
        <v>4860000</v>
      </c>
      <c r="Z30" s="153"/>
      <c r="AA30" s="153"/>
      <c r="AB30" s="153"/>
      <c r="AC30" s="431">
        <f t="shared" si="4"/>
        <v>34182000</v>
      </c>
      <c r="AD30" s="406">
        <f t="shared" si="5"/>
        <v>19278000</v>
      </c>
      <c r="AE30" s="355"/>
      <c r="AF30" s="962">
        <v>14</v>
      </c>
      <c r="AG30" s="322" t="s">
        <v>312</v>
      </c>
      <c r="AH30" s="328" t="s">
        <v>529</v>
      </c>
      <c r="AI30" s="1054">
        <f t="shared" si="2"/>
        <v>171</v>
      </c>
      <c r="AJ30" s="316">
        <v>53460000</v>
      </c>
      <c r="AK30" s="926">
        <f t="shared" si="0"/>
        <v>0</v>
      </c>
      <c r="AL30" s="973"/>
      <c r="AM30" s="1605">
        <f t="shared" si="3"/>
        <v>0</v>
      </c>
    </row>
    <row r="31" spans="1:39" s="8" customFormat="1" ht="14.25">
      <c r="A31" s="82" t="s">
        <v>23</v>
      </c>
      <c r="B31" s="154">
        <f t="shared" si="1"/>
        <v>36486490</v>
      </c>
      <c r="C31" s="78" t="s">
        <v>20</v>
      </c>
      <c r="D31" s="78" t="s">
        <v>21</v>
      </c>
      <c r="E31" s="78" t="s">
        <v>140</v>
      </c>
      <c r="F31" s="78" t="s">
        <v>796</v>
      </c>
      <c r="G31" s="78" t="s">
        <v>22</v>
      </c>
      <c r="H31" s="1928" t="s">
        <v>1381</v>
      </c>
      <c r="I31" s="986">
        <v>15</v>
      </c>
      <c r="J31" s="97"/>
      <c r="K31" s="131"/>
      <c r="L31" s="626">
        <v>483</v>
      </c>
      <c r="M31" s="105">
        <f>41858383-5371893</f>
        <v>36486490</v>
      </c>
      <c r="N31" s="627">
        <v>701</v>
      </c>
      <c r="O31" s="628">
        <v>36486490</v>
      </c>
      <c r="P31" s="255">
        <v>425</v>
      </c>
      <c r="Q31" s="240"/>
      <c r="R31" s="153"/>
      <c r="S31" s="153"/>
      <c r="T31" s="153"/>
      <c r="U31" s="153"/>
      <c r="V31" s="153"/>
      <c r="W31" s="153"/>
      <c r="X31" s="153"/>
      <c r="Y31" s="153"/>
      <c r="Z31" s="153"/>
      <c r="AA31" s="153"/>
      <c r="AB31" s="153"/>
      <c r="AC31" s="431">
        <f t="shared" si="4"/>
        <v>0</v>
      </c>
      <c r="AD31" s="406">
        <f t="shared" si="5"/>
        <v>36486490</v>
      </c>
      <c r="AE31" s="355"/>
      <c r="AF31" s="962">
        <v>15</v>
      </c>
      <c r="AG31" s="322" t="s">
        <v>293</v>
      </c>
      <c r="AH31" s="328" t="s">
        <v>1167</v>
      </c>
      <c r="AI31" s="1054">
        <f t="shared" si="2"/>
        <v>425</v>
      </c>
      <c r="AJ31" s="316">
        <f>20000000-7400000+29528000-5371893</f>
        <v>36756107</v>
      </c>
      <c r="AK31" s="926">
        <f t="shared" si="0"/>
        <v>269617</v>
      </c>
      <c r="AL31" s="973"/>
      <c r="AM31" s="1605">
        <f t="shared" si="3"/>
        <v>269617</v>
      </c>
    </row>
    <row r="32" spans="1:39" s="8" customFormat="1" ht="14.25">
      <c r="A32" s="82" t="s">
        <v>23</v>
      </c>
      <c r="B32" s="154">
        <f t="shared" si="1"/>
        <v>53460000</v>
      </c>
      <c r="C32" s="78" t="s">
        <v>20</v>
      </c>
      <c r="D32" s="78" t="s">
        <v>21</v>
      </c>
      <c r="E32" s="78" t="s">
        <v>140</v>
      </c>
      <c r="F32" s="78" t="s">
        <v>796</v>
      </c>
      <c r="G32" s="78" t="s">
        <v>22</v>
      </c>
      <c r="H32" s="1928" t="s">
        <v>1381</v>
      </c>
      <c r="I32" s="986">
        <v>16</v>
      </c>
      <c r="J32" s="97"/>
      <c r="K32" s="131"/>
      <c r="L32" s="626">
        <v>220</v>
      </c>
      <c r="M32" s="105">
        <v>53460000</v>
      </c>
      <c r="N32" s="99">
        <v>175</v>
      </c>
      <c r="O32" s="139">
        <v>53460000</v>
      </c>
      <c r="P32" s="255">
        <v>169</v>
      </c>
      <c r="Q32" s="240"/>
      <c r="R32" s="153"/>
      <c r="S32" s="153">
        <f>VLOOKUP(N32,[2]Hoja2!N$2:T$15,7,0)</f>
        <v>5022000</v>
      </c>
      <c r="T32" s="153">
        <v>4860000</v>
      </c>
      <c r="U32" s="153">
        <v>4860000</v>
      </c>
      <c r="V32" s="153">
        <v>4860000</v>
      </c>
      <c r="W32" s="153">
        <v>4860000</v>
      </c>
      <c r="X32" s="153">
        <v>4860000</v>
      </c>
      <c r="Y32" s="153">
        <v>4860000</v>
      </c>
      <c r="Z32" s="153"/>
      <c r="AA32" s="153"/>
      <c r="AB32" s="153"/>
      <c r="AC32" s="431">
        <f t="shared" si="4"/>
        <v>34182000</v>
      </c>
      <c r="AD32" s="406">
        <f t="shared" si="5"/>
        <v>19278000</v>
      </c>
      <c r="AE32" s="355"/>
      <c r="AF32" s="962">
        <v>16</v>
      </c>
      <c r="AG32" s="322" t="s">
        <v>313</v>
      </c>
      <c r="AH32" s="328" t="s">
        <v>1216</v>
      </c>
      <c r="AI32" s="1054">
        <f t="shared" si="2"/>
        <v>169</v>
      </c>
      <c r="AJ32" s="316">
        <v>53460000</v>
      </c>
      <c r="AK32" s="926">
        <f t="shared" si="0"/>
        <v>0</v>
      </c>
      <c r="AL32" s="973"/>
      <c r="AM32" s="1605">
        <f t="shared" si="3"/>
        <v>0</v>
      </c>
    </row>
    <row r="33" spans="1:39" s="8" customFormat="1" ht="14.25">
      <c r="A33" s="82" t="s">
        <v>23</v>
      </c>
      <c r="B33" s="154">
        <f t="shared" si="1"/>
        <v>53460000</v>
      </c>
      <c r="C33" s="78" t="s">
        <v>20</v>
      </c>
      <c r="D33" s="78" t="s">
        <v>21</v>
      </c>
      <c r="E33" s="78" t="s">
        <v>140</v>
      </c>
      <c r="F33" s="78" t="s">
        <v>796</v>
      </c>
      <c r="G33" s="78" t="s">
        <v>22</v>
      </c>
      <c r="H33" s="1928" t="s">
        <v>1381</v>
      </c>
      <c r="I33" s="986">
        <v>18</v>
      </c>
      <c r="J33" s="97"/>
      <c r="K33" s="131"/>
      <c r="L33" s="626">
        <v>168</v>
      </c>
      <c r="M33" s="105">
        <v>53460000</v>
      </c>
      <c r="N33" s="99">
        <v>166</v>
      </c>
      <c r="O33" s="139">
        <v>53460000</v>
      </c>
      <c r="P33" s="255">
        <v>147</v>
      </c>
      <c r="Q33" s="240"/>
      <c r="R33" s="153"/>
      <c r="S33" s="153">
        <f>VLOOKUP(N33,[2]Hoja2!N$2:T$15,7,0)</f>
        <v>5022000</v>
      </c>
      <c r="T33" s="153">
        <v>4860000</v>
      </c>
      <c r="U33" s="153">
        <v>4860000</v>
      </c>
      <c r="V33" s="153">
        <v>4860000</v>
      </c>
      <c r="W33" s="153">
        <v>4860000</v>
      </c>
      <c r="X33" s="153">
        <v>4860000</v>
      </c>
      <c r="Y33" s="153">
        <v>4860000</v>
      </c>
      <c r="Z33" s="153"/>
      <c r="AA33" s="153"/>
      <c r="AB33" s="153"/>
      <c r="AC33" s="431">
        <f t="shared" si="4"/>
        <v>34182000</v>
      </c>
      <c r="AD33" s="406">
        <f t="shared" si="5"/>
        <v>19278000</v>
      </c>
      <c r="AE33" s="355"/>
      <c r="AF33" s="962">
        <v>18</v>
      </c>
      <c r="AG33" s="322" t="s">
        <v>1217</v>
      </c>
      <c r="AH33" s="328" t="s">
        <v>1218</v>
      </c>
      <c r="AI33" s="1054">
        <f t="shared" si="2"/>
        <v>147</v>
      </c>
      <c r="AJ33" s="316">
        <v>53460000</v>
      </c>
      <c r="AK33" s="926">
        <f t="shared" si="0"/>
        <v>0</v>
      </c>
      <c r="AL33" s="973"/>
      <c r="AM33" s="1605">
        <f t="shared" si="3"/>
        <v>0</v>
      </c>
    </row>
    <row r="34" spans="1:39" s="8" customFormat="1" ht="14.25">
      <c r="A34" s="82" t="s">
        <v>23</v>
      </c>
      <c r="B34" s="154">
        <f t="shared" si="1"/>
        <v>28119000</v>
      </c>
      <c r="C34" s="78" t="s">
        <v>20</v>
      </c>
      <c r="D34" s="78" t="s">
        <v>21</v>
      </c>
      <c r="E34" s="78" t="s">
        <v>140</v>
      </c>
      <c r="F34" s="78" t="s">
        <v>796</v>
      </c>
      <c r="G34" s="78" t="s">
        <v>22</v>
      </c>
      <c r="H34" s="1928" t="s">
        <v>1381</v>
      </c>
      <c r="I34" s="986">
        <v>19</v>
      </c>
      <c r="J34" s="97"/>
      <c r="K34" s="131"/>
      <c r="L34" s="626">
        <v>241</v>
      </c>
      <c r="M34" s="105">
        <v>28119000</v>
      </c>
      <c r="N34" s="627">
        <v>258</v>
      </c>
      <c r="O34" s="628">
        <v>28119000</v>
      </c>
      <c r="P34" s="255">
        <v>232</v>
      </c>
      <c r="Q34" s="240"/>
      <c r="R34" s="153"/>
      <c r="S34" s="153">
        <f>VLOOKUP(N34,[2]Hoja2!N$2:T$15,7,0)</f>
        <v>1696067</v>
      </c>
      <c r="T34" s="153">
        <v>2678000</v>
      </c>
      <c r="U34" s="153">
        <v>2678000</v>
      </c>
      <c r="V34" s="153">
        <v>2678000</v>
      </c>
      <c r="W34" s="153">
        <v>2678000</v>
      </c>
      <c r="X34" s="153">
        <v>2678000</v>
      </c>
      <c r="Y34" s="153">
        <v>2678000</v>
      </c>
      <c r="Z34" s="153"/>
      <c r="AA34" s="153"/>
      <c r="AB34" s="153"/>
      <c r="AC34" s="431">
        <f t="shared" si="4"/>
        <v>17764067</v>
      </c>
      <c r="AD34" s="406">
        <f t="shared" si="5"/>
        <v>10354933</v>
      </c>
      <c r="AE34" s="355"/>
      <c r="AF34" s="962">
        <v>19</v>
      </c>
      <c r="AG34" s="322" t="s">
        <v>305</v>
      </c>
      <c r="AH34" s="328" t="s">
        <v>1219</v>
      </c>
      <c r="AI34" s="1054">
        <f t="shared" si="2"/>
        <v>232</v>
      </c>
      <c r="AJ34" s="316">
        <v>28119000</v>
      </c>
      <c r="AK34" s="926">
        <f t="shared" si="0"/>
        <v>0</v>
      </c>
      <c r="AL34" s="973"/>
      <c r="AM34" s="1605">
        <f t="shared" si="3"/>
        <v>0</v>
      </c>
    </row>
    <row r="35" spans="1:39" s="8" customFormat="1" ht="14.25">
      <c r="A35" s="82" t="s">
        <v>23</v>
      </c>
      <c r="B35" s="154">
        <f t="shared" si="1"/>
        <v>28119000</v>
      </c>
      <c r="C35" s="78" t="s">
        <v>20</v>
      </c>
      <c r="D35" s="78" t="s">
        <v>21</v>
      </c>
      <c r="E35" s="78" t="s">
        <v>140</v>
      </c>
      <c r="F35" s="78" t="s">
        <v>796</v>
      </c>
      <c r="G35" s="78" t="s">
        <v>22</v>
      </c>
      <c r="H35" s="1928" t="s">
        <v>1381</v>
      </c>
      <c r="I35" s="986">
        <v>20</v>
      </c>
      <c r="J35" s="97"/>
      <c r="K35" s="131"/>
      <c r="L35" s="626">
        <v>242</v>
      </c>
      <c r="M35" s="105">
        <v>28119000</v>
      </c>
      <c r="N35" s="627">
        <v>240</v>
      </c>
      <c r="O35" s="628">
        <v>28119000</v>
      </c>
      <c r="P35" s="255">
        <v>215</v>
      </c>
      <c r="Q35" s="240"/>
      <c r="R35" s="153"/>
      <c r="S35" s="153">
        <f>VLOOKUP(N35,[2]Hoja2!N$2:T$15,7,0)</f>
        <v>2053133</v>
      </c>
      <c r="T35" s="153">
        <v>2678000</v>
      </c>
      <c r="U35" s="153">
        <v>2678000</v>
      </c>
      <c r="V35" s="153">
        <v>2678000</v>
      </c>
      <c r="W35" s="153">
        <v>2678000</v>
      </c>
      <c r="X35" s="153">
        <v>2678000</v>
      </c>
      <c r="Y35" s="153">
        <v>2678000</v>
      </c>
      <c r="Z35" s="153"/>
      <c r="AA35" s="153"/>
      <c r="AB35" s="153"/>
      <c r="AC35" s="431">
        <f t="shared" si="4"/>
        <v>18121133</v>
      </c>
      <c r="AD35" s="406">
        <f t="shared" si="5"/>
        <v>9997867</v>
      </c>
      <c r="AE35" s="355"/>
      <c r="AF35" s="962">
        <v>20</v>
      </c>
      <c r="AG35" s="322" t="s">
        <v>305</v>
      </c>
      <c r="AH35" s="328" t="s">
        <v>1220</v>
      </c>
      <c r="AI35" s="1054">
        <f t="shared" si="2"/>
        <v>215</v>
      </c>
      <c r="AJ35" s="316">
        <v>28119000</v>
      </c>
      <c r="AK35" s="926">
        <f t="shared" si="0"/>
        <v>0</v>
      </c>
      <c r="AL35" s="973"/>
      <c r="AM35" s="1605">
        <f t="shared" si="3"/>
        <v>0</v>
      </c>
    </row>
    <row r="36" spans="1:39" s="8" customFormat="1" ht="14.25">
      <c r="A36" s="82" t="s">
        <v>23</v>
      </c>
      <c r="B36" s="154">
        <f t="shared" si="1"/>
        <v>0</v>
      </c>
      <c r="C36" s="78" t="s">
        <v>20</v>
      </c>
      <c r="D36" s="78" t="s">
        <v>21</v>
      </c>
      <c r="E36" s="78" t="s">
        <v>140</v>
      </c>
      <c r="F36" s="78" t="s">
        <v>796</v>
      </c>
      <c r="G36" s="78" t="s">
        <v>22</v>
      </c>
      <c r="H36" s="1928" t="s">
        <v>1381</v>
      </c>
      <c r="I36" s="986" t="s">
        <v>178</v>
      </c>
      <c r="J36" s="97"/>
      <c r="K36" s="131"/>
      <c r="L36" s="626"/>
      <c r="M36" s="105"/>
      <c r="N36" s="627"/>
      <c r="O36" s="628"/>
      <c r="P36" s="255"/>
      <c r="Q36" s="240"/>
      <c r="R36" s="153"/>
      <c r="S36" s="153"/>
      <c r="T36" s="153"/>
      <c r="U36" s="153"/>
      <c r="V36" s="153"/>
      <c r="W36" s="153"/>
      <c r="X36" s="153"/>
      <c r="Y36" s="153"/>
      <c r="Z36" s="153"/>
      <c r="AA36" s="153"/>
      <c r="AB36" s="153"/>
      <c r="AC36" s="431"/>
      <c r="AD36" s="406"/>
      <c r="AE36" s="355"/>
      <c r="AF36" s="962" t="s">
        <v>349</v>
      </c>
      <c r="AG36" s="322" t="s">
        <v>520</v>
      </c>
      <c r="AH36" s="328"/>
      <c r="AI36" s="1054">
        <f t="shared" si="2"/>
        <v>0</v>
      </c>
      <c r="AJ36" s="316">
        <v>5371893</v>
      </c>
      <c r="AK36" s="926">
        <f t="shared" si="0"/>
        <v>5371893</v>
      </c>
      <c r="AL36" s="973"/>
      <c r="AM36" s="1605">
        <f t="shared" si="3"/>
        <v>5371893</v>
      </c>
    </row>
    <row r="37" spans="1:39" s="118" customFormat="1">
      <c r="A37" s="571" t="s">
        <v>24</v>
      </c>
      <c r="B37" s="121">
        <f>B17-SUM(B18:B36)</f>
        <v>7432744</v>
      </c>
      <c r="C37" s="9"/>
      <c r="D37" s="11"/>
      <c r="E37" s="11"/>
      <c r="F37" s="11"/>
      <c r="G37" s="11"/>
      <c r="H37" s="11"/>
      <c r="I37" s="987"/>
      <c r="J37" s="13"/>
      <c r="K37" s="121"/>
      <c r="L37" s="135"/>
      <c r="M37" s="115">
        <f>SUM(M18:M36)</f>
        <v>614167256</v>
      </c>
      <c r="N37" s="117"/>
      <c r="O37" s="115">
        <f>SUM(O18:O36)</f>
        <v>614167256</v>
      </c>
      <c r="P37" s="256"/>
      <c r="Q37" s="115">
        <f>SUM(Q18:Q36)</f>
        <v>0</v>
      </c>
      <c r="R37" s="115">
        <f t="shared" ref="R37:AD37" si="6">SUM(R18:R36)</f>
        <v>451600</v>
      </c>
      <c r="S37" s="115">
        <f t="shared" si="6"/>
        <v>40806401</v>
      </c>
      <c r="T37" s="115">
        <f t="shared" si="6"/>
        <v>47325600</v>
      </c>
      <c r="U37" s="115">
        <f t="shared" si="6"/>
        <v>46209000</v>
      </c>
      <c r="V37" s="115">
        <f t="shared" si="6"/>
        <v>46209000</v>
      </c>
      <c r="W37" s="115">
        <f t="shared" si="6"/>
        <v>46209000</v>
      </c>
      <c r="X37" s="115">
        <f t="shared" si="6"/>
        <v>46209000</v>
      </c>
      <c r="Y37" s="115">
        <f t="shared" si="6"/>
        <v>46209000</v>
      </c>
      <c r="Z37" s="115">
        <f t="shared" si="6"/>
        <v>0</v>
      </c>
      <c r="AA37" s="115">
        <f t="shared" si="6"/>
        <v>0</v>
      </c>
      <c r="AB37" s="115">
        <f t="shared" si="6"/>
        <v>0</v>
      </c>
      <c r="AC37" s="115">
        <f>SUM(AC18:AC36)</f>
        <v>319628601</v>
      </c>
      <c r="AD37" s="115">
        <f t="shared" si="6"/>
        <v>294538655</v>
      </c>
      <c r="AE37" s="1501"/>
      <c r="AF37" s="963"/>
      <c r="AG37" s="329"/>
      <c r="AH37" s="329"/>
      <c r="AI37" s="1090"/>
      <c r="AJ37" s="115">
        <f t="shared" ref="AJ37" si="7">SUM(AJ18:AJ36)</f>
        <v>621600000</v>
      </c>
      <c r="AK37" s="115">
        <f t="shared" ref="AK37" si="8">SUM(AK18:AK36)</f>
        <v>7432744</v>
      </c>
      <c r="AL37" s="872">
        <f>B17-AJ37</f>
        <v>0</v>
      </c>
    </row>
    <row r="38" spans="1:39" s="6" customFormat="1" ht="30" customHeight="1">
      <c r="A38" s="572" t="s">
        <v>113</v>
      </c>
      <c r="B38" s="122">
        <f>78000000+15400000+5000000</f>
        <v>98400000</v>
      </c>
      <c r="C38" s="1343" t="s">
        <v>20</v>
      </c>
      <c r="D38" s="1343" t="s">
        <v>21</v>
      </c>
      <c r="E38" s="1343" t="s">
        <v>25</v>
      </c>
      <c r="F38" s="1343" t="s">
        <v>797</v>
      </c>
      <c r="G38" s="1343" t="s">
        <v>22</v>
      </c>
      <c r="H38" s="1343" t="s">
        <v>1382</v>
      </c>
      <c r="I38" s="988"/>
      <c r="J38" s="631"/>
      <c r="K38" s="12"/>
      <c r="L38" s="978"/>
      <c r="M38" s="12"/>
      <c r="N38" s="1094"/>
      <c r="O38" s="12"/>
      <c r="P38" s="776"/>
      <c r="Q38" s="351"/>
      <c r="R38" s="12"/>
      <c r="S38" s="12"/>
      <c r="T38" s="12"/>
      <c r="U38" s="12"/>
      <c r="V38" s="12"/>
      <c r="W38" s="12"/>
      <c r="X38" s="12"/>
      <c r="Y38" s="12"/>
      <c r="Z38" s="12"/>
      <c r="AA38" s="12"/>
      <c r="AB38" s="12"/>
      <c r="AC38" s="463"/>
      <c r="AD38" s="458"/>
      <c r="AE38" s="1502"/>
      <c r="AF38" s="964"/>
      <c r="AG38" s="12"/>
      <c r="AH38" s="12"/>
      <c r="AI38" s="978"/>
      <c r="AJ38" s="12"/>
      <c r="AK38" s="961"/>
      <c r="AL38" s="973"/>
    </row>
    <row r="39" spans="1:39" s="6" customFormat="1" ht="14.25">
      <c r="A39" s="573" t="s">
        <v>26</v>
      </c>
      <c r="B39" s="123">
        <f>M39</f>
        <v>5180000</v>
      </c>
      <c r="C39" s="80" t="s">
        <v>20</v>
      </c>
      <c r="D39" s="80" t="s">
        <v>21</v>
      </c>
      <c r="E39" s="80" t="s">
        <v>25</v>
      </c>
      <c r="F39" s="80" t="s">
        <v>797</v>
      </c>
      <c r="G39" s="80" t="s">
        <v>22</v>
      </c>
      <c r="H39" s="1929" t="s">
        <v>1382</v>
      </c>
      <c r="I39" s="986">
        <v>6</v>
      </c>
      <c r="J39" s="97"/>
      <c r="K39" s="131"/>
      <c r="L39" s="626">
        <v>167</v>
      </c>
      <c r="M39" s="108">
        <v>5180000</v>
      </c>
      <c r="N39" s="105">
        <v>161</v>
      </c>
      <c r="O39" s="105">
        <v>5180000</v>
      </c>
      <c r="P39" s="238">
        <v>142</v>
      </c>
      <c r="Q39" s="241"/>
      <c r="R39" s="154"/>
      <c r="S39" s="153">
        <v>518000</v>
      </c>
      <c r="T39" s="153">
        <v>518000</v>
      </c>
      <c r="U39" s="153">
        <v>518000</v>
      </c>
      <c r="V39" s="153">
        <v>518000</v>
      </c>
      <c r="W39" s="153">
        <v>518000</v>
      </c>
      <c r="X39" s="153">
        <v>518000</v>
      </c>
      <c r="Y39" s="153">
        <v>518000</v>
      </c>
      <c r="Z39" s="154"/>
      <c r="AA39" s="154"/>
      <c r="AB39" s="154"/>
      <c r="AC39" s="431">
        <f>SUM(Q39:AB39)</f>
        <v>3626000</v>
      </c>
      <c r="AD39" s="406">
        <f>O39-AC39</f>
        <v>1554000</v>
      </c>
      <c r="AE39" s="355"/>
      <c r="AF39" s="962">
        <v>6</v>
      </c>
      <c r="AG39" s="328" t="s">
        <v>309</v>
      </c>
      <c r="AH39" s="328" t="s">
        <v>1210</v>
      </c>
      <c r="AI39" s="1054">
        <f>P39</f>
        <v>142</v>
      </c>
      <c r="AJ39" s="315">
        <v>5180000</v>
      </c>
      <c r="AK39" s="926">
        <f>AJ39-O39</f>
        <v>0</v>
      </c>
      <c r="AL39" s="973"/>
      <c r="AM39" s="1605">
        <f t="shared" ref="AM39:AM41" si="9">AJ39-M39</f>
        <v>0</v>
      </c>
    </row>
    <row r="40" spans="1:39" s="6" customFormat="1" ht="14.25">
      <c r="A40" s="573" t="s">
        <v>26</v>
      </c>
      <c r="B40" s="123">
        <f t="shared" ref="B40:B42" si="10">M40</f>
        <v>72820000</v>
      </c>
      <c r="C40" s="80" t="s">
        <v>20</v>
      </c>
      <c r="D40" s="80" t="s">
        <v>21</v>
      </c>
      <c r="E40" s="80" t="s">
        <v>25</v>
      </c>
      <c r="F40" s="80" t="s">
        <v>797</v>
      </c>
      <c r="G40" s="80" t="s">
        <v>22</v>
      </c>
      <c r="H40" s="1929" t="s">
        <v>1382</v>
      </c>
      <c r="I40" s="986">
        <v>7</v>
      </c>
      <c r="J40" s="97"/>
      <c r="K40" s="131"/>
      <c r="L40" s="626">
        <v>174</v>
      </c>
      <c r="M40" s="108">
        <v>72820000</v>
      </c>
      <c r="N40" s="100">
        <v>172</v>
      </c>
      <c r="O40" s="105">
        <v>72820000</v>
      </c>
      <c r="P40" s="238">
        <v>159</v>
      </c>
      <c r="Q40" s="241"/>
      <c r="R40" s="154"/>
      <c r="S40" s="153">
        <f>VLOOKUP(N40,[2]Hoja2!N$2:T$15,7,0)</f>
        <v>6840667</v>
      </c>
      <c r="T40" s="153">
        <v>6960000</v>
      </c>
      <c r="U40" s="153">
        <f>VLOOKUP(N40,[3]Hoja2!N$33:T$47,7,0)</f>
        <v>8660000</v>
      </c>
      <c r="V40" s="153">
        <v>8660000</v>
      </c>
      <c r="W40" s="153">
        <v>8660000</v>
      </c>
      <c r="X40" s="153">
        <v>8660000</v>
      </c>
      <c r="Y40" s="153">
        <v>8660000</v>
      </c>
      <c r="Z40" s="153"/>
      <c r="AA40" s="153"/>
      <c r="AB40" s="153"/>
      <c r="AC40" s="431">
        <f>SUM(Q40:AB40)</f>
        <v>57100667</v>
      </c>
      <c r="AD40" s="406">
        <f>O40-AC40</f>
        <v>15719333</v>
      </c>
      <c r="AE40" s="355"/>
      <c r="AF40" s="962">
        <v>7</v>
      </c>
      <c r="AG40" s="328" t="s">
        <v>314</v>
      </c>
      <c r="AH40" s="328" t="s">
        <v>1221</v>
      </c>
      <c r="AI40" s="1054">
        <f>P40</f>
        <v>159</v>
      </c>
      <c r="AJ40" s="315">
        <v>72820000</v>
      </c>
      <c r="AK40" s="926">
        <f>AJ40-O40</f>
        <v>0</v>
      </c>
      <c r="AL40" s="973"/>
      <c r="AM40" s="1605">
        <f t="shared" si="9"/>
        <v>0</v>
      </c>
    </row>
    <row r="41" spans="1:39" s="6" customFormat="1" ht="14.25">
      <c r="A41" s="573" t="s">
        <v>26</v>
      </c>
      <c r="B41" s="123">
        <f t="shared" si="10"/>
        <v>20400000</v>
      </c>
      <c r="C41" s="80" t="s">
        <v>20</v>
      </c>
      <c r="D41" s="80" t="s">
        <v>21</v>
      </c>
      <c r="E41" s="80" t="s">
        <v>25</v>
      </c>
      <c r="F41" s="80" t="s">
        <v>797</v>
      </c>
      <c r="G41" s="80" t="s">
        <v>22</v>
      </c>
      <c r="H41" s="1929" t="s">
        <v>1382</v>
      </c>
      <c r="I41" s="986">
        <v>0</v>
      </c>
      <c r="J41" s="97"/>
      <c r="K41" s="131"/>
      <c r="L41" s="626">
        <v>344</v>
      </c>
      <c r="M41" s="1299">
        <v>20400000</v>
      </c>
      <c r="N41" s="100">
        <v>399</v>
      </c>
      <c r="O41" s="141">
        <v>20400000</v>
      </c>
      <c r="P41" s="1258">
        <v>159</v>
      </c>
      <c r="Q41" s="241"/>
      <c r="R41" s="154"/>
      <c r="S41" s="154"/>
      <c r="T41" s="153"/>
      <c r="U41" s="154"/>
      <c r="V41" s="153"/>
      <c r="W41" s="154"/>
      <c r="X41" s="153"/>
      <c r="Y41" s="153"/>
      <c r="Z41" s="154"/>
      <c r="AA41" s="154"/>
      <c r="AB41" s="154"/>
      <c r="AC41" s="431">
        <f>SUM(Q41:AB41)</f>
        <v>0</v>
      </c>
      <c r="AD41" s="406">
        <f>O41-AC41</f>
        <v>20400000</v>
      </c>
      <c r="AE41" s="355"/>
      <c r="AF41" s="962" t="s">
        <v>349</v>
      </c>
      <c r="AG41" s="328" t="s">
        <v>786</v>
      </c>
      <c r="AH41" s="328" t="s">
        <v>1221</v>
      </c>
      <c r="AI41" s="1054">
        <f>P41</f>
        <v>159</v>
      </c>
      <c r="AJ41" s="315">
        <v>20400000</v>
      </c>
      <c r="AK41" s="926">
        <f>AJ41-O41</f>
        <v>0</v>
      </c>
      <c r="AL41" s="973"/>
      <c r="AM41" s="1605">
        <f t="shared" si="9"/>
        <v>0</v>
      </c>
    </row>
    <row r="42" spans="1:39" s="6" customFormat="1" ht="14.25">
      <c r="A42" s="573" t="s">
        <v>26</v>
      </c>
      <c r="B42" s="123">
        <f t="shared" si="10"/>
        <v>0</v>
      </c>
      <c r="C42" s="80" t="s">
        <v>20</v>
      </c>
      <c r="D42" s="80" t="s">
        <v>21</v>
      </c>
      <c r="E42" s="80" t="s">
        <v>25</v>
      </c>
      <c r="F42" s="80" t="s">
        <v>797</v>
      </c>
      <c r="G42" s="80" t="s">
        <v>22</v>
      </c>
      <c r="H42" s="1929" t="s">
        <v>1382</v>
      </c>
      <c r="I42" s="986">
        <v>0</v>
      </c>
      <c r="J42" s="97"/>
      <c r="K42" s="131"/>
      <c r="L42" s="626"/>
      <c r="M42" s="109"/>
      <c r="N42" s="100"/>
      <c r="O42" s="141"/>
      <c r="P42" s="257"/>
      <c r="Q42" s="241"/>
      <c r="R42" s="154"/>
      <c r="S42" s="154"/>
      <c r="T42" s="154"/>
      <c r="U42" s="154"/>
      <c r="V42" s="154"/>
      <c r="W42" s="154"/>
      <c r="X42" s="154"/>
      <c r="Y42" s="154"/>
      <c r="Z42" s="154"/>
      <c r="AA42" s="154"/>
      <c r="AB42" s="154"/>
      <c r="AC42" s="431">
        <f>SUM(Q42:AB42)</f>
        <v>0</v>
      </c>
      <c r="AD42" s="406"/>
      <c r="AE42" s="355"/>
      <c r="AF42" s="962"/>
      <c r="AG42" s="328"/>
      <c r="AH42" s="328" t="s">
        <v>178</v>
      </c>
      <c r="AI42" s="1054">
        <f>P42</f>
        <v>0</v>
      </c>
      <c r="AJ42" s="315"/>
      <c r="AK42" s="926">
        <f>AJ42-O42</f>
        <v>0</v>
      </c>
      <c r="AL42" s="973"/>
    </row>
    <row r="43" spans="1:39" s="118" customFormat="1">
      <c r="A43" s="574" t="s">
        <v>24</v>
      </c>
      <c r="B43" s="121">
        <f>B38-SUM(B39:B42)</f>
        <v>0</v>
      </c>
      <c r="C43" s="9"/>
      <c r="D43" s="11"/>
      <c r="E43" s="11"/>
      <c r="F43" s="11"/>
      <c r="G43" s="11"/>
      <c r="H43" s="11"/>
      <c r="I43" s="987"/>
      <c r="J43" s="13"/>
      <c r="K43" s="121"/>
      <c r="L43" s="135"/>
      <c r="M43" s="115">
        <f>SUM(M39:M42)</f>
        <v>98400000</v>
      </c>
      <c r="N43" s="117"/>
      <c r="O43" s="140">
        <f>SUM(O39:O42)</f>
        <v>98400000</v>
      </c>
      <c r="P43" s="256"/>
      <c r="Q43" s="249">
        <f t="shared" ref="Q43:AD43" si="11">SUM(Q39:Q42)</f>
        <v>0</v>
      </c>
      <c r="R43" s="115">
        <f t="shared" si="11"/>
        <v>0</v>
      </c>
      <c r="S43" s="115">
        <f t="shared" si="11"/>
        <v>7358667</v>
      </c>
      <c r="T43" s="115">
        <f t="shared" si="11"/>
        <v>7478000</v>
      </c>
      <c r="U43" s="115">
        <f t="shared" si="11"/>
        <v>9178000</v>
      </c>
      <c r="V43" s="115">
        <f t="shared" si="11"/>
        <v>9178000</v>
      </c>
      <c r="W43" s="115">
        <f t="shared" si="11"/>
        <v>9178000</v>
      </c>
      <c r="X43" s="115">
        <f t="shared" si="11"/>
        <v>9178000</v>
      </c>
      <c r="Y43" s="115">
        <f t="shared" si="11"/>
        <v>9178000</v>
      </c>
      <c r="Z43" s="115">
        <f t="shared" si="11"/>
        <v>0</v>
      </c>
      <c r="AA43" s="115">
        <f t="shared" si="11"/>
        <v>0</v>
      </c>
      <c r="AB43" s="115">
        <f t="shared" si="11"/>
        <v>0</v>
      </c>
      <c r="AC43" s="353">
        <f t="shared" si="11"/>
        <v>60726667</v>
      </c>
      <c r="AD43" s="457">
        <f t="shared" si="11"/>
        <v>37673333</v>
      </c>
      <c r="AE43" s="1501"/>
      <c r="AF43" s="963"/>
      <c r="AG43" s="329"/>
      <c r="AH43" s="329"/>
      <c r="AI43" s="1090"/>
      <c r="AJ43" s="115">
        <f>SUM(AJ39:AJ42)</f>
        <v>98400000</v>
      </c>
      <c r="AK43" s="353">
        <f>SUM(AK39:AK42)</f>
        <v>0</v>
      </c>
      <c r="AL43" s="872">
        <f>B38-AJ43</f>
        <v>0</v>
      </c>
    </row>
    <row r="44" spans="1:39" s="6" customFormat="1" ht="32.25" customHeight="1">
      <c r="A44" s="731" t="s">
        <v>29</v>
      </c>
      <c r="B44" s="122">
        <f>25000000-5000000</f>
        <v>20000000</v>
      </c>
      <c r="C44" s="1345" t="s">
        <v>20</v>
      </c>
      <c r="D44" s="1345" t="s">
        <v>21</v>
      </c>
      <c r="E44" s="1344" t="s">
        <v>27</v>
      </c>
      <c r="F44" s="1344" t="s">
        <v>28</v>
      </c>
      <c r="G44" s="1344" t="s">
        <v>22</v>
      </c>
      <c r="H44" s="1345" t="s">
        <v>1383</v>
      </c>
      <c r="I44" s="989"/>
      <c r="J44" s="340"/>
      <c r="K44" s="502"/>
      <c r="L44" s="341"/>
      <c r="M44" s="342"/>
      <c r="N44" s="343"/>
      <c r="O44" s="344"/>
      <c r="P44" s="345"/>
      <c r="Q44" s="346"/>
      <c r="R44" s="347"/>
      <c r="S44" s="347"/>
      <c r="T44" s="347"/>
      <c r="U44" s="347"/>
      <c r="V44" s="347"/>
      <c r="W44" s="347"/>
      <c r="X44" s="347"/>
      <c r="Y44" s="347"/>
      <c r="Z44" s="347"/>
      <c r="AA44" s="347"/>
      <c r="AB44" s="347"/>
      <c r="AC44" s="464"/>
      <c r="AD44" s="408"/>
      <c r="AE44" s="355"/>
      <c r="AF44" s="965"/>
      <c r="AG44" s="349"/>
      <c r="AH44" s="349"/>
      <c r="AI44" s="1091"/>
      <c r="AJ44" s="350"/>
      <c r="AK44" s="961"/>
      <c r="AL44" s="973"/>
    </row>
    <row r="45" spans="1:39" s="8" customFormat="1" ht="14.25">
      <c r="A45" s="594" t="s">
        <v>29</v>
      </c>
      <c r="B45" s="143">
        <f>M45</f>
        <v>3397443</v>
      </c>
      <c r="C45" s="81" t="s">
        <v>20</v>
      </c>
      <c r="D45" s="81" t="s">
        <v>21</v>
      </c>
      <c r="E45" s="81" t="s">
        <v>27</v>
      </c>
      <c r="F45" s="81" t="s">
        <v>28</v>
      </c>
      <c r="G45" s="81" t="s">
        <v>22</v>
      </c>
      <c r="H45" s="1930" t="s">
        <v>1383</v>
      </c>
      <c r="I45" s="990">
        <v>4</v>
      </c>
      <c r="J45" s="962"/>
      <c r="K45" s="131"/>
      <c r="L45" s="626">
        <v>408</v>
      </c>
      <c r="M45" s="109">
        <f>5000000-1602557</f>
        <v>3397443</v>
      </c>
      <c r="N45" s="100">
        <v>578</v>
      </c>
      <c r="O45" s="141">
        <v>3397443</v>
      </c>
      <c r="P45" s="238">
        <v>371</v>
      </c>
      <c r="Q45" s="250"/>
      <c r="R45" s="153"/>
      <c r="S45" s="153"/>
      <c r="T45" s="153"/>
      <c r="U45" s="153"/>
      <c r="V45" s="153"/>
      <c r="W45" s="153"/>
      <c r="X45" s="153">
        <v>3397443</v>
      </c>
      <c r="Y45" s="153"/>
      <c r="Z45" s="153"/>
      <c r="AA45" s="153"/>
      <c r="AB45" s="153"/>
      <c r="AC45" s="431">
        <f>SUM(Q45:AB45)</f>
        <v>3397443</v>
      </c>
      <c r="AD45" s="406">
        <f>O45-AC45</f>
        <v>0</v>
      </c>
      <c r="AE45" s="355"/>
      <c r="AF45" s="962">
        <v>4</v>
      </c>
      <c r="AG45" s="328" t="s">
        <v>315</v>
      </c>
      <c r="AH45" s="328" t="s">
        <v>852</v>
      </c>
      <c r="AI45" s="1054">
        <f t="shared" ref="AI45:AI47" si="12">P45</f>
        <v>371</v>
      </c>
      <c r="AJ45" s="316">
        <f>10000000-5000000</f>
        <v>5000000</v>
      </c>
      <c r="AK45" s="926">
        <f>AJ45-O45</f>
        <v>1602557</v>
      </c>
      <c r="AL45" s="973"/>
      <c r="AM45" s="1605">
        <f t="shared" ref="AM45:AM47" si="13">AJ45-M45</f>
        <v>1602557</v>
      </c>
    </row>
    <row r="46" spans="1:39" s="8" customFormat="1" ht="14.25">
      <c r="A46" s="594" t="s">
        <v>29</v>
      </c>
      <c r="B46" s="143">
        <f t="shared" ref="B46:B47" si="14">M46</f>
        <v>0</v>
      </c>
      <c r="C46" s="81" t="s">
        <v>20</v>
      </c>
      <c r="D46" s="81" t="s">
        <v>21</v>
      </c>
      <c r="E46" s="81" t="s">
        <v>27</v>
      </c>
      <c r="F46" s="81" t="s">
        <v>28</v>
      </c>
      <c r="G46" s="81" t="s">
        <v>22</v>
      </c>
      <c r="H46" s="1930" t="s">
        <v>1383</v>
      </c>
      <c r="I46" s="990">
        <v>17</v>
      </c>
      <c r="J46" s="962"/>
      <c r="K46" s="131"/>
      <c r="L46" s="626"/>
      <c r="M46" s="109"/>
      <c r="N46" s="100"/>
      <c r="O46" s="141"/>
      <c r="P46" s="238"/>
      <c r="Q46" s="250"/>
      <c r="R46" s="153"/>
      <c r="S46" s="153"/>
      <c r="T46" s="153"/>
      <c r="U46" s="153"/>
      <c r="V46" s="153"/>
      <c r="W46" s="153"/>
      <c r="X46" s="153"/>
      <c r="Y46" s="153"/>
      <c r="Z46" s="153"/>
      <c r="AA46" s="153"/>
      <c r="AB46" s="153"/>
      <c r="AC46" s="431">
        <f>SUM(Q46:AB46)</f>
        <v>0</v>
      </c>
      <c r="AD46" s="406">
        <f>O46-AC46</f>
        <v>0</v>
      </c>
      <c r="AE46" s="355"/>
      <c r="AF46" s="962">
        <v>17</v>
      </c>
      <c r="AG46" s="328" t="s">
        <v>294</v>
      </c>
      <c r="AH46" s="328" t="s">
        <v>178</v>
      </c>
      <c r="AI46" s="1054">
        <f t="shared" si="12"/>
        <v>0</v>
      </c>
      <c r="AJ46" s="316">
        <f>15000000-15000000</f>
        <v>0</v>
      </c>
      <c r="AK46" s="926">
        <f>AJ46-O46</f>
        <v>0</v>
      </c>
      <c r="AL46" s="973"/>
      <c r="AM46" s="1605">
        <f t="shared" si="13"/>
        <v>0</v>
      </c>
    </row>
    <row r="47" spans="1:39" s="8" customFormat="1" ht="14.25">
      <c r="A47" s="576" t="s">
        <v>29</v>
      </c>
      <c r="B47" s="143">
        <f t="shared" si="14"/>
        <v>14997500</v>
      </c>
      <c r="C47" s="81" t="s">
        <v>20</v>
      </c>
      <c r="D47" s="81" t="s">
        <v>21</v>
      </c>
      <c r="E47" s="81" t="s">
        <v>27</v>
      </c>
      <c r="F47" s="81" t="s">
        <v>28</v>
      </c>
      <c r="G47" s="81" t="s">
        <v>22</v>
      </c>
      <c r="H47" s="1930" t="s">
        <v>1383</v>
      </c>
      <c r="I47" s="990">
        <v>567</v>
      </c>
      <c r="J47" s="97"/>
      <c r="K47" s="131"/>
      <c r="L47" s="107">
        <v>640</v>
      </c>
      <c r="M47" s="109">
        <f>15000000-2500</f>
        <v>14997500</v>
      </c>
      <c r="N47" s="100">
        <v>803</v>
      </c>
      <c r="O47" s="141">
        <v>14997500</v>
      </c>
      <c r="P47" s="238">
        <v>447</v>
      </c>
      <c r="Q47" s="250"/>
      <c r="R47" s="577"/>
      <c r="S47" s="577"/>
      <c r="T47" s="577"/>
      <c r="U47" s="577"/>
      <c r="V47" s="153"/>
      <c r="W47" s="153"/>
      <c r="X47" s="153"/>
      <c r="Y47" s="153"/>
      <c r="Z47" s="153"/>
      <c r="AA47" s="153"/>
      <c r="AB47" s="153"/>
      <c r="AC47" s="431">
        <f>SUM(Q47:AB47)</f>
        <v>0</v>
      </c>
      <c r="AD47" s="406">
        <f>O47-AC47</f>
        <v>14997500</v>
      </c>
      <c r="AE47" s="355"/>
      <c r="AF47" s="962">
        <v>567</v>
      </c>
      <c r="AG47" s="279" t="s">
        <v>1228</v>
      </c>
      <c r="AH47" s="328" t="s">
        <v>1295</v>
      </c>
      <c r="AI47" s="1054">
        <f t="shared" si="12"/>
        <v>447</v>
      </c>
      <c r="AJ47" s="316">
        <v>15000000</v>
      </c>
      <c r="AK47" s="926">
        <f>AJ47-O47</f>
        <v>2500</v>
      </c>
      <c r="AL47" s="973"/>
      <c r="AM47" s="1605">
        <f t="shared" si="13"/>
        <v>2500</v>
      </c>
    </row>
    <row r="48" spans="1:39" s="8" customFormat="1">
      <c r="A48" s="574" t="s">
        <v>24</v>
      </c>
      <c r="B48" s="121">
        <f>B44-SUM(B45:B47)</f>
        <v>1605057</v>
      </c>
      <c r="C48" s="13"/>
      <c r="D48" s="13"/>
      <c r="E48" s="13"/>
      <c r="F48" s="13"/>
      <c r="G48" s="13"/>
      <c r="H48" s="13"/>
      <c r="I48" s="991"/>
      <c r="J48" s="13"/>
      <c r="K48" s="121"/>
      <c r="L48" s="135"/>
      <c r="M48" s="14">
        <f>SUM(M45:M47)</f>
        <v>18394943</v>
      </c>
      <c r="N48" s="101"/>
      <c r="O48" s="14">
        <f>SUM(O45:O47)</f>
        <v>18394943</v>
      </c>
      <c r="P48" s="518"/>
      <c r="Q48" s="14">
        <f>SUM(Q45:Q47)</f>
        <v>0</v>
      </c>
      <c r="R48" s="14">
        <f t="shared" ref="R48:AD48" si="15">SUM(R45:R47)</f>
        <v>0</v>
      </c>
      <c r="S48" s="14">
        <f t="shared" si="15"/>
        <v>0</v>
      </c>
      <c r="T48" s="14">
        <f t="shared" si="15"/>
        <v>0</v>
      </c>
      <c r="U48" s="14">
        <f t="shared" si="15"/>
        <v>0</v>
      </c>
      <c r="V48" s="14">
        <f t="shared" si="15"/>
        <v>0</v>
      </c>
      <c r="W48" s="14">
        <f t="shared" si="15"/>
        <v>0</v>
      </c>
      <c r="X48" s="14">
        <f t="shared" si="15"/>
        <v>3397443</v>
      </c>
      <c r="Y48" s="14">
        <f t="shared" si="15"/>
        <v>0</v>
      </c>
      <c r="Z48" s="14">
        <f t="shared" si="15"/>
        <v>0</v>
      </c>
      <c r="AA48" s="14">
        <f t="shared" si="15"/>
        <v>0</v>
      </c>
      <c r="AB48" s="14">
        <f t="shared" si="15"/>
        <v>0</v>
      </c>
      <c r="AC48" s="14">
        <f t="shared" si="15"/>
        <v>3397443</v>
      </c>
      <c r="AD48" s="14">
        <f t="shared" si="15"/>
        <v>14997500</v>
      </c>
      <c r="AE48" s="234"/>
      <c r="AF48" s="966"/>
      <c r="AG48" s="330"/>
      <c r="AH48" s="330"/>
      <c r="AI48" s="1092"/>
      <c r="AJ48" s="14">
        <f>SUM(AJ45:AJ47)</f>
        <v>20000000</v>
      </c>
      <c r="AK48" s="182">
        <f>SUM(AK45:AK47)</f>
        <v>1605057</v>
      </c>
      <c r="AL48" s="872">
        <f>B44-AJ48</f>
        <v>0</v>
      </c>
    </row>
    <row r="49" spans="1:38" s="8" customFormat="1">
      <c r="A49" s="578"/>
      <c r="B49" s="144"/>
      <c r="C49" s="145"/>
      <c r="D49" s="146"/>
      <c r="E49" s="145"/>
      <c r="F49" s="145"/>
      <c r="G49" s="147"/>
      <c r="H49" s="75"/>
      <c r="I49" s="213"/>
      <c r="J49" s="146"/>
      <c r="K49" s="495"/>
      <c r="L49" s="148"/>
      <c r="M49" s="149"/>
      <c r="N49" s="150"/>
      <c r="O49" s="151"/>
      <c r="P49" s="184"/>
      <c r="Q49" s="252"/>
      <c r="R49" s="7"/>
      <c r="S49" s="7"/>
      <c r="T49" s="7"/>
      <c r="U49" s="7"/>
      <c r="V49" s="7"/>
      <c r="W49" s="7"/>
      <c r="X49" s="7"/>
      <c r="Y49" s="7"/>
      <c r="Z49" s="7"/>
      <c r="AA49" s="7"/>
      <c r="AB49" s="7"/>
      <c r="AC49" s="184"/>
      <c r="AD49" s="430"/>
      <c r="AE49" s="234"/>
      <c r="AF49" s="945"/>
      <c r="AG49" s="322"/>
      <c r="AH49" s="322"/>
      <c r="AI49" s="1054"/>
      <c r="AJ49" s="316"/>
      <c r="AK49" s="957"/>
      <c r="AL49" s="973"/>
    </row>
    <row r="50" spans="1:38" s="132" customFormat="1" ht="15.75" thickBot="1">
      <c r="A50" s="579" t="s">
        <v>176</v>
      </c>
      <c r="B50" s="124">
        <f>B17+B38+B44</f>
        <v>740000000</v>
      </c>
      <c r="C50" s="15"/>
      <c r="D50" s="16"/>
      <c r="E50" s="15"/>
      <c r="F50" s="15"/>
      <c r="G50" s="17"/>
      <c r="H50" s="1926"/>
      <c r="I50" s="992"/>
      <c r="J50" s="16"/>
      <c r="K50" s="503"/>
      <c r="L50" s="136"/>
      <c r="M50" s="110">
        <f>M37+M43+M48</f>
        <v>730962199</v>
      </c>
      <c r="N50" s="102"/>
      <c r="O50" s="110">
        <f>O37+O43+O48</f>
        <v>730962199</v>
      </c>
      <c r="P50" s="258"/>
      <c r="Q50" s="253">
        <f t="shared" ref="Q50:AD50" si="16">Q37+Q43+Q48</f>
        <v>0</v>
      </c>
      <c r="R50" s="189">
        <f t="shared" si="16"/>
        <v>451600</v>
      </c>
      <c r="S50" s="189">
        <f t="shared" si="16"/>
        <v>48165068</v>
      </c>
      <c r="T50" s="189">
        <f t="shared" si="16"/>
        <v>54803600</v>
      </c>
      <c r="U50" s="189">
        <f t="shared" si="16"/>
        <v>55387000</v>
      </c>
      <c r="V50" s="189">
        <f t="shared" si="16"/>
        <v>55387000</v>
      </c>
      <c r="W50" s="189">
        <f t="shared" si="16"/>
        <v>55387000</v>
      </c>
      <c r="X50" s="189">
        <f t="shared" si="16"/>
        <v>58784443</v>
      </c>
      <c r="Y50" s="189">
        <f t="shared" si="16"/>
        <v>55387000</v>
      </c>
      <c r="Z50" s="189">
        <f t="shared" si="16"/>
        <v>0</v>
      </c>
      <c r="AA50" s="189">
        <f t="shared" si="16"/>
        <v>0</v>
      </c>
      <c r="AB50" s="189">
        <f t="shared" si="16"/>
        <v>0</v>
      </c>
      <c r="AC50" s="1490">
        <f t="shared" si="16"/>
        <v>383752711</v>
      </c>
      <c r="AD50" s="1491">
        <f t="shared" si="16"/>
        <v>347209488</v>
      </c>
      <c r="AE50" s="1503"/>
      <c r="AF50" s="967"/>
      <c r="AG50" s="968"/>
      <c r="AH50" s="968"/>
      <c r="AI50" s="1093"/>
      <c r="AJ50" s="969">
        <f>AJ37+AJ43+AJ48</f>
        <v>740000000</v>
      </c>
      <c r="AK50" s="970">
        <f>AK37+AK43+AK48</f>
        <v>9037801</v>
      </c>
      <c r="AL50" s="1244">
        <f>AL37+AL43+AL48</f>
        <v>0</v>
      </c>
    </row>
    <row r="51" spans="1:38">
      <c r="A51" s="18"/>
      <c r="B51" s="125"/>
      <c r="C51" s="20"/>
      <c r="D51" s="20"/>
      <c r="E51" s="20"/>
      <c r="F51" s="20"/>
      <c r="G51" s="20"/>
      <c r="H51" s="1916"/>
      <c r="I51" s="214"/>
      <c r="J51" s="20"/>
      <c r="K51" s="125"/>
      <c r="L51" s="137"/>
      <c r="M51" s="111"/>
      <c r="N51" s="103"/>
      <c r="O51" s="111"/>
      <c r="P51" s="21"/>
      <c r="Q51" s="225"/>
      <c r="R51" s="225"/>
      <c r="S51" s="225"/>
      <c r="T51" s="225"/>
      <c r="U51" s="225"/>
      <c r="V51" s="225"/>
      <c r="W51" s="225"/>
      <c r="X51" s="225"/>
      <c r="Y51" s="225"/>
      <c r="Z51" s="225"/>
      <c r="AA51" s="225"/>
      <c r="AB51" s="225"/>
      <c r="AC51" s="580"/>
      <c r="AD51" s="581"/>
      <c r="AE51" s="223"/>
    </row>
    <row r="52" spans="1:38">
      <c r="A52" s="18"/>
      <c r="B52" s="125"/>
      <c r="C52" s="777"/>
      <c r="D52" s="777"/>
      <c r="E52" s="777"/>
      <c r="F52" s="777"/>
      <c r="G52" s="777"/>
      <c r="H52" s="1916"/>
      <c r="I52" s="214"/>
      <c r="J52" s="777"/>
      <c r="K52" s="125"/>
      <c r="L52" s="137"/>
      <c r="M52" s="111"/>
      <c r="N52" s="103"/>
      <c r="O52" s="111"/>
      <c r="P52" s="21"/>
      <c r="Q52" s="225"/>
      <c r="R52" s="225"/>
      <c r="S52" s="225"/>
      <c r="T52" s="225"/>
      <c r="U52" s="225"/>
      <c r="V52" s="225"/>
      <c r="W52" s="225"/>
      <c r="X52" s="225"/>
      <c r="Y52" s="225"/>
      <c r="Z52" s="225"/>
      <c r="AA52" s="225"/>
      <c r="AB52" s="225"/>
      <c r="AC52" s="580"/>
      <c r="AD52" s="581"/>
      <c r="AE52" s="223"/>
    </row>
    <row r="53" spans="1:38" ht="12.75" customHeight="1">
      <c r="A53" s="18"/>
      <c r="B53" s="125"/>
      <c r="C53" s="592"/>
      <c r="D53" s="592"/>
      <c r="E53" s="592"/>
      <c r="F53" s="592"/>
      <c r="G53" s="592"/>
      <c r="H53" s="592"/>
      <c r="I53" s="993"/>
      <c r="J53" s="20"/>
      <c r="K53" s="125"/>
      <c r="L53" s="137"/>
      <c r="M53" s="111"/>
      <c r="N53" s="103"/>
      <c r="O53" s="111"/>
      <c r="P53" s="21"/>
      <c r="Q53" s="225"/>
      <c r="R53" s="225"/>
      <c r="S53" s="225"/>
      <c r="T53" s="225"/>
      <c r="U53" s="225"/>
      <c r="V53" s="225"/>
      <c r="W53" s="225"/>
      <c r="X53" s="225"/>
      <c r="Y53" s="225"/>
      <c r="Z53" s="225"/>
      <c r="AA53" s="225"/>
      <c r="AB53" s="225"/>
      <c r="AC53" s="580"/>
      <c r="AD53" s="581"/>
      <c r="AE53" s="223"/>
    </row>
    <row r="54" spans="1:38" ht="22.5" customHeight="1">
      <c r="A54" s="22" t="s">
        <v>139</v>
      </c>
      <c r="B54" s="126" t="s">
        <v>12</v>
      </c>
      <c r="C54" s="592"/>
      <c r="D54" s="592"/>
      <c r="E54" s="592"/>
      <c r="F54" s="592"/>
      <c r="G54" s="592"/>
      <c r="H54" s="592"/>
      <c r="I54" s="993"/>
      <c r="J54" s="75"/>
      <c r="K54" s="489"/>
      <c r="L54" s="156"/>
      <c r="M54" s="112" t="s">
        <v>17</v>
      </c>
      <c r="N54" s="359" t="s">
        <v>18</v>
      </c>
      <c r="O54" s="259" t="s">
        <v>19</v>
      </c>
      <c r="P54" s="582" t="s">
        <v>137</v>
      </c>
      <c r="Q54" s="554">
        <v>0</v>
      </c>
      <c r="R54" s="554">
        <v>451600</v>
      </c>
      <c r="S54" s="554">
        <v>48165068</v>
      </c>
      <c r="T54" s="554">
        <v>54803600</v>
      </c>
      <c r="U54" s="554">
        <v>55387000</v>
      </c>
      <c r="V54" s="554">
        <v>55387000</v>
      </c>
      <c r="W54" s="554">
        <v>55387000</v>
      </c>
      <c r="X54" s="554">
        <v>58784443</v>
      </c>
      <c r="Y54" s="554">
        <v>55387000</v>
      </c>
      <c r="Z54" s="554"/>
      <c r="AA54" s="554"/>
      <c r="AB54" s="554"/>
      <c r="AC54" s="1488">
        <f>SUM(Q54:AB54)</f>
        <v>383752711</v>
      </c>
      <c r="AD54" s="1489">
        <f>O50-AC54</f>
        <v>347209488</v>
      </c>
      <c r="AE54" s="1504"/>
    </row>
    <row r="55" spans="1:38" ht="15.75" customHeight="1">
      <c r="A55" s="25" t="s">
        <v>31</v>
      </c>
      <c r="B55" s="77">
        <f>B17+B38+B44</f>
        <v>740000000</v>
      </c>
      <c r="C55" s="2082"/>
      <c r="D55" s="2083"/>
      <c r="E55" s="2083"/>
      <c r="F55" s="2083"/>
      <c r="G55" s="2083"/>
      <c r="H55" s="1911"/>
      <c r="I55" s="994"/>
      <c r="J55" s="157"/>
      <c r="K55" s="423"/>
      <c r="L55" s="158"/>
      <c r="M55" s="113">
        <f>M37+M43+M48</f>
        <v>730962199</v>
      </c>
      <c r="N55" s="113">
        <f>O37+O43+O48</f>
        <v>730962199</v>
      </c>
      <c r="O55" s="113">
        <f>AC37+AC43+AC48</f>
        <v>383752711</v>
      </c>
      <c r="P55" s="62"/>
      <c r="Q55" s="225"/>
      <c r="R55" s="225"/>
      <c r="S55" s="225">
        <f>S54-S50</f>
        <v>0</v>
      </c>
      <c r="T55" s="225"/>
      <c r="U55" s="225"/>
      <c r="V55" s="225"/>
      <c r="W55" s="225"/>
      <c r="X55" s="225"/>
      <c r="Y55" s="225">
        <f>Y54-Y50</f>
        <v>0</v>
      </c>
      <c r="Z55" s="225"/>
      <c r="AA55" s="225"/>
      <c r="AB55" s="225"/>
      <c r="AC55" s="580"/>
      <c r="AD55" s="581"/>
      <c r="AE55" s="223"/>
    </row>
    <row r="56" spans="1:38" ht="18.75" customHeight="1">
      <c r="A56" s="18"/>
      <c r="B56" s="125"/>
      <c r="C56" s="2084"/>
      <c r="D56" s="2084"/>
      <c r="E56" s="2084"/>
      <c r="F56" s="2084"/>
      <c r="G56" s="2084"/>
      <c r="H56" s="1912"/>
      <c r="I56" s="995"/>
      <c r="J56" s="20"/>
      <c r="K56" s="125"/>
      <c r="L56" s="137"/>
      <c r="M56" s="111"/>
      <c r="N56" s="479" t="s">
        <v>31</v>
      </c>
      <c r="O56" s="113">
        <f>O50</f>
        <v>730962199</v>
      </c>
      <c r="P56" s="62"/>
      <c r="Q56" s="113">
        <v>0</v>
      </c>
      <c r="R56" s="113">
        <f t="shared" ref="R56:AD56" si="17">R37+R43+R48</f>
        <v>451600</v>
      </c>
      <c r="S56" s="113">
        <f t="shared" si="17"/>
        <v>48165068</v>
      </c>
      <c r="T56" s="113">
        <f t="shared" si="17"/>
        <v>54803600</v>
      </c>
      <c r="U56" s="113">
        <f t="shared" si="17"/>
        <v>55387000</v>
      </c>
      <c r="V56" s="113">
        <f t="shared" si="17"/>
        <v>55387000</v>
      </c>
      <c r="W56" s="113">
        <f t="shared" si="17"/>
        <v>55387000</v>
      </c>
      <c r="X56" s="113">
        <f t="shared" si="17"/>
        <v>58784443</v>
      </c>
      <c r="Y56" s="113">
        <f t="shared" si="17"/>
        <v>55387000</v>
      </c>
      <c r="Z56" s="113">
        <f t="shared" si="17"/>
        <v>0</v>
      </c>
      <c r="AA56" s="113">
        <f t="shared" si="17"/>
        <v>0</v>
      </c>
      <c r="AB56" s="113">
        <f t="shared" si="17"/>
        <v>0</v>
      </c>
      <c r="AC56" s="362">
        <f t="shared" si="17"/>
        <v>383752711</v>
      </c>
      <c r="AD56" s="646">
        <f t="shared" si="17"/>
        <v>347209488</v>
      </c>
      <c r="AE56" s="1499"/>
      <c r="AF56" s="157"/>
    </row>
    <row r="57" spans="1:38" ht="13.5" thickBot="1">
      <c r="A57" s="583"/>
      <c r="B57" s="584"/>
      <c r="C57" s="593"/>
      <c r="D57" s="593"/>
      <c r="E57" s="593"/>
      <c r="F57" s="593"/>
      <c r="G57" s="593"/>
      <c r="H57" s="593"/>
      <c r="I57" s="996"/>
      <c r="J57" s="585"/>
      <c r="K57" s="586"/>
      <c r="L57" s="587"/>
      <c r="M57" s="584"/>
      <c r="N57" s="648"/>
      <c r="O57" s="584"/>
      <c r="P57" s="588"/>
      <c r="Q57" s="589"/>
      <c r="R57" s="589"/>
      <c r="S57" s="589"/>
      <c r="T57" s="589"/>
      <c r="U57" s="589"/>
      <c r="V57" s="589"/>
      <c r="W57" s="589"/>
      <c r="X57" s="589"/>
      <c r="Y57" s="589"/>
      <c r="Z57" s="589"/>
      <c r="AA57" s="589"/>
      <c r="AB57" s="589"/>
      <c r="AC57" s="590"/>
      <c r="AD57" s="591"/>
      <c r="AE57" s="223"/>
    </row>
    <row r="58" spans="1:38">
      <c r="M58" s="367">
        <v>730962199</v>
      </c>
      <c r="N58" s="367">
        <v>730962199</v>
      </c>
      <c r="O58" s="367">
        <f>O55</f>
        <v>383752711</v>
      </c>
    </row>
    <row r="59" spans="1:38">
      <c r="M59" s="367">
        <f>M58-M55</f>
        <v>0</v>
      </c>
      <c r="N59" s="367">
        <f>N58-N55</f>
        <v>0</v>
      </c>
      <c r="O59" s="367">
        <f>O58-O55</f>
        <v>0</v>
      </c>
      <c r="T59" s="116">
        <f>T54-T50</f>
        <v>0</v>
      </c>
      <c r="U59" s="116">
        <f>U54-U50</f>
        <v>0</v>
      </c>
      <c r="V59" s="116">
        <f>V54-V50</f>
        <v>0</v>
      </c>
    </row>
    <row r="61" spans="1:38">
      <c r="A61" s="29"/>
      <c r="B61" s="127"/>
      <c r="C61" s="31"/>
      <c r="D61" s="32"/>
    </row>
    <row r="62" spans="1:38">
      <c r="A62" s="33"/>
      <c r="B62" s="128"/>
      <c r="C62" s="35"/>
      <c r="D62" s="36"/>
    </row>
    <row r="63" spans="1:38">
      <c r="A63" s="33"/>
      <c r="B63" s="128"/>
      <c r="C63" s="35"/>
      <c r="D63" s="36"/>
    </row>
    <row r="64" spans="1:38">
      <c r="A64" s="33"/>
      <c r="B64" s="128"/>
      <c r="C64" s="35"/>
    </row>
    <row r="65" spans="1:6">
      <c r="B65" s="128"/>
    </row>
    <row r="66" spans="1:6">
      <c r="B66" s="128"/>
    </row>
    <row r="67" spans="1:6">
      <c r="B67" s="128"/>
    </row>
    <row r="68" spans="1:6">
      <c r="B68" s="128"/>
    </row>
    <row r="69" spans="1:6">
      <c r="B69" s="128"/>
    </row>
    <row r="70" spans="1:6">
      <c r="B70" s="128"/>
    </row>
    <row r="71" spans="1:6">
      <c r="A71" s="33"/>
      <c r="C71" s="128"/>
    </row>
    <row r="72" spans="1:6">
      <c r="A72" s="33"/>
      <c r="C72" s="128"/>
    </row>
    <row r="73" spans="1:6">
      <c r="A73" s="29"/>
      <c r="B73" s="128"/>
      <c r="C73" s="128"/>
    </row>
    <row r="74" spans="1:6">
      <c r="A74" s="33"/>
      <c r="B74" s="128"/>
      <c r="C74" s="128"/>
      <c r="F74" s="37"/>
    </row>
    <row r="75" spans="1:6">
      <c r="A75" s="33"/>
    </row>
    <row r="76" spans="1:6">
      <c r="B76" s="128"/>
      <c r="C76" s="128"/>
    </row>
    <row r="77" spans="1:6">
      <c r="A77" s="33"/>
    </row>
    <row r="78" spans="1:6">
      <c r="A78" s="33"/>
    </row>
    <row r="79" spans="1:6">
      <c r="A79" s="33"/>
    </row>
    <row r="80" spans="1:6">
      <c r="A80" s="33"/>
    </row>
    <row r="81" spans="1:2">
      <c r="A81" s="33"/>
    </row>
    <row r="82" spans="1:2">
      <c r="A82" s="33"/>
      <c r="B82" s="128"/>
    </row>
    <row r="83" spans="1:2">
      <c r="A83" s="33"/>
      <c r="B83" s="128"/>
    </row>
    <row r="84" spans="1:2">
      <c r="A84" s="33"/>
      <c r="B84" s="128"/>
    </row>
    <row r="85" spans="1:2">
      <c r="A85" s="33"/>
      <c r="B85" s="128"/>
    </row>
    <row r="86" spans="1:2">
      <c r="A86" s="33"/>
      <c r="B86" s="128"/>
    </row>
    <row r="87" spans="1:2">
      <c r="A87" s="33"/>
      <c r="B87" s="128"/>
    </row>
    <row r="88" spans="1:2">
      <c r="A88" s="33"/>
      <c r="B88" s="128"/>
    </row>
    <row r="89" spans="1:2">
      <c r="A89" s="33"/>
      <c r="B89" s="128"/>
    </row>
    <row r="90" spans="1:2">
      <c r="A90" s="33"/>
      <c r="B90" s="128"/>
    </row>
    <row r="91" spans="1:2">
      <c r="A91" s="33"/>
      <c r="B91" s="128"/>
    </row>
    <row r="92" spans="1:2">
      <c r="A92" s="33"/>
      <c r="B92" s="128"/>
    </row>
  </sheetData>
  <autoFilter ref="A16:AL48"/>
  <mergeCells count="16">
    <mergeCell ref="C55:E55"/>
    <mergeCell ref="C56:E56"/>
    <mergeCell ref="F55:G55"/>
    <mergeCell ref="F56:G56"/>
    <mergeCell ref="B12:G12"/>
    <mergeCell ref="B11:G11"/>
    <mergeCell ref="A5:G5"/>
    <mergeCell ref="A6:G6"/>
    <mergeCell ref="A7:G7"/>
    <mergeCell ref="A8:G8"/>
    <mergeCell ref="A9:G9"/>
    <mergeCell ref="B1:AD1"/>
    <mergeCell ref="B2:AD2"/>
    <mergeCell ref="B3:AD3"/>
    <mergeCell ref="A1:A3"/>
    <mergeCell ref="B10:D10"/>
  </mergeCells>
  <conditionalFormatting sqref="N60:N1048576 N48:N54 N40:N46 N56:N57 N4:N38">
    <cfRule type="duplicateValues" dxfId="98" priority="7"/>
  </conditionalFormatting>
  <conditionalFormatting sqref="AD4:AE36 AD38:AE47 AE37 AD49:AE1048576 AE48">
    <cfRule type="cellIs" dxfId="97" priority="2" operator="lessThan">
      <formula>0</formula>
    </cfRule>
    <cfRule type="cellIs" dxfId="96" priority="6" operator="lessThan">
      <formula>0</formula>
    </cfRule>
  </conditionalFormatting>
  <conditionalFormatting sqref="N47">
    <cfRule type="duplicateValues" dxfId="95" priority="5"/>
  </conditionalFormatting>
  <conditionalFormatting sqref="L4:L1048576">
    <cfRule type="duplicateValues" dxfId="94" priority="4"/>
  </conditionalFormatting>
  <conditionalFormatting sqref="N59:N1048576 N4:N54 N56:N57">
    <cfRule type="duplicateValues" dxfId="93" priority="3"/>
  </conditionalFormatting>
  <conditionalFormatting sqref="AK1:AK36 AK38:AK1048576">
    <cfRule type="cellIs" dxfId="92" priority="1"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3" max="16383" man="1"/>
  </rowBreaks>
  <ignoredErrors>
    <ignoredError sqref="AC45:AD47 AC18:AC22" formulaRange="1"/>
    <ignoredError sqref="AC43" formula="1"/>
    <ignoredError sqref="AC39:AC40"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M332"/>
  <sheetViews>
    <sheetView zoomScale="89" zoomScaleNormal="89" workbookViewId="0">
      <selection activeCell="B13" sqref="B13"/>
    </sheetView>
  </sheetViews>
  <sheetFormatPr baseColWidth="10" defaultRowHeight="14.25"/>
  <cols>
    <col min="1" max="1" width="26.85546875" customWidth="1"/>
    <col min="2" max="2" width="21.42578125" style="27" customWidth="1"/>
    <col min="3" max="3" width="28.140625" customWidth="1"/>
    <col min="4" max="8" width="24.140625" customWidth="1"/>
    <col min="9" max="9" width="7.140625" style="997" customWidth="1"/>
    <col min="10" max="10" width="7.85546875" style="70" customWidth="1"/>
    <col min="11" max="11" width="16.7109375" style="164" customWidth="1"/>
    <col min="12" max="12" width="13.85546875" style="1110" customWidth="1"/>
    <col min="13" max="13" width="18.85546875" style="364" customWidth="1"/>
    <col min="14" max="14" width="16.7109375" style="1110" customWidth="1"/>
    <col min="15" max="15" width="17.7109375" style="1129" customWidth="1"/>
    <col min="16" max="16" width="9.42578125" style="176" customWidth="1"/>
    <col min="17" max="17" width="13.5703125" style="165" customWidth="1"/>
    <col min="18" max="18" width="15.85546875" style="165" customWidth="1"/>
    <col min="19" max="20" width="13.85546875" style="165" customWidth="1"/>
    <col min="21" max="21" width="14.28515625" style="165" customWidth="1"/>
    <col min="22" max="22" width="13.140625" style="165" customWidth="1"/>
    <col min="23" max="23" width="12.42578125" style="165" customWidth="1"/>
    <col min="24" max="24" width="14.5703125" style="165" customWidth="1"/>
    <col min="25" max="25" width="20.140625" style="165" customWidth="1"/>
    <col min="26" max="26" width="15.85546875" style="165" customWidth="1"/>
    <col min="27" max="27" width="19.28515625" style="165" customWidth="1"/>
    <col min="28" max="28" width="18.5703125" style="165" customWidth="1"/>
    <col min="29" max="29" width="18" style="367" customWidth="1"/>
    <col min="30" max="30" width="16.42578125" style="549" customWidth="1"/>
    <col min="31" max="31" width="23" style="1518" customWidth="1"/>
    <col min="32" max="32" width="11" style="70" hidden="1" customWidth="1"/>
    <col min="33" max="33" width="11.42578125" hidden="1" customWidth="1"/>
    <col min="34" max="34" width="13.42578125" hidden="1" customWidth="1"/>
    <col min="35" max="35" width="6.5703125" style="524" hidden="1" customWidth="1"/>
    <col min="36" max="36" width="17.28515625" style="324" hidden="1" customWidth="1"/>
    <col min="37" max="37" width="16.42578125" hidden="1" customWidth="1"/>
    <col min="38" max="38" width="15.140625" style="972" hidden="1" customWidth="1"/>
    <col min="39" max="39" width="15.140625" hidden="1" customWidth="1"/>
  </cols>
  <sheetData>
    <row r="1" spans="1:37" ht="42.75" customHeight="1">
      <c r="A1" s="2105"/>
      <c r="B1" s="2123" t="s">
        <v>648</v>
      </c>
      <c r="C1" s="2123"/>
      <c r="D1" s="2123"/>
      <c r="E1" s="2123"/>
      <c r="F1" s="2123"/>
      <c r="G1" s="2123"/>
      <c r="H1" s="2123"/>
      <c r="I1" s="2123"/>
      <c r="J1" s="2123"/>
      <c r="K1" s="2123"/>
      <c r="L1" s="2123"/>
      <c r="M1" s="2123"/>
      <c r="N1" s="2123"/>
      <c r="O1" s="2123"/>
      <c r="P1" s="2123"/>
      <c r="Q1" s="2123"/>
      <c r="R1" s="2123"/>
      <c r="S1" s="2123"/>
      <c r="T1" s="2123"/>
      <c r="U1" s="2123"/>
      <c r="V1" s="2123"/>
      <c r="W1" s="2123"/>
      <c r="X1" s="2123"/>
      <c r="Y1" s="2123"/>
      <c r="Z1" s="2123"/>
      <c r="AA1" s="2123"/>
      <c r="AB1" s="2123"/>
      <c r="AC1" s="2123"/>
      <c r="AD1" s="2124"/>
      <c r="AE1" s="1496"/>
      <c r="AF1" s="312"/>
    </row>
    <row r="2" spans="1:37" ht="42.75" customHeight="1">
      <c r="A2" s="2106"/>
      <c r="B2" s="2125" t="s">
        <v>1222</v>
      </c>
      <c r="C2" s="2125"/>
      <c r="D2" s="2125"/>
      <c r="E2" s="2125"/>
      <c r="F2" s="2125"/>
      <c r="G2" s="2125"/>
      <c r="H2" s="2125"/>
      <c r="I2" s="2125"/>
      <c r="J2" s="2125"/>
      <c r="K2" s="2125"/>
      <c r="L2" s="2125"/>
      <c r="M2" s="2125"/>
      <c r="N2" s="2125"/>
      <c r="O2" s="2125"/>
      <c r="P2" s="2125"/>
      <c r="Q2" s="2125"/>
      <c r="R2" s="2125"/>
      <c r="S2" s="2125"/>
      <c r="T2" s="2125"/>
      <c r="U2" s="2125"/>
      <c r="V2" s="2125"/>
      <c r="W2" s="2125"/>
      <c r="X2" s="2125"/>
      <c r="Y2" s="2125"/>
      <c r="Z2" s="2125"/>
      <c r="AA2" s="2125"/>
      <c r="AB2" s="2125"/>
      <c r="AC2" s="2125"/>
      <c r="AD2" s="2126"/>
      <c r="AE2" s="1496"/>
      <c r="AF2" s="312"/>
    </row>
    <row r="3" spans="1:37" ht="42.75" customHeight="1" thickBot="1">
      <c r="A3" s="2107"/>
      <c r="B3" s="2125" t="s">
        <v>1207</v>
      </c>
      <c r="C3" s="2125"/>
      <c r="D3" s="2125"/>
      <c r="E3" s="2125"/>
      <c r="F3" s="2125"/>
      <c r="G3" s="2125"/>
      <c r="H3" s="2125"/>
      <c r="I3" s="2125"/>
      <c r="J3" s="2125"/>
      <c r="K3" s="2125"/>
      <c r="L3" s="2125"/>
      <c r="M3" s="2125"/>
      <c r="N3" s="2125"/>
      <c r="O3" s="2125"/>
      <c r="P3" s="2125"/>
      <c r="Q3" s="2125"/>
      <c r="R3" s="2125"/>
      <c r="S3" s="2125"/>
      <c r="T3" s="2125"/>
      <c r="U3" s="2125"/>
      <c r="V3" s="2125"/>
      <c r="W3" s="2125"/>
      <c r="X3" s="2125"/>
      <c r="Y3" s="2125"/>
      <c r="Z3" s="2125"/>
      <c r="AA3" s="2125"/>
      <c r="AB3" s="2125"/>
      <c r="AC3" s="2125"/>
      <c r="AD3" s="2126"/>
      <c r="AE3" s="1496"/>
      <c r="AF3" s="489"/>
    </row>
    <row r="4" spans="1:37" ht="13.5" customHeight="1">
      <c r="A4" s="2108" t="s">
        <v>0</v>
      </c>
      <c r="B4" s="2109"/>
      <c r="C4" s="2109"/>
      <c r="D4" s="2109"/>
      <c r="E4" s="2109"/>
      <c r="F4" s="2109"/>
      <c r="G4" s="2109"/>
      <c r="H4" s="1913"/>
      <c r="I4" s="998"/>
      <c r="J4" s="38"/>
      <c r="K4" s="490"/>
      <c r="L4" s="1676"/>
      <c r="M4" s="1654"/>
      <c r="N4" s="1699"/>
      <c r="O4" s="2110"/>
      <c r="P4" s="2111"/>
      <c r="Q4" s="2111"/>
      <c r="R4" s="2111"/>
      <c r="S4" s="2111"/>
      <c r="T4" s="2111"/>
      <c r="U4" s="2111"/>
      <c r="V4" s="2111"/>
      <c r="W4" s="2111"/>
      <c r="X4" s="2111"/>
      <c r="Y4" s="2111"/>
      <c r="Z4" s="2111"/>
      <c r="AA4" s="2111"/>
      <c r="AB4" s="2111"/>
      <c r="AC4" s="2111"/>
      <c r="AD4" s="2112"/>
      <c r="AE4" s="1509"/>
      <c r="AF4" s="1509"/>
    </row>
    <row r="5" spans="1:37" ht="13.5" customHeight="1">
      <c r="A5" s="2119" t="s">
        <v>437</v>
      </c>
      <c r="B5" s="2120"/>
      <c r="C5" s="2120"/>
      <c r="D5" s="2120"/>
      <c r="E5" s="2120"/>
      <c r="F5" s="2120"/>
      <c r="G5" s="2120"/>
      <c r="H5" s="1914"/>
      <c r="I5" s="998"/>
      <c r="J5" s="38"/>
      <c r="K5" s="490"/>
      <c r="L5" s="1676"/>
      <c r="M5" s="1654"/>
      <c r="N5" s="1676"/>
      <c r="O5" s="2113"/>
      <c r="P5" s="2114"/>
      <c r="Q5" s="2114"/>
      <c r="R5" s="2114"/>
      <c r="S5" s="2114"/>
      <c r="T5" s="2114"/>
      <c r="U5" s="2114"/>
      <c r="V5" s="2114"/>
      <c r="W5" s="2114"/>
      <c r="X5" s="2114"/>
      <c r="Y5" s="2114"/>
      <c r="Z5" s="2114"/>
      <c r="AA5" s="2114"/>
      <c r="AB5" s="2114"/>
      <c r="AC5" s="2114"/>
      <c r="AD5" s="2115"/>
      <c r="AE5" s="1509"/>
      <c r="AF5" s="1509"/>
    </row>
    <row r="6" spans="1:37" ht="13.5" customHeight="1">
      <c r="A6" s="2119" t="s">
        <v>143</v>
      </c>
      <c r="B6" s="2120"/>
      <c r="C6" s="2120"/>
      <c r="D6" s="2120"/>
      <c r="E6" s="2120"/>
      <c r="F6" s="2120"/>
      <c r="G6" s="2120"/>
      <c r="H6" s="1914"/>
      <c r="I6" s="998"/>
      <c r="J6" s="38"/>
      <c r="K6" s="490"/>
      <c r="L6" s="1676"/>
      <c r="M6" s="1654"/>
      <c r="N6" s="1676"/>
      <c r="O6" s="2113"/>
      <c r="P6" s="2114"/>
      <c r="Q6" s="2114"/>
      <c r="R6" s="2114"/>
      <c r="S6" s="2114"/>
      <c r="T6" s="2114"/>
      <c r="U6" s="2114"/>
      <c r="V6" s="2114"/>
      <c r="W6" s="2114"/>
      <c r="X6" s="2114"/>
      <c r="Y6" s="2114"/>
      <c r="Z6" s="2114"/>
      <c r="AA6" s="2114"/>
      <c r="AB6" s="2114"/>
      <c r="AC6" s="2114"/>
      <c r="AD6" s="2115"/>
      <c r="AE6" s="1509"/>
      <c r="AF6" s="1509"/>
    </row>
    <row r="7" spans="1:37" ht="13.5" customHeight="1">
      <c r="A7" s="2119" t="s">
        <v>142</v>
      </c>
      <c r="B7" s="2120"/>
      <c r="C7" s="2120"/>
      <c r="D7" s="2120"/>
      <c r="E7" s="2120"/>
      <c r="F7" s="2120"/>
      <c r="G7" s="2120"/>
      <c r="H7" s="1914"/>
      <c r="I7" s="998"/>
      <c r="J7" s="38"/>
      <c r="K7" s="490"/>
      <c r="L7" s="1676"/>
      <c r="M7" s="1654"/>
      <c r="N7" s="1676"/>
      <c r="O7" s="2113"/>
      <c r="P7" s="2114"/>
      <c r="Q7" s="2114"/>
      <c r="R7" s="2114"/>
      <c r="S7" s="2114"/>
      <c r="T7" s="2114"/>
      <c r="U7" s="2114"/>
      <c r="V7" s="2114"/>
      <c r="W7" s="2114"/>
      <c r="X7" s="2114"/>
      <c r="Y7" s="2114"/>
      <c r="Z7" s="2114"/>
      <c r="AA7" s="2114"/>
      <c r="AB7" s="2114"/>
      <c r="AC7" s="2114"/>
      <c r="AD7" s="2115"/>
      <c r="AE7" s="1509"/>
      <c r="AF7" s="1509"/>
    </row>
    <row r="8" spans="1:37" ht="13.5" customHeight="1">
      <c r="A8" s="2119" t="s">
        <v>141</v>
      </c>
      <c r="B8" s="2120"/>
      <c r="C8" s="2120"/>
      <c r="D8" s="2120"/>
      <c r="E8" s="2120"/>
      <c r="F8" s="2120"/>
      <c r="G8" s="2120"/>
      <c r="H8" s="1914"/>
      <c r="I8" s="998"/>
      <c r="J8" s="38"/>
      <c r="K8" s="490"/>
      <c r="L8" s="1676"/>
      <c r="M8" s="1654"/>
      <c r="N8" s="1676"/>
      <c r="O8" s="2113"/>
      <c r="P8" s="2114"/>
      <c r="Q8" s="2114"/>
      <c r="R8" s="2114"/>
      <c r="S8" s="2114"/>
      <c r="T8" s="2114"/>
      <c r="U8" s="2114"/>
      <c r="V8" s="2114"/>
      <c r="W8" s="2114"/>
      <c r="X8" s="2114"/>
      <c r="Y8" s="2114"/>
      <c r="Z8" s="2114"/>
      <c r="AA8" s="2114"/>
      <c r="AB8" s="2114"/>
      <c r="AC8" s="2114"/>
      <c r="AD8" s="2115"/>
      <c r="AE8" s="1509"/>
      <c r="AF8" s="1509"/>
    </row>
    <row r="9" spans="1:37" ht="13.5" customHeight="1">
      <c r="A9" s="2121" t="s">
        <v>32</v>
      </c>
      <c r="B9" s="2122"/>
      <c r="C9" s="2122"/>
      <c r="D9" s="2122"/>
      <c r="E9" s="2122"/>
      <c r="F9" s="2122"/>
      <c r="G9" s="2122"/>
      <c r="H9" s="1915"/>
      <c r="I9" s="998"/>
      <c r="J9" s="38"/>
      <c r="K9" s="490"/>
      <c r="L9" s="1676"/>
      <c r="M9" s="1654"/>
      <c r="N9" s="1676"/>
      <c r="O9" s="2113"/>
      <c r="P9" s="2114"/>
      <c r="Q9" s="2114"/>
      <c r="R9" s="2114"/>
      <c r="S9" s="2114"/>
      <c r="T9" s="2114"/>
      <c r="U9" s="2114"/>
      <c r="V9" s="2114"/>
      <c r="W9" s="2114"/>
      <c r="X9" s="2114"/>
      <c r="Y9" s="2114"/>
      <c r="Z9" s="2114"/>
      <c r="AA9" s="2114"/>
      <c r="AB9" s="2114"/>
      <c r="AC9" s="2114"/>
      <c r="AD9" s="2115"/>
      <c r="AE9" s="1509"/>
      <c r="AF9" s="1509"/>
    </row>
    <row r="10" spans="1:37">
      <c r="A10" s="848" t="s">
        <v>2</v>
      </c>
      <c r="B10" s="2120" t="s">
        <v>3</v>
      </c>
      <c r="C10" s="2120"/>
      <c r="D10" s="2120"/>
      <c r="E10" s="300"/>
      <c r="F10" s="300"/>
      <c r="G10" s="300"/>
      <c r="H10" s="300"/>
      <c r="I10" s="203"/>
      <c r="J10" s="40"/>
      <c r="K10" s="846"/>
      <c r="L10" s="1677"/>
      <c r="M10" s="1655"/>
      <c r="N10" s="1677"/>
      <c r="O10" s="2113"/>
      <c r="P10" s="2114"/>
      <c r="Q10" s="2114"/>
      <c r="R10" s="2114"/>
      <c r="S10" s="2114"/>
      <c r="T10" s="2114"/>
      <c r="U10" s="2114"/>
      <c r="V10" s="2114"/>
      <c r="W10" s="2114"/>
      <c r="X10" s="2114"/>
      <c r="Y10" s="2114"/>
      <c r="Z10" s="2114"/>
      <c r="AA10" s="2114"/>
      <c r="AB10" s="2114"/>
      <c r="AC10" s="2114"/>
      <c r="AD10" s="2115"/>
      <c r="AE10" s="1509"/>
      <c r="AF10" s="1509"/>
    </row>
    <row r="11" spans="1:37">
      <c r="A11" s="848" t="s">
        <v>4</v>
      </c>
      <c r="B11" s="2120" t="s">
        <v>33</v>
      </c>
      <c r="C11" s="2120"/>
      <c r="D11" s="2120"/>
      <c r="E11" s="2120"/>
      <c r="F11" s="2120"/>
      <c r="G11" s="2120"/>
      <c r="H11" s="1914"/>
      <c r="I11" s="203"/>
      <c r="J11" s="40"/>
      <c r="K11" s="846"/>
      <c r="L11" s="1677"/>
      <c r="M11" s="1655"/>
      <c r="N11" s="1677"/>
      <c r="O11" s="2113"/>
      <c r="P11" s="2114"/>
      <c r="Q11" s="2114"/>
      <c r="R11" s="2114"/>
      <c r="S11" s="2114"/>
      <c r="T11" s="2114"/>
      <c r="U11" s="2114"/>
      <c r="V11" s="2114"/>
      <c r="W11" s="2114"/>
      <c r="X11" s="2114"/>
      <c r="Y11" s="2114"/>
      <c r="Z11" s="2114"/>
      <c r="AA11" s="2114"/>
      <c r="AB11" s="2114"/>
      <c r="AC11" s="2114"/>
      <c r="AD11" s="2115"/>
      <c r="AE11" s="1509"/>
      <c r="AF11" s="1509"/>
    </row>
    <row r="12" spans="1:37">
      <c r="A12" s="762" t="s">
        <v>6</v>
      </c>
      <c r="B12" s="2120" t="s">
        <v>34</v>
      </c>
      <c r="C12" s="2120"/>
      <c r="D12" s="2120"/>
      <c r="E12" s="2120"/>
      <c r="F12" s="2120"/>
      <c r="G12" s="2120"/>
      <c r="H12" s="1914"/>
      <c r="I12" s="203"/>
      <c r="J12" s="40"/>
      <c r="K12" s="846"/>
      <c r="L12" s="1677"/>
      <c r="M12" s="1655"/>
      <c r="N12" s="1677"/>
      <c r="O12" s="2113"/>
      <c r="P12" s="2114"/>
      <c r="Q12" s="2114"/>
      <c r="R12" s="2114"/>
      <c r="S12" s="2114"/>
      <c r="T12" s="2114"/>
      <c r="U12" s="2114"/>
      <c r="V12" s="2114"/>
      <c r="W12" s="2114"/>
      <c r="X12" s="2114"/>
      <c r="Y12" s="2114"/>
      <c r="Z12" s="2114"/>
      <c r="AA12" s="2114"/>
      <c r="AB12" s="2114"/>
      <c r="AC12" s="2114"/>
      <c r="AD12" s="2115"/>
      <c r="AE12" s="1509"/>
      <c r="AF12" s="1509"/>
    </row>
    <row r="13" spans="1:37">
      <c r="A13" s="42" t="s">
        <v>8</v>
      </c>
      <c r="B13" s="310">
        <v>43724</v>
      </c>
      <c r="C13" s="43"/>
      <c r="D13" s="43"/>
      <c r="E13" s="43"/>
      <c r="F13" s="43"/>
      <c r="G13" s="43"/>
      <c r="H13" s="43"/>
      <c r="I13" s="203"/>
      <c r="J13" s="40"/>
      <c r="K13" s="846"/>
      <c r="L13" s="1677"/>
      <c r="M13" s="1655"/>
      <c r="N13" s="1677"/>
      <c r="O13" s="2113"/>
      <c r="P13" s="2114"/>
      <c r="Q13" s="2114"/>
      <c r="R13" s="2114"/>
      <c r="S13" s="2114"/>
      <c r="T13" s="2114"/>
      <c r="U13" s="2114"/>
      <c r="V13" s="2114"/>
      <c r="W13" s="2114"/>
      <c r="X13" s="2114"/>
      <c r="Y13" s="2114"/>
      <c r="Z13" s="2114"/>
      <c r="AA13" s="2114"/>
      <c r="AB13" s="2114"/>
      <c r="AC13" s="2114"/>
      <c r="AD13" s="2115"/>
      <c r="AE13" s="1509"/>
      <c r="AF13" s="1509"/>
    </row>
    <row r="14" spans="1:37">
      <c r="A14" s="44" t="s">
        <v>9</v>
      </c>
      <c r="B14" s="1415">
        <f>D15-E15</f>
        <v>-38000000</v>
      </c>
      <c r="C14" s="1418" t="s">
        <v>136</v>
      </c>
      <c r="D14" s="1418" t="s">
        <v>1044</v>
      </c>
      <c r="E14" s="1418" t="s">
        <v>1045</v>
      </c>
      <c r="F14" s="1416"/>
      <c r="G14" s="319"/>
      <c r="H14" s="1931"/>
      <c r="I14" s="204"/>
      <c r="J14" s="45"/>
      <c r="K14" s="847"/>
      <c r="L14" s="1678"/>
      <c r="M14" s="1656"/>
      <c r="N14" s="1678"/>
      <c r="O14" s="2116"/>
      <c r="P14" s="2117"/>
      <c r="Q14" s="2117"/>
      <c r="R14" s="2117"/>
      <c r="S14" s="2117"/>
      <c r="T14" s="2117"/>
      <c r="U14" s="2117"/>
      <c r="V14" s="2117"/>
      <c r="W14" s="2117"/>
      <c r="X14" s="2117"/>
      <c r="Y14" s="2117"/>
      <c r="Z14" s="2117"/>
      <c r="AA14" s="2117"/>
      <c r="AB14" s="2117"/>
      <c r="AC14" s="2117"/>
      <c r="AD14" s="2118"/>
      <c r="AE14" s="1509"/>
      <c r="AF14" s="1509"/>
    </row>
    <row r="15" spans="1:37" ht="15" thickBot="1">
      <c r="A15" s="755" t="s">
        <v>121</v>
      </c>
      <c r="B15" s="180">
        <f>C15+B14</f>
        <v>6938000000</v>
      </c>
      <c r="C15" s="1419">
        <v>6976000000</v>
      </c>
      <c r="D15" s="321">
        <v>0</v>
      </c>
      <c r="E15" s="1419">
        <v>38000000</v>
      </c>
      <c r="F15" s="756"/>
      <c r="G15" s="757"/>
      <c r="H15" s="756"/>
      <c r="I15" s="983"/>
      <c r="J15" s="190"/>
      <c r="K15" s="491"/>
      <c r="L15" s="1679"/>
      <c r="M15" s="1657"/>
      <c r="N15" s="1700"/>
      <c r="O15" s="1701"/>
      <c r="P15" s="268"/>
      <c r="Q15" s="268"/>
      <c r="R15" s="268"/>
      <c r="S15" s="268"/>
      <c r="T15" s="268"/>
      <c r="U15" s="268"/>
      <c r="V15" s="268"/>
      <c r="W15" s="268"/>
      <c r="X15" s="268"/>
      <c r="Y15" s="268"/>
      <c r="Z15" s="268"/>
      <c r="AA15" s="268"/>
      <c r="AB15" s="268"/>
      <c r="AC15" s="366"/>
      <c r="AD15" s="763"/>
      <c r="AE15" s="1510"/>
      <c r="AF15" s="1509"/>
    </row>
    <row r="16" spans="1:37" ht="42.75" customHeight="1">
      <c r="A16" s="570" t="s">
        <v>11</v>
      </c>
      <c r="B16" s="761" t="s">
        <v>12</v>
      </c>
      <c r="C16" s="1417" t="s">
        <v>13</v>
      </c>
      <c r="D16" s="1417" t="s">
        <v>14</v>
      </c>
      <c r="E16" s="1417" t="s">
        <v>15</v>
      </c>
      <c r="F16" s="3" t="s">
        <v>436</v>
      </c>
      <c r="G16" s="3" t="s">
        <v>16</v>
      </c>
      <c r="H16" s="3" t="s">
        <v>1379</v>
      </c>
      <c r="I16" s="999" t="s">
        <v>527</v>
      </c>
      <c r="J16" s="752" t="s">
        <v>95</v>
      </c>
      <c r="K16" s="747" t="s">
        <v>130</v>
      </c>
      <c r="L16" s="753" t="s">
        <v>96</v>
      </c>
      <c r="M16" s="747" t="s">
        <v>17</v>
      </c>
      <c r="N16" s="753" t="s">
        <v>97</v>
      </c>
      <c r="O16" s="747" t="s">
        <v>116</v>
      </c>
      <c r="P16" s="754" t="s">
        <v>98</v>
      </c>
      <c r="Q16" s="748" t="s">
        <v>99</v>
      </c>
      <c r="R16" s="749" t="s">
        <v>100</v>
      </c>
      <c r="S16" s="749" t="s">
        <v>101</v>
      </c>
      <c r="T16" s="749" t="s">
        <v>102</v>
      </c>
      <c r="U16" s="749" t="s">
        <v>103</v>
      </c>
      <c r="V16" s="749" t="s">
        <v>104</v>
      </c>
      <c r="W16" s="749" t="s">
        <v>105</v>
      </c>
      <c r="X16" s="749" t="s">
        <v>106</v>
      </c>
      <c r="Y16" s="749" t="s">
        <v>107</v>
      </c>
      <c r="Z16" s="749" t="s">
        <v>108</v>
      </c>
      <c r="AA16" s="749" t="s">
        <v>109</v>
      </c>
      <c r="AB16" s="749" t="s">
        <v>110</v>
      </c>
      <c r="AC16" s="750" t="s">
        <v>111</v>
      </c>
      <c r="AD16" s="751" t="s">
        <v>112</v>
      </c>
      <c r="AE16" s="1511"/>
      <c r="AF16" s="914" t="s">
        <v>138</v>
      </c>
      <c r="AG16" s="916" t="s">
        <v>114</v>
      </c>
      <c r="AH16" s="916" t="s">
        <v>115</v>
      </c>
      <c r="AI16" s="1095" t="s">
        <v>119</v>
      </c>
      <c r="AJ16" s="917" t="s">
        <v>122</v>
      </c>
      <c r="AK16" s="918" t="s">
        <v>129</v>
      </c>
    </row>
    <row r="17" spans="1:39" s="6" customFormat="1" ht="26.25" customHeight="1">
      <c r="A17" s="758" t="s">
        <v>35</v>
      </c>
      <c r="B17" s="759">
        <f>B18+B116+B120+B124</f>
        <v>3580208828</v>
      </c>
      <c r="C17" s="760"/>
      <c r="D17" s="760"/>
      <c r="E17" s="760"/>
      <c r="F17" s="760"/>
      <c r="G17" s="1933"/>
      <c r="H17" s="1941"/>
      <c r="I17" s="1000"/>
      <c r="J17" s="624"/>
      <c r="K17" s="492"/>
      <c r="L17" s="1680"/>
      <c r="M17" s="1658"/>
      <c r="N17" s="1680"/>
      <c r="O17" s="1702"/>
      <c r="P17" s="432"/>
      <c r="Q17" s="433"/>
      <c r="R17" s="434"/>
      <c r="S17" s="434"/>
      <c r="T17" s="434"/>
      <c r="U17" s="434"/>
      <c r="V17" s="434"/>
      <c r="W17" s="434"/>
      <c r="X17" s="434"/>
      <c r="Y17" s="434"/>
      <c r="Z17" s="434"/>
      <c r="AA17" s="434"/>
      <c r="AB17" s="434"/>
      <c r="AC17" s="735"/>
      <c r="AD17" s="764"/>
      <c r="AE17" s="1512"/>
      <c r="AF17" s="939"/>
      <c r="AG17" s="435"/>
      <c r="AH17" s="435"/>
      <c r="AI17" s="1096"/>
      <c r="AJ17" s="339"/>
      <c r="AK17" s="940"/>
      <c r="AL17" s="973"/>
    </row>
    <row r="18" spans="1:39" s="8" customFormat="1" ht="27.75" customHeight="1">
      <c r="A18" s="614" t="s">
        <v>35</v>
      </c>
      <c r="B18" s="171">
        <f>3385046443-20680000-88000000-150000000+48842385-38000000</f>
        <v>3137208828</v>
      </c>
      <c r="C18" s="1317" t="s">
        <v>36</v>
      </c>
      <c r="D18" s="1318" t="s">
        <v>862</v>
      </c>
      <c r="E18" s="1318" t="s">
        <v>37</v>
      </c>
      <c r="F18" s="1318" t="s">
        <v>351</v>
      </c>
      <c r="G18" s="1934" t="s">
        <v>38</v>
      </c>
      <c r="H18" s="1942" t="s">
        <v>1384</v>
      </c>
      <c r="I18" s="1001"/>
      <c r="J18" s="732">
        <v>0</v>
      </c>
      <c r="K18" s="439"/>
      <c r="L18" s="1681"/>
      <c r="M18" s="1659"/>
      <c r="N18" s="1681"/>
      <c r="O18" s="1659"/>
      <c r="P18" s="733"/>
      <c r="Q18" s="595"/>
      <c r="R18" s="595"/>
      <c r="S18" s="595"/>
      <c r="T18" s="595"/>
      <c r="U18" s="595"/>
      <c r="V18" s="436"/>
      <c r="W18" s="436"/>
      <c r="X18" s="436"/>
      <c r="Y18" s="436"/>
      <c r="Z18" s="436"/>
      <c r="AA18" s="436"/>
      <c r="AB18" s="436"/>
      <c r="AC18" s="736"/>
      <c r="AD18" s="765"/>
      <c r="AE18" s="1506"/>
      <c r="AF18" s="941"/>
      <c r="AG18" s="377"/>
      <c r="AH18" s="377"/>
      <c r="AI18" s="471"/>
      <c r="AJ18" s="437"/>
      <c r="AK18" s="733"/>
      <c r="AL18" s="973"/>
    </row>
    <row r="19" spans="1:39" s="8" customFormat="1">
      <c r="A19" s="82" t="s">
        <v>35</v>
      </c>
      <c r="B19" s="161">
        <f>M19</f>
        <v>14520000</v>
      </c>
      <c r="C19" s="78" t="s">
        <v>36</v>
      </c>
      <c r="D19" s="78" t="s">
        <v>862</v>
      </c>
      <c r="E19" s="78" t="s">
        <v>37</v>
      </c>
      <c r="F19" s="78" t="s">
        <v>351</v>
      </c>
      <c r="G19" s="1935" t="s">
        <v>38</v>
      </c>
      <c r="H19" s="1943" t="s">
        <v>1384</v>
      </c>
      <c r="I19" s="1939">
        <v>23</v>
      </c>
      <c r="J19" s="160">
        <v>0</v>
      </c>
      <c r="K19" s="486"/>
      <c r="L19" s="1682">
        <v>169</v>
      </c>
      <c r="M19" s="1592">
        <v>14520000</v>
      </c>
      <c r="N19" s="1682">
        <v>173</v>
      </c>
      <c r="O19" s="1703">
        <v>14520000</v>
      </c>
      <c r="P19" s="236">
        <v>155</v>
      </c>
      <c r="Q19" s="230"/>
      <c r="R19" s="166"/>
      <c r="S19" s="166">
        <v>4840000</v>
      </c>
      <c r="T19" s="166">
        <f>VLOOKUP(N19,[4]Hoja2!N$66:T$128,7,0)</f>
        <v>4840000</v>
      </c>
      <c r="U19" s="166"/>
      <c r="V19" s="166"/>
      <c r="W19" s="166">
        <v>4840000</v>
      </c>
      <c r="X19" s="166"/>
      <c r="Y19" s="166"/>
      <c r="Z19" s="166"/>
      <c r="AA19" s="166"/>
      <c r="AB19" s="166"/>
      <c r="AC19" s="468">
        <f>SUM(Q19:AB19)</f>
        <v>14520000</v>
      </c>
      <c r="AD19" s="743">
        <f>O19-AC19</f>
        <v>0</v>
      </c>
      <c r="AE19" s="1506"/>
      <c r="AF19" s="942">
        <v>23</v>
      </c>
      <c r="AG19" s="261" t="s">
        <v>316</v>
      </c>
      <c r="AH19" s="279" t="str">
        <f>VLOOKUP(N19,[5]Hoja2!J$141:N$168,5,0)</f>
        <v>ANA MARIA COLLAZOS SOLANO</v>
      </c>
      <c r="AI19" s="517">
        <f>P19</f>
        <v>155</v>
      </c>
      <c r="AJ19" s="316">
        <v>14520000</v>
      </c>
      <c r="AK19" s="926">
        <f>AJ19-O19</f>
        <v>0</v>
      </c>
      <c r="AL19" s="973"/>
      <c r="AM19" s="314">
        <f>AJ19-M19</f>
        <v>0</v>
      </c>
    </row>
    <row r="20" spans="1:39" s="8" customFormat="1">
      <c r="A20" s="82" t="s">
        <v>35</v>
      </c>
      <c r="B20" s="161">
        <f t="shared" ref="B20:B72" si="0">M20</f>
        <v>30576619</v>
      </c>
      <c r="C20" s="79" t="s">
        <v>36</v>
      </c>
      <c r="D20" s="79" t="s">
        <v>862</v>
      </c>
      <c r="E20" s="79" t="s">
        <v>37</v>
      </c>
      <c r="F20" s="79" t="s">
        <v>351</v>
      </c>
      <c r="G20" s="1936" t="s">
        <v>38</v>
      </c>
      <c r="H20" s="1943" t="s">
        <v>1384</v>
      </c>
      <c r="I20" s="1939">
        <v>24</v>
      </c>
      <c r="J20" s="160">
        <v>0</v>
      </c>
      <c r="K20" s="486"/>
      <c r="L20" s="1682">
        <v>262</v>
      </c>
      <c r="M20" s="1592">
        <v>30576619</v>
      </c>
      <c r="N20" s="1682">
        <v>271</v>
      </c>
      <c r="O20" s="1592">
        <v>30576619</v>
      </c>
      <c r="P20" s="236">
        <v>240</v>
      </c>
      <c r="Q20" s="230"/>
      <c r="R20" s="166"/>
      <c r="S20" s="166">
        <v>2090000</v>
      </c>
      <c r="T20" s="166">
        <v>3135000</v>
      </c>
      <c r="U20" s="166">
        <v>3135000</v>
      </c>
      <c r="V20" s="166">
        <v>3135000</v>
      </c>
      <c r="W20" s="166">
        <v>3135000</v>
      </c>
      <c r="X20" s="166">
        <v>2926000</v>
      </c>
      <c r="Y20" s="166">
        <v>3140000</v>
      </c>
      <c r="Z20" s="166"/>
      <c r="AA20" s="166"/>
      <c r="AB20" s="166"/>
      <c r="AC20" s="468">
        <f t="shared" ref="AC20:AC84" si="1">SUM(Q20:AB20)</f>
        <v>20696000</v>
      </c>
      <c r="AD20" s="743">
        <f t="shared" ref="AD20:AD84" si="2">O20-AC20</f>
        <v>9880619</v>
      </c>
      <c r="AE20" s="1506"/>
      <c r="AF20" s="942">
        <v>24</v>
      </c>
      <c r="AG20" s="261" t="s">
        <v>258</v>
      </c>
      <c r="AH20" s="279" t="s">
        <v>661</v>
      </c>
      <c r="AI20" s="517">
        <f t="shared" ref="AI20:AI88" si="3">P20</f>
        <v>240</v>
      </c>
      <c r="AJ20" s="316">
        <f>30576619</f>
        <v>30576619</v>
      </c>
      <c r="AK20" s="926">
        <f>AJ20-O20</f>
        <v>0</v>
      </c>
      <c r="AL20" s="973"/>
      <c r="AM20" s="314">
        <f t="shared" ref="AM20:AM84" si="4">AJ20-M20</f>
        <v>0</v>
      </c>
    </row>
    <row r="21" spans="1:39" s="8" customFormat="1">
      <c r="A21" s="82" t="s">
        <v>35</v>
      </c>
      <c r="B21" s="161">
        <f t="shared" si="0"/>
        <v>0</v>
      </c>
      <c r="C21" s="79" t="s">
        <v>36</v>
      </c>
      <c r="D21" s="79" t="s">
        <v>862</v>
      </c>
      <c r="E21" s="79" t="s">
        <v>37</v>
      </c>
      <c r="F21" s="79" t="s">
        <v>351</v>
      </c>
      <c r="G21" s="1936" t="s">
        <v>38</v>
      </c>
      <c r="H21" s="1943" t="s">
        <v>1384</v>
      </c>
      <c r="I21" s="230">
        <v>25</v>
      </c>
      <c r="J21" s="160">
        <v>0</v>
      </c>
      <c r="K21" s="486"/>
      <c r="L21" s="1682"/>
      <c r="M21" s="1592"/>
      <c r="N21" s="1682"/>
      <c r="O21" s="1704"/>
      <c r="P21" s="236"/>
      <c r="Q21" s="467"/>
      <c r="R21" s="467"/>
      <c r="S21" s="166"/>
      <c r="T21" s="166"/>
      <c r="U21" s="166"/>
      <c r="V21" s="166"/>
      <c r="W21" s="166"/>
      <c r="X21" s="166"/>
      <c r="Y21" s="166"/>
      <c r="Z21" s="467"/>
      <c r="AA21" s="467"/>
      <c r="AB21" s="467"/>
      <c r="AC21" s="468">
        <f t="shared" si="1"/>
        <v>0</v>
      </c>
      <c r="AD21" s="743">
        <f t="shared" si="2"/>
        <v>0</v>
      </c>
      <c r="AE21" s="1506"/>
      <c r="AF21" s="943">
        <v>25</v>
      </c>
      <c r="AG21" s="279" t="s">
        <v>317</v>
      </c>
      <c r="AH21" s="279" t="s">
        <v>178</v>
      </c>
      <c r="AI21" s="517">
        <f t="shared" si="3"/>
        <v>0</v>
      </c>
      <c r="AJ21" s="316">
        <f>17000000-17000000</f>
        <v>0</v>
      </c>
      <c r="AK21" s="926">
        <f t="shared" ref="AK21:AK89" si="5">AJ21-O21</f>
        <v>0</v>
      </c>
      <c r="AL21" s="973"/>
      <c r="AM21" s="314">
        <f t="shared" si="4"/>
        <v>0</v>
      </c>
    </row>
    <row r="22" spans="1:39" s="8" customFormat="1">
      <c r="A22" s="82" t="s">
        <v>35</v>
      </c>
      <c r="B22" s="161">
        <f t="shared" si="0"/>
        <v>0</v>
      </c>
      <c r="C22" s="79" t="s">
        <v>36</v>
      </c>
      <c r="D22" s="79" t="s">
        <v>862</v>
      </c>
      <c r="E22" s="79" t="s">
        <v>37</v>
      </c>
      <c r="F22" s="79" t="s">
        <v>351</v>
      </c>
      <c r="G22" s="1936" t="s">
        <v>38</v>
      </c>
      <c r="H22" s="1943" t="s">
        <v>1384</v>
      </c>
      <c r="I22" s="230">
        <v>27</v>
      </c>
      <c r="J22" s="160">
        <v>0</v>
      </c>
      <c r="K22" s="486"/>
      <c r="L22" s="1682"/>
      <c r="M22" s="1592"/>
      <c r="N22" s="1682"/>
      <c r="O22" s="1704"/>
      <c r="P22" s="236"/>
      <c r="Q22" s="467"/>
      <c r="R22" s="467"/>
      <c r="S22" s="166"/>
      <c r="T22" s="166"/>
      <c r="U22" s="166"/>
      <c r="V22" s="166"/>
      <c r="W22" s="166"/>
      <c r="X22" s="166"/>
      <c r="Y22" s="166"/>
      <c r="Z22" s="467"/>
      <c r="AA22" s="467"/>
      <c r="AB22" s="467"/>
      <c r="AC22" s="468">
        <f t="shared" si="1"/>
        <v>0</v>
      </c>
      <c r="AD22" s="743">
        <f t="shared" si="2"/>
        <v>0</v>
      </c>
      <c r="AE22" s="1506"/>
      <c r="AF22" s="943">
        <v>27</v>
      </c>
      <c r="AG22" s="279" t="s">
        <v>318</v>
      </c>
      <c r="AH22" s="279" t="s">
        <v>178</v>
      </c>
      <c r="AI22" s="517">
        <f t="shared" si="3"/>
        <v>0</v>
      </c>
      <c r="AJ22" s="316">
        <f>8000000-8000000</f>
        <v>0</v>
      </c>
      <c r="AK22" s="926">
        <f t="shared" si="5"/>
        <v>0</v>
      </c>
      <c r="AL22" s="973"/>
      <c r="AM22" s="314">
        <f t="shared" si="4"/>
        <v>0</v>
      </c>
    </row>
    <row r="23" spans="1:39" s="8" customFormat="1">
      <c r="A23" s="82" t="s">
        <v>35</v>
      </c>
      <c r="B23" s="161">
        <f t="shared" si="0"/>
        <v>18092740</v>
      </c>
      <c r="C23" s="79" t="s">
        <v>36</v>
      </c>
      <c r="D23" s="79" t="s">
        <v>862</v>
      </c>
      <c r="E23" s="79" t="s">
        <v>37</v>
      </c>
      <c r="F23" s="79" t="s">
        <v>351</v>
      </c>
      <c r="G23" s="1936" t="s">
        <v>38</v>
      </c>
      <c r="H23" s="1943" t="s">
        <v>1384</v>
      </c>
      <c r="I23" s="2099">
        <v>28</v>
      </c>
      <c r="J23" s="160">
        <v>0</v>
      </c>
      <c r="K23" s="486"/>
      <c r="L23" s="2089">
        <v>352</v>
      </c>
      <c r="M23" s="2092">
        <f>22740000-4647260</f>
        <v>18092740</v>
      </c>
      <c r="N23" s="1682">
        <v>400</v>
      </c>
      <c r="O23" s="1704">
        <f>2041290</f>
        <v>2041290</v>
      </c>
      <c r="P23" s="236">
        <v>297</v>
      </c>
      <c r="Q23" s="467"/>
      <c r="R23" s="467"/>
      <c r="S23" s="166"/>
      <c r="T23" s="166">
        <f>VLOOKUP(N23,[4]Hoja2!N$66:T$128,7,0)</f>
        <v>2041290</v>
      </c>
      <c r="U23" s="166"/>
      <c r="V23" s="166"/>
      <c r="W23" s="166"/>
      <c r="X23" s="166"/>
      <c r="Y23" s="166"/>
      <c r="Z23" s="467"/>
      <c r="AA23" s="467"/>
      <c r="AB23" s="467"/>
      <c r="AC23" s="468">
        <f t="shared" si="1"/>
        <v>2041290</v>
      </c>
      <c r="AD23" s="743">
        <f t="shared" si="2"/>
        <v>0</v>
      </c>
      <c r="AE23" s="1507"/>
      <c r="AF23" s="2101">
        <v>28</v>
      </c>
      <c r="AG23" s="2103" t="s">
        <v>319</v>
      </c>
      <c r="AH23" s="279" t="s">
        <v>835</v>
      </c>
      <c r="AI23" s="517">
        <f t="shared" si="3"/>
        <v>297</v>
      </c>
      <c r="AJ23" s="2085">
        <f>20000000+2740000-4647260</f>
        <v>18092740</v>
      </c>
      <c r="AK23" s="2087">
        <f>AJ23-O23-O24</f>
        <v>0</v>
      </c>
      <c r="AL23" s="973"/>
      <c r="AM23" s="314">
        <f t="shared" si="4"/>
        <v>0</v>
      </c>
    </row>
    <row r="24" spans="1:39" s="8" customFormat="1">
      <c r="A24" s="82" t="s">
        <v>35</v>
      </c>
      <c r="B24" s="161">
        <f t="shared" si="0"/>
        <v>0</v>
      </c>
      <c r="C24" s="79" t="s">
        <v>36</v>
      </c>
      <c r="D24" s="79" t="s">
        <v>862</v>
      </c>
      <c r="E24" s="79" t="s">
        <v>37</v>
      </c>
      <c r="F24" s="79" t="s">
        <v>351</v>
      </c>
      <c r="G24" s="1936" t="s">
        <v>38</v>
      </c>
      <c r="H24" s="1943" t="s">
        <v>1384</v>
      </c>
      <c r="I24" s="2100"/>
      <c r="J24" s="160"/>
      <c r="K24" s="486"/>
      <c r="L24" s="2091"/>
      <c r="M24" s="2094"/>
      <c r="N24" s="1682">
        <v>381</v>
      </c>
      <c r="O24" s="1704">
        <v>16051450</v>
      </c>
      <c r="P24" s="236">
        <v>298</v>
      </c>
      <c r="Q24" s="467"/>
      <c r="R24" s="467"/>
      <c r="S24" s="166"/>
      <c r="T24" s="166">
        <f>VLOOKUP(N24,[4]Hoja2!N$66:T$128,7,0)</f>
        <v>16051450</v>
      </c>
      <c r="U24" s="166"/>
      <c r="V24" s="166"/>
      <c r="W24" s="166"/>
      <c r="X24" s="166"/>
      <c r="Y24" s="166"/>
      <c r="Z24" s="467"/>
      <c r="AA24" s="467"/>
      <c r="AB24" s="467"/>
      <c r="AC24" s="468">
        <f t="shared" si="1"/>
        <v>16051450</v>
      </c>
      <c r="AD24" s="743">
        <f t="shared" si="2"/>
        <v>0</v>
      </c>
      <c r="AE24" s="1508"/>
      <c r="AF24" s="2102"/>
      <c r="AG24" s="2104"/>
      <c r="AH24" s="279" t="s">
        <v>845</v>
      </c>
      <c r="AI24" s="517">
        <f t="shared" si="3"/>
        <v>298</v>
      </c>
      <c r="AJ24" s="2086"/>
      <c r="AK24" s="2088"/>
      <c r="AL24" s="973"/>
      <c r="AM24" s="314">
        <f t="shared" si="4"/>
        <v>0</v>
      </c>
    </row>
    <row r="25" spans="1:39" s="8" customFormat="1">
      <c r="A25" s="82" t="s">
        <v>35</v>
      </c>
      <c r="B25" s="161">
        <f t="shared" si="0"/>
        <v>18240000</v>
      </c>
      <c r="C25" s="79" t="s">
        <v>36</v>
      </c>
      <c r="D25" s="79" t="s">
        <v>862</v>
      </c>
      <c r="E25" s="79" t="s">
        <v>37</v>
      </c>
      <c r="F25" s="79" t="s">
        <v>351</v>
      </c>
      <c r="G25" s="1936" t="s">
        <v>38</v>
      </c>
      <c r="H25" s="1943" t="s">
        <v>1384</v>
      </c>
      <c r="I25" s="230">
        <v>29</v>
      </c>
      <c r="J25" s="160">
        <v>0</v>
      </c>
      <c r="K25" s="486"/>
      <c r="L25" s="1682">
        <v>175</v>
      </c>
      <c r="M25" s="1592">
        <v>18240000</v>
      </c>
      <c r="N25" s="1682">
        <v>174</v>
      </c>
      <c r="O25" s="1703">
        <v>18240000</v>
      </c>
      <c r="P25" s="236">
        <v>157</v>
      </c>
      <c r="Q25" s="467"/>
      <c r="R25" s="166"/>
      <c r="S25" s="166">
        <v>4661333</v>
      </c>
      <c r="T25" s="166">
        <f>VLOOKUP(N25,[4]Hoja2!N$66:T$128,7,0)</f>
        <v>6080000</v>
      </c>
      <c r="U25" s="166"/>
      <c r="V25" s="166">
        <v>1418667</v>
      </c>
      <c r="W25" s="166">
        <v>6080000</v>
      </c>
      <c r="X25" s="166"/>
      <c r="Y25" s="166"/>
      <c r="Z25" s="467"/>
      <c r="AA25" s="467"/>
      <c r="AB25" s="467"/>
      <c r="AC25" s="468">
        <f t="shared" si="1"/>
        <v>18240000</v>
      </c>
      <c r="AD25" s="743">
        <f t="shared" si="2"/>
        <v>0</v>
      </c>
      <c r="AE25" s="1506"/>
      <c r="AF25" s="943">
        <v>29</v>
      </c>
      <c r="AG25" s="279" t="s">
        <v>320</v>
      </c>
      <c r="AH25" s="279" t="str">
        <f>VLOOKUP(N25,[5]Hoja2!J$141:N$168,5,0)</f>
        <v>CARLOS ARTURO ROJAS PEREZ</v>
      </c>
      <c r="AI25" s="517">
        <f t="shared" si="3"/>
        <v>157</v>
      </c>
      <c r="AJ25" s="316">
        <v>18240000</v>
      </c>
      <c r="AK25" s="926">
        <f t="shared" si="5"/>
        <v>0</v>
      </c>
      <c r="AL25" s="973"/>
      <c r="AM25" s="314">
        <f t="shared" si="4"/>
        <v>0</v>
      </c>
    </row>
    <row r="26" spans="1:39" s="8" customFormat="1">
      <c r="A26" s="82" t="s">
        <v>35</v>
      </c>
      <c r="B26" s="161">
        <f t="shared" si="0"/>
        <v>380964824</v>
      </c>
      <c r="C26" s="79" t="s">
        <v>36</v>
      </c>
      <c r="D26" s="79" t="s">
        <v>862</v>
      </c>
      <c r="E26" s="79" t="s">
        <v>37</v>
      </c>
      <c r="F26" s="79" t="s">
        <v>351</v>
      </c>
      <c r="G26" s="1936" t="s">
        <v>38</v>
      </c>
      <c r="H26" s="1943" t="s">
        <v>1384</v>
      </c>
      <c r="I26" s="230">
        <v>36</v>
      </c>
      <c r="J26" s="160">
        <v>0</v>
      </c>
      <c r="K26" s="486"/>
      <c r="L26" s="1682">
        <v>374</v>
      </c>
      <c r="M26" s="1592">
        <v>380964824</v>
      </c>
      <c r="N26" s="1682">
        <v>386</v>
      </c>
      <c r="O26" s="1704">
        <v>380964824</v>
      </c>
      <c r="P26" s="236">
        <v>305</v>
      </c>
      <c r="Q26" s="467"/>
      <c r="R26" s="467"/>
      <c r="S26" s="166"/>
      <c r="T26" s="166"/>
      <c r="U26" s="166"/>
      <c r="V26" s="166">
        <f>51531724+41465156</f>
        <v>92996880</v>
      </c>
      <c r="W26" s="166">
        <v>5653194</v>
      </c>
      <c r="X26" s="166">
        <f>27863612+72291509</f>
        <v>100155121</v>
      </c>
      <c r="Y26" s="166">
        <f>68709673+896260</f>
        <v>69605933</v>
      </c>
      <c r="Z26" s="467"/>
      <c r="AA26" s="467"/>
      <c r="AB26" s="467"/>
      <c r="AC26" s="468">
        <f t="shared" si="1"/>
        <v>268411128</v>
      </c>
      <c r="AD26" s="743">
        <f t="shared" si="2"/>
        <v>112553696</v>
      </c>
      <c r="AE26" s="1506"/>
      <c r="AF26" s="943">
        <v>36</v>
      </c>
      <c r="AG26" s="279" t="s">
        <v>308</v>
      </c>
      <c r="AH26" s="279" t="s">
        <v>851</v>
      </c>
      <c r="AI26" s="517">
        <f t="shared" si="3"/>
        <v>305</v>
      </c>
      <c r="AJ26" s="316">
        <f>268964824+112000000</f>
        <v>380964824</v>
      </c>
      <c r="AK26" s="926">
        <f t="shared" si="5"/>
        <v>0</v>
      </c>
      <c r="AL26" s="973"/>
      <c r="AM26" s="314">
        <f t="shared" si="4"/>
        <v>0</v>
      </c>
    </row>
    <row r="27" spans="1:39" s="8" customFormat="1">
      <c r="A27" s="82" t="s">
        <v>35</v>
      </c>
      <c r="B27" s="161">
        <f t="shared" si="0"/>
        <v>0</v>
      </c>
      <c r="C27" s="79" t="s">
        <v>36</v>
      </c>
      <c r="D27" s="79" t="s">
        <v>862</v>
      </c>
      <c r="E27" s="79" t="s">
        <v>37</v>
      </c>
      <c r="F27" s="79" t="s">
        <v>351</v>
      </c>
      <c r="G27" s="1936" t="s">
        <v>38</v>
      </c>
      <c r="H27" s="1943" t="s">
        <v>1384</v>
      </c>
      <c r="I27" s="230" t="s">
        <v>178</v>
      </c>
      <c r="J27" s="160">
        <v>571</v>
      </c>
      <c r="K27" s="486">
        <v>46000000</v>
      </c>
      <c r="L27" s="1682">
        <v>651</v>
      </c>
      <c r="M27" s="1592">
        <f>46000000-46000000</f>
        <v>0</v>
      </c>
      <c r="N27" s="1682"/>
      <c r="O27" s="1704"/>
      <c r="P27" s="236">
        <v>305</v>
      </c>
      <c r="Q27" s="467"/>
      <c r="R27" s="467"/>
      <c r="S27" s="166"/>
      <c r="T27" s="166"/>
      <c r="U27" s="166"/>
      <c r="V27" s="166"/>
      <c r="W27" s="166"/>
      <c r="X27" s="166"/>
      <c r="Y27" s="166"/>
      <c r="Z27" s="467"/>
      <c r="AA27" s="467"/>
      <c r="AB27" s="467"/>
      <c r="AC27" s="468">
        <f t="shared" si="1"/>
        <v>0</v>
      </c>
      <c r="AD27" s="743">
        <f t="shared" si="2"/>
        <v>0</v>
      </c>
      <c r="AE27" s="1506"/>
      <c r="AF27" s="943" t="s">
        <v>349</v>
      </c>
      <c r="AG27" s="279" t="s">
        <v>1231</v>
      </c>
      <c r="AH27" s="279" t="s">
        <v>851</v>
      </c>
      <c r="AI27" s="517">
        <f t="shared" si="3"/>
        <v>305</v>
      </c>
      <c r="AJ27" s="316">
        <f>46000000-46000000</f>
        <v>0</v>
      </c>
      <c r="AK27" s="926">
        <f t="shared" si="5"/>
        <v>0</v>
      </c>
      <c r="AL27" s="973"/>
      <c r="AM27" s="314">
        <f t="shared" si="4"/>
        <v>0</v>
      </c>
    </row>
    <row r="28" spans="1:39" s="8" customFormat="1">
      <c r="A28" s="82" t="s">
        <v>35</v>
      </c>
      <c r="B28" s="161">
        <f t="shared" si="0"/>
        <v>66493000</v>
      </c>
      <c r="C28" s="79" t="s">
        <v>36</v>
      </c>
      <c r="D28" s="79" t="s">
        <v>862</v>
      </c>
      <c r="E28" s="79" t="s">
        <v>37</v>
      </c>
      <c r="F28" s="79" t="s">
        <v>351</v>
      </c>
      <c r="G28" s="1936" t="s">
        <v>38</v>
      </c>
      <c r="H28" s="1943" t="s">
        <v>1384</v>
      </c>
      <c r="I28" s="230" t="s">
        <v>349</v>
      </c>
      <c r="J28" s="160">
        <v>629</v>
      </c>
      <c r="K28" s="486">
        <v>66493000</v>
      </c>
      <c r="L28" s="1682">
        <v>708</v>
      </c>
      <c r="M28" s="1592">
        <v>66493000</v>
      </c>
      <c r="N28" s="1682">
        <v>857</v>
      </c>
      <c r="O28" s="1592">
        <v>66493000</v>
      </c>
      <c r="P28" s="236">
        <v>305</v>
      </c>
      <c r="Q28" s="467"/>
      <c r="R28" s="467"/>
      <c r="S28" s="166"/>
      <c r="T28" s="166"/>
      <c r="U28" s="166"/>
      <c r="V28" s="166"/>
      <c r="W28" s="166"/>
      <c r="X28" s="166"/>
      <c r="Y28" s="166"/>
      <c r="Z28" s="467"/>
      <c r="AA28" s="467"/>
      <c r="AB28" s="467"/>
      <c r="AC28" s="468">
        <f t="shared" ref="AC28" si="6">SUM(Q28:AB28)</f>
        <v>0</v>
      </c>
      <c r="AD28" s="743">
        <f t="shared" ref="AD28" si="7">O28-AC28</f>
        <v>66493000</v>
      </c>
      <c r="AE28" s="1506"/>
      <c r="AF28" s="943" t="s">
        <v>349</v>
      </c>
      <c r="AG28" s="279" t="s">
        <v>1231</v>
      </c>
      <c r="AH28" s="279" t="s">
        <v>851</v>
      </c>
      <c r="AI28" s="517">
        <f t="shared" ref="AI28" si="8">P28</f>
        <v>305</v>
      </c>
      <c r="AJ28" s="316">
        <v>66493000</v>
      </c>
      <c r="AK28" s="926">
        <f t="shared" si="5"/>
        <v>0</v>
      </c>
      <c r="AL28" s="973"/>
      <c r="AM28" s="314">
        <f t="shared" si="4"/>
        <v>0</v>
      </c>
    </row>
    <row r="29" spans="1:39" s="8" customFormat="1">
      <c r="A29" s="82" t="s">
        <v>35</v>
      </c>
      <c r="B29" s="161">
        <f t="shared" si="0"/>
        <v>52000000</v>
      </c>
      <c r="C29" s="79" t="s">
        <v>36</v>
      </c>
      <c r="D29" s="79" t="s">
        <v>862</v>
      </c>
      <c r="E29" s="79" t="s">
        <v>37</v>
      </c>
      <c r="F29" s="79" t="s">
        <v>351</v>
      </c>
      <c r="G29" s="1936" t="s">
        <v>38</v>
      </c>
      <c r="H29" s="1943" t="s">
        <v>1384</v>
      </c>
      <c r="I29" s="230">
        <v>37</v>
      </c>
      <c r="J29" s="160">
        <v>0</v>
      </c>
      <c r="K29" s="486"/>
      <c r="L29" s="1682">
        <v>285</v>
      </c>
      <c r="M29" s="1592">
        <v>52000000</v>
      </c>
      <c r="N29" s="1682">
        <v>285</v>
      </c>
      <c r="O29" s="1704">
        <v>52000000</v>
      </c>
      <c r="P29" s="236">
        <v>247</v>
      </c>
      <c r="Q29" s="467"/>
      <c r="R29" s="467"/>
      <c r="S29" s="166">
        <v>2600000</v>
      </c>
      <c r="T29" s="166">
        <f>VLOOKUP(N29,[4]Hoja2!N$66:T$128,7,0)</f>
        <v>6500000</v>
      </c>
      <c r="U29" s="166">
        <v>6500000</v>
      </c>
      <c r="V29" s="166">
        <v>6500000</v>
      </c>
      <c r="W29" s="166">
        <v>6500000</v>
      </c>
      <c r="X29" s="166">
        <v>6500000</v>
      </c>
      <c r="Y29" s="166">
        <v>6500000</v>
      </c>
      <c r="Z29" s="467"/>
      <c r="AA29" s="467"/>
      <c r="AB29" s="467"/>
      <c r="AC29" s="468">
        <f t="shared" si="1"/>
        <v>41600000</v>
      </c>
      <c r="AD29" s="743">
        <f t="shared" si="2"/>
        <v>10400000</v>
      </c>
      <c r="AE29" s="1506"/>
      <c r="AF29" s="943">
        <v>37</v>
      </c>
      <c r="AG29" s="279" t="s">
        <v>321</v>
      </c>
      <c r="AH29" s="279" t="s">
        <v>684</v>
      </c>
      <c r="AI29" s="517">
        <f t="shared" si="3"/>
        <v>247</v>
      </c>
      <c r="AJ29" s="316">
        <v>52000000</v>
      </c>
      <c r="AK29" s="926">
        <f t="shared" si="5"/>
        <v>0</v>
      </c>
      <c r="AL29" s="973"/>
      <c r="AM29" s="314">
        <f t="shared" si="4"/>
        <v>0</v>
      </c>
    </row>
    <row r="30" spans="1:39" s="8" customFormat="1">
      <c r="A30" s="82" t="s">
        <v>35</v>
      </c>
      <c r="B30" s="161">
        <f t="shared" si="0"/>
        <v>20000000</v>
      </c>
      <c r="C30" s="79" t="s">
        <v>36</v>
      </c>
      <c r="D30" s="79" t="s">
        <v>862</v>
      </c>
      <c r="E30" s="79" t="s">
        <v>37</v>
      </c>
      <c r="F30" s="79" t="s">
        <v>351</v>
      </c>
      <c r="G30" s="1936" t="s">
        <v>38</v>
      </c>
      <c r="H30" s="1943" t="s">
        <v>1384</v>
      </c>
      <c r="I30" s="230">
        <v>38</v>
      </c>
      <c r="J30" s="160">
        <v>0</v>
      </c>
      <c r="K30" s="486"/>
      <c r="L30" s="1682">
        <v>507</v>
      </c>
      <c r="M30" s="1592">
        <v>20000000</v>
      </c>
      <c r="N30" s="1682">
        <v>550</v>
      </c>
      <c r="O30" s="1704">
        <v>20000000</v>
      </c>
      <c r="P30" s="236">
        <v>368</v>
      </c>
      <c r="Q30" s="467"/>
      <c r="R30" s="467"/>
      <c r="S30" s="166"/>
      <c r="T30" s="166"/>
      <c r="U30" s="166"/>
      <c r="V30" s="166"/>
      <c r="W30" s="166">
        <v>4533333</v>
      </c>
      <c r="X30" s="166">
        <v>4000000</v>
      </c>
      <c r="Y30" s="166">
        <v>4000000</v>
      </c>
      <c r="Z30" s="467"/>
      <c r="AA30" s="467"/>
      <c r="AB30" s="467"/>
      <c r="AC30" s="468">
        <f t="shared" si="1"/>
        <v>12533333</v>
      </c>
      <c r="AD30" s="743">
        <f t="shared" si="2"/>
        <v>7466667</v>
      </c>
      <c r="AE30" s="1506"/>
      <c r="AF30" s="943">
        <v>38</v>
      </c>
      <c r="AG30" s="279" t="s">
        <v>322</v>
      </c>
      <c r="AH30" s="279" t="s">
        <v>1075</v>
      </c>
      <c r="AI30" s="517">
        <f t="shared" si="3"/>
        <v>368</v>
      </c>
      <c r="AJ30" s="316">
        <f>30000000-7562613-2437387</f>
        <v>20000000</v>
      </c>
      <c r="AK30" s="926">
        <f t="shared" si="5"/>
        <v>0</v>
      </c>
      <c r="AL30" s="973"/>
      <c r="AM30" s="314">
        <f t="shared" si="4"/>
        <v>0</v>
      </c>
    </row>
    <row r="31" spans="1:39" s="8" customFormat="1">
      <c r="A31" s="82" t="s">
        <v>35</v>
      </c>
      <c r="B31" s="161">
        <f t="shared" si="0"/>
        <v>20000000</v>
      </c>
      <c r="C31" s="79" t="s">
        <v>36</v>
      </c>
      <c r="D31" s="79" t="s">
        <v>862</v>
      </c>
      <c r="E31" s="79" t="s">
        <v>37</v>
      </c>
      <c r="F31" s="79" t="s">
        <v>351</v>
      </c>
      <c r="G31" s="1936" t="s">
        <v>38</v>
      </c>
      <c r="H31" s="1943" t="s">
        <v>1384</v>
      </c>
      <c r="I31" s="230">
        <v>39</v>
      </c>
      <c r="J31" s="160">
        <v>0</v>
      </c>
      <c r="K31" s="486"/>
      <c r="L31" s="1682">
        <v>524</v>
      </c>
      <c r="M31" s="1592">
        <v>20000000</v>
      </c>
      <c r="N31" s="1682">
        <v>679</v>
      </c>
      <c r="O31" s="1704">
        <v>20000000</v>
      </c>
      <c r="P31" s="236">
        <v>412</v>
      </c>
      <c r="Q31" s="467"/>
      <c r="R31" s="467"/>
      <c r="S31" s="166"/>
      <c r="T31" s="166"/>
      <c r="U31" s="166"/>
      <c r="V31" s="166"/>
      <c r="W31" s="166"/>
      <c r="X31" s="166"/>
      <c r="Y31" s="166">
        <f>3166667+5000000</f>
        <v>8166667</v>
      </c>
      <c r="Z31" s="467"/>
      <c r="AA31" s="467"/>
      <c r="AB31" s="467"/>
      <c r="AC31" s="468">
        <f t="shared" si="1"/>
        <v>8166667</v>
      </c>
      <c r="AD31" s="743">
        <f t="shared" si="2"/>
        <v>11833333</v>
      </c>
      <c r="AE31" s="1506"/>
      <c r="AF31" s="943">
        <v>39</v>
      </c>
      <c r="AG31" s="279" t="s">
        <v>323</v>
      </c>
      <c r="AH31" s="279" t="s">
        <v>1168</v>
      </c>
      <c r="AI31" s="517">
        <f t="shared" si="3"/>
        <v>412</v>
      </c>
      <c r="AJ31" s="316">
        <v>20000000</v>
      </c>
      <c r="AK31" s="926">
        <f t="shared" si="5"/>
        <v>0</v>
      </c>
      <c r="AL31" s="973"/>
      <c r="AM31" s="314">
        <f t="shared" si="4"/>
        <v>0</v>
      </c>
    </row>
    <row r="32" spans="1:39" s="8" customFormat="1">
      <c r="A32" s="82" t="s">
        <v>35</v>
      </c>
      <c r="B32" s="161">
        <f t="shared" si="0"/>
        <v>0</v>
      </c>
      <c r="C32" s="79" t="s">
        <v>36</v>
      </c>
      <c r="D32" s="79" t="s">
        <v>862</v>
      </c>
      <c r="E32" s="79" t="s">
        <v>37</v>
      </c>
      <c r="F32" s="79" t="s">
        <v>351</v>
      </c>
      <c r="G32" s="1936" t="s">
        <v>38</v>
      </c>
      <c r="H32" s="1943" t="s">
        <v>1384</v>
      </c>
      <c r="I32" s="230">
        <v>40</v>
      </c>
      <c r="J32" s="160">
        <v>0</v>
      </c>
      <c r="K32" s="486"/>
      <c r="L32" s="1682"/>
      <c r="M32" s="1592"/>
      <c r="N32" s="1682"/>
      <c r="O32" s="1704"/>
      <c r="P32" s="236"/>
      <c r="Q32" s="467"/>
      <c r="R32" s="467"/>
      <c r="S32" s="166"/>
      <c r="T32" s="166"/>
      <c r="U32" s="166"/>
      <c r="V32" s="166"/>
      <c r="W32" s="166"/>
      <c r="X32" s="166"/>
      <c r="Y32" s="166"/>
      <c r="Z32" s="467"/>
      <c r="AA32" s="467"/>
      <c r="AB32" s="467"/>
      <c r="AC32" s="468">
        <f t="shared" si="1"/>
        <v>0</v>
      </c>
      <c r="AD32" s="743">
        <f t="shared" si="2"/>
        <v>0</v>
      </c>
      <c r="AE32" s="1506"/>
      <c r="AF32" s="943">
        <v>40</v>
      </c>
      <c r="AG32" s="279" t="s">
        <v>324</v>
      </c>
      <c r="AH32" s="279" t="s">
        <v>178</v>
      </c>
      <c r="AI32" s="517">
        <f t="shared" si="3"/>
        <v>0</v>
      </c>
      <c r="AJ32" s="316">
        <f>7000000-7000000</f>
        <v>0</v>
      </c>
      <c r="AK32" s="926">
        <f t="shared" si="5"/>
        <v>0</v>
      </c>
      <c r="AL32" s="973"/>
      <c r="AM32" s="314">
        <f t="shared" si="4"/>
        <v>0</v>
      </c>
    </row>
    <row r="33" spans="1:39" s="8" customFormat="1">
      <c r="A33" s="82" t="s">
        <v>35</v>
      </c>
      <c r="B33" s="161">
        <f t="shared" si="0"/>
        <v>7740000</v>
      </c>
      <c r="C33" s="79" t="s">
        <v>36</v>
      </c>
      <c r="D33" s="79" t="s">
        <v>862</v>
      </c>
      <c r="E33" s="79" t="s">
        <v>37</v>
      </c>
      <c r="F33" s="79" t="s">
        <v>351</v>
      </c>
      <c r="G33" s="1936" t="s">
        <v>38</v>
      </c>
      <c r="H33" s="1943" t="s">
        <v>1384</v>
      </c>
      <c r="I33" s="230">
        <v>41</v>
      </c>
      <c r="J33" s="160">
        <v>0</v>
      </c>
      <c r="K33" s="486"/>
      <c r="L33" s="1682">
        <v>176</v>
      </c>
      <c r="M33" s="1592">
        <v>7740000</v>
      </c>
      <c r="N33" s="1682">
        <v>232</v>
      </c>
      <c r="O33" s="1703">
        <f>VLOOKUP(N33,[6]RP!J$194:V$247,13,0)</f>
        <v>7740000</v>
      </c>
      <c r="P33" s="236">
        <v>176</v>
      </c>
      <c r="Q33" s="467"/>
      <c r="R33" s="467"/>
      <c r="S33" s="166">
        <v>2150000</v>
      </c>
      <c r="T33" s="166">
        <f>VLOOKUP(N33,[4]Hoja2!N$66:T$128,7,0)</f>
        <v>2580000</v>
      </c>
      <c r="U33" s="467">
        <v>2580000</v>
      </c>
      <c r="V33" s="166">
        <v>430000</v>
      </c>
      <c r="W33" s="166"/>
      <c r="X33" s="166"/>
      <c r="Y33" s="166"/>
      <c r="Z33" s="467"/>
      <c r="AA33" s="467"/>
      <c r="AB33" s="467"/>
      <c r="AC33" s="468">
        <f t="shared" si="1"/>
        <v>7740000</v>
      </c>
      <c r="AD33" s="743">
        <f t="shared" si="2"/>
        <v>0</v>
      </c>
      <c r="AE33" s="1506"/>
      <c r="AF33" s="943">
        <v>41</v>
      </c>
      <c r="AG33" s="279" t="s">
        <v>325</v>
      </c>
      <c r="AH33" s="279" t="s">
        <v>683</v>
      </c>
      <c r="AI33" s="517">
        <f t="shared" si="3"/>
        <v>176</v>
      </c>
      <c r="AJ33" s="316">
        <v>7740000</v>
      </c>
      <c r="AK33" s="926">
        <f t="shared" si="5"/>
        <v>0</v>
      </c>
      <c r="AL33" s="973"/>
      <c r="AM33" s="314">
        <f t="shared" si="4"/>
        <v>0</v>
      </c>
    </row>
    <row r="34" spans="1:39" s="8" customFormat="1">
      <c r="A34" s="82" t="s">
        <v>35</v>
      </c>
      <c r="B34" s="161">
        <f t="shared" si="0"/>
        <v>19860000</v>
      </c>
      <c r="C34" s="79" t="s">
        <v>36</v>
      </c>
      <c r="D34" s="79" t="s">
        <v>862</v>
      </c>
      <c r="E34" s="79" t="s">
        <v>37</v>
      </c>
      <c r="F34" s="79" t="s">
        <v>351</v>
      </c>
      <c r="G34" s="1936" t="s">
        <v>38</v>
      </c>
      <c r="H34" s="1943" t="s">
        <v>1384</v>
      </c>
      <c r="I34" s="230">
        <v>42</v>
      </c>
      <c r="J34" s="160">
        <v>0</v>
      </c>
      <c r="K34" s="486"/>
      <c r="L34" s="1682">
        <v>59</v>
      </c>
      <c r="M34" s="1592">
        <v>19860000</v>
      </c>
      <c r="N34" s="1682">
        <v>110</v>
      </c>
      <c r="O34" s="1703">
        <v>19860000</v>
      </c>
      <c r="P34" s="236">
        <v>81</v>
      </c>
      <c r="Q34" s="467"/>
      <c r="R34" s="166">
        <v>1765333</v>
      </c>
      <c r="S34" s="166">
        <v>6620000</v>
      </c>
      <c r="T34" s="166">
        <f>VLOOKUP(N34,[4]Hoja2!N$66:T$128,7,0)</f>
        <v>6620000</v>
      </c>
      <c r="U34" s="467">
        <v>4854667</v>
      </c>
      <c r="V34" s="166"/>
      <c r="W34" s="166"/>
      <c r="X34" s="166"/>
      <c r="Y34" s="166"/>
      <c r="Z34" s="467"/>
      <c r="AA34" s="467"/>
      <c r="AB34" s="467"/>
      <c r="AC34" s="468">
        <f t="shared" si="1"/>
        <v>19860000</v>
      </c>
      <c r="AD34" s="743">
        <f t="shared" si="2"/>
        <v>0</v>
      </c>
      <c r="AE34" s="1506"/>
      <c r="AF34" s="943">
        <v>42</v>
      </c>
      <c r="AG34" s="279" t="s">
        <v>326</v>
      </c>
      <c r="AH34" s="279" t="str">
        <f>VLOOKUP(N34,[5]Hoja2!J$141:N$168,5,0)</f>
        <v>DIANA MARCELA GARCIA SIERRA</v>
      </c>
      <c r="AI34" s="517">
        <f t="shared" si="3"/>
        <v>81</v>
      </c>
      <c r="AJ34" s="316">
        <f>72820000-52960000</f>
        <v>19860000</v>
      </c>
      <c r="AK34" s="926">
        <f t="shared" si="5"/>
        <v>0</v>
      </c>
      <c r="AL34" s="973"/>
      <c r="AM34" s="314">
        <f t="shared" si="4"/>
        <v>0</v>
      </c>
    </row>
    <row r="35" spans="1:39" s="8" customFormat="1">
      <c r="A35" s="82" t="s">
        <v>35</v>
      </c>
      <c r="B35" s="161">
        <f t="shared" si="0"/>
        <v>3935000</v>
      </c>
      <c r="C35" s="79" t="s">
        <v>36</v>
      </c>
      <c r="D35" s="79" t="s">
        <v>862</v>
      </c>
      <c r="E35" s="79" t="s">
        <v>37</v>
      </c>
      <c r="F35" s="79" t="s">
        <v>351</v>
      </c>
      <c r="G35" s="1936" t="s">
        <v>38</v>
      </c>
      <c r="H35" s="1943" t="s">
        <v>1384</v>
      </c>
      <c r="I35" s="230">
        <v>46</v>
      </c>
      <c r="J35" s="160">
        <v>0</v>
      </c>
      <c r="K35" s="486"/>
      <c r="L35" s="1682">
        <v>286</v>
      </c>
      <c r="M35" s="1592">
        <v>3935000</v>
      </c>
      <c r="N35" s="1682">
        <v>299</v>
      </c>
      <c r="O35" s="1704">
        <v>3935000</v>
      </c>
      <c r="P35" s="236">
        <v>250</v>
      </c>
      <c r="Q35" s="467"/>
      <c r="R35" s="467"/>
      <c r="S35" s="166"/>
      <c r="T35" s="166"/>
      <c r="U35" s="166"/>
      <c r="V35" s="166"/>
      <c r="W35" s="166"/>
      <c r="X35" s="166"/>
      <c r="Y35" s="166">
        <v>3935000</v>
      </c>
      <c r="Z35" s="467"/>
      <c r="AA35" s="467"/>
      <c r="AB35" s="467"/>
      <c r="AC35" s="468">
        <f t="shared" si="1"/>
        <v>3935000</v>
      </c>
      <c r="AD35" s="743">
        <f t="shared" si="2"/>
        <v>0</v>
      </c>
      <c r="AE35" s="1506"/>
      <c r="AF35" s="943">
        <v>46</v>
      </c>
      <c r="AG35" s="279" t="s">
        <v>320</v>
      </c>
      <c r="AH35" s="279" t="s">
        <v>685</v>
      </c>
      <c r="AI35" s="517">
        <f t="shared" si="3"/>
        <v>250</v>
      </c>
      <c r="AJ35" s="316">
        <f>40000000-36065000</f>
        <v>3935000</v>
      </c>
      <c r="AK35" s="926">
        <f t="shared" si="5"/>
        <v>0</v>
      </c>
      <c r="AL35" s="973"/>
      <c r="AM35" s="314">
        <f t="shared" si="4"/>
        <v>0</v>
      </c>
    </row>
    <row r="36" spans="1:39" s="8" customFormat="1">
      <c r="A36" s="82" t="s">
        <v>35</v>
      </c>
      <c r="B36" s="161">
        <f t="shared" si="0"/>
        <v>20945000</v>
      </c>
      <c r="C36" s="79" t="s">
        <v>36</v>
      </c>
      <c r="D36" s="79" t="s">
        <v>862</v>
      </c>
      <c r="E36" s="79" t="s">
        <v>37</v>
      </c>
      <c r="F36" s="79" t="s">
        <v>351</v>
      </c>
      <c r="G36" s="1936" t="s">
        <v>38</v>
      </c>
      <c r="H36" s="1943" t="s">
        <v>1384</v>
      </c>
      <c r="I36" s="230">
        <v>49</v>
      </c>
      <c r="J36" s="160">
        <v>0</v>
      </c>
      <c r="K36" s="486"/>
      <c r="L36" s="1682">
        <v>263</v>
      </c>
      <c r="M36" s="1592">
        <v>20945000</v>
      </c>
      <c r="N36" s="1682">
        <v>268</v>
      </c>
      <c r="O36" s="1592">
        <v>20945000</v>
      </c>
      <c r="P36" s="236">
        <v>238</v>
      </c>
      <c r="Q36" s="467"/>
      <c r="R36" s="467"/>
      <c r="S36" s="166">
        <v>2090000</v>
      </c>
      <c r="T36" s="166">
        <v>3135000</v>
      </c>
      <c r="U36" s="166">
        <v>3135000</v>
      </c>
      <c r="V36" s="166">
        <v>3135000</v>
      </c>
      <c r="W36" s="166">
        <v>3135000</v>
      </c>
      <c r="X36" s="166">
        <v>2299000</v>
      </c>
      <c r="Y36" s="166"/>
      <c r="Z36" s="467"/>
      <c r="AA36" s="467"/>
      <c r="AB36" s="467"/>
      <c r="AC36" s="468">
        <f t="shared" si="1"/>
        <v>16929000</v>
      </c>
      <c r="AD36" s="743">
        <f t="shared" si="2"/>
        <v>4016000</v>
      </c>
      <c r="AE36" s="1506"/>
      <c r="AF36" s="943">
        <v>49</v>
      </c>
      <c r="AG36" s="279" t="s">
        <v>271</v>
      </c>
      <c r="AH36" s="279" t="s">
        <v>662</v>
      </c>
      <c r="AI36" s="517">
        <f t="shared" si="3"/>
        <v>238</v>
      </c>
      <c r="AJ36" s="316">
        <f>20945000</f>
        <v>20945000</v>
      </c>
      <c r="AK36" s="926">
        <f t="shared" si="5"/>
        <v>0</v>
      </c>
      <c r="AL36" s="973"/>
      <c r="AM36" s="314">
        <f t="shared" si="4"/>
        <v>0</v>
      </c>
    </row>
    <row r="37" spans="1:39" s="8" customFormat="1">
      <c r="A37" s="82" t="s">
        <v>35</v>
      </c>
      <c r="B37" s="161">
        <f t="shared" si="0"/>
        <v>9999796</v>
      </c>
      <c r="C37" s="79" t="s">
        <v>36</v>
      </c>
      <c r="D37" s="79" t="s">
        <v>862</v>
      </c>
      <c r="E37" s="79" t="s">
        <v>37</v>
      </c>
      <c r="F37" s="79" t="s">
        <v>351</v>
      </c>
      <c r="G37" s="1936" t="s">
        <v>38</v>
      </c>
      <c r="H37" s="1943" t="s">
        <v>1384</v>
      </c>
      <c r="I37" s="230">
        <v>51</v>
      </c>
      <c r="J37" s="160">
        <v>0</v>
      </c>
      <c r="K37" s="486"/>
      <c r="L37" s="1682">
        <v>494</v>
      </c>
      <c r="M37" s="1592">
        <v>9999796</v>
      </c>
      <c r="N37" s="1682">
        <v>724</v>
      </c>
      <c r="O37" s="1592">
        <v>9999796</v>
      </c>
      <c r="P37" s="236">
        <v>429</v>
      </c>
      <c r="Q37" s="467"/>
      <c r="R37" s="467"/>
      <c r="S37" s="166"/>
      <c r="T37" s="166"/>
      <c r="U37" s="166"/>
      <c r="V37" s="166"/>
      <c r="W37" s="166"/>
      <c r="X37" s="166"/>
      <c r="Y37" s="166"/>
      <c r="Z37" s="467"/>
      <c r="AA37" s="467"/>
      <c r="AB37" s="467"/>
      <c r="AC37" s="468">
        <f t="shared" si="1"/>
        <v>0</v>
      </c>
      <c r="AD37" s="743">
        <f t="shared" si="2"/>
        <v>9999796</v>
      </c>
      <c r="AE37" s="1506"/>
      <c r="AF37" s="943">
        <v>51</v>
      </c>
      <c r="AG37" s="279" t="s">
        <v>244</v>
      </c>
      <c r="AH37" s="279" t="s">
        <v>1225</v>
      </c>
      <c r="AI37" s="517">
        <f t="shared" si="3"/>
        <v>429</v>
      </c>
      <c r="AJ37" s="316">
        <v>10000000</v>
      </c>
      <c r="AK37" s="926">
        <f t="shared" si="5"/>
        <v>204</v>
      </c>
      <c r="AL37" s="973"/>
      <c r="AM37" s="314">
        <f t="shared" si="4"/>
        <v>204</v>
      </c>
    </row>
    <row r="38" spans="1:39" s="8" customFormat="1">
      <c r="A38" s="82" t="s">
        <v>35</v>
      </c>
      <c r="B38" s="161">
        <f t="shared" si="0"/>
        <v>17880000</v>
      </c>
      <c r="C38" s="79" t="s">
        <v>36</v>
      </c>
      <c r="D38" s="79" t="s">
        <v>862</v>
      </c>
      <c r="E38" s="79" t="s">
        <v>37</v>
      </c>
      <c r="F38" s="79" t="s">
        <v>351</v>
      </c>
      <c r="G38" s="1936" t="s">
        <v>38</v>
      </c>
      <c r="H38" s="1943" t="s">
        <v>1384</v>
      </c>
      <c r="I38" s="230">
        <v>53</v>
      </c>
      <c r="J38" s="160">
        <v>0</v>
      </c>
      <c r="K38" s="486"/>
      <c r="L38" s="1682">
        <v>177</v>
      </c>
      <c r="M38" s="1592">
        <v>17880000</v>
      </c>
      <c r="N38" s="1682">
        <v>163</v>
      </c>
      <c r="O38" s="1703">
        <v>17880000</v>
      </c>
      <c r="P38" s="236">
        <v>158</v>
      </c>
      <c r="Q38" s="467"/>
      <c r="R38" s="166"/>
      <c r="S38" s="166">
        <v>6158667</v>
      </c>
      <c r="T38" s="166">
        <f>VLOOKUP(N38,[4]Hoja2!N$66:T$128,7,0)</f>
        <v>5960000</v>
      </c>
      <c r="U38" s="166"/>
      <c r="V38" s="166"/>
      <c r="W38" s="166">
        <v>5761333</v>
      </c>
      <c r="X38" s="166"/>
      <c r="Y38" s="166"/>
      <c r="Z38" s="467"/>
      <c r="AA38" s="467"/>
      <c r="AB38" s="467"/>
      <c r="AC38" s="468">
        <f t="shared" si="1"/>
        <v>17880000</v>
      </c>
      <c r="AD38" s="743">
        <f t="shared" si="2"/>
        <v>0</v>
      </c>
      <c r="AE38" s="1506"/>
      <c r="AF38" s="943">
        <v>53</v>
      </c>
      <c r="AG38" s="279" t="s">
        <v>327</v>
      </c>
      <c r="AH38" s="279" t="str">
        <f>VLOOKUP(N38,[5]Hoja2!J$141:N$168,5,0)</f>
        <v>GINA CATHERINE LEON CABRERA</v>
      </c>
      <c r="AI38" s="517">
        <f t="shared" si="3"/>
        <v>158</v>
      </c>
      <c r="AJ38" s="316">
        <v>17880000</v>
      </c>
      <c r="AK38" s="926">
        <f t="shared" si="5"/>
        <v>0</v>
      </c>
      <c r="AL38" s="973"/>
      <c r="AM38" s="314">
        <f t="shared" si="4"/>
        <v>0</v>
      </c>
    </row>
    <row r="39" spans="1:39" s="8" customFormat="1">
      <c r="A39" s="82" t="s">
        <v>35</v>
      </c>
      <c r="B39" s="161">
        <f t="shared" si="0"/>
        <v>10440000</v>
      </c>
      <c r="C39" s="79" t="s">
        <v>36</v>
      </c>
      <c r="D39" s="79" t="s">
        <v>862</v>
      </c>
      <c r="E39" s="79" t="s">
        <v>37</v>
      </c>
      <c r="F39" s="79" t="s">
        <v>351</v>
      </c>
      <c r="G39" s="1936" t="s">
        <v>38</v>
      </c>
      <c r="H39" s="1943" t="s">
        <v>1384</v>
      </c>
      <c r="I39" s="230">
        <v>55</v>
      </c>
      <c r="J39" s="160">
        <v>0</v>
      </c>
      <c r="K39" s="486"/>
      <c r="L39" s="1682">
        <v>224</v>
      </c>
      <c r="M39" s="1592">
        <v>10440000</v>
      </c>
      <c r="N39" s="1682">
        <v>227</v>
      </c>
      <c r="O39" s="1703">
        <f>VLOOKUP(N39,[6]RP!J$194:V$247,13,0)</f>
        <v>10440000</v>
      </c>
      <c r="P39" s="236">
        <v>166</v>
      </c>
      <c r="Q39" s="467"/>
      <c r="R39" s="467"/>
      <c r="S39" s="166">
        <v>2900000</v>
      </c>
      <c r="T39" s="166">
        <f>VLOOKUP(N39,[4]Hoja2!N$66:T$128,7,0)</f>
        <v>3480000</v>
      </c>
      <c r="U39" s="467">
        <v>3480000</v>
      </c>
      <c r="V39" s="166">
        <v>580000</v>
      </c>
      <c r="W39" s="166"/>
      <c r="X39" s="166"/>
      <c r="Y39" s="166"/>
      <c r="Z39" s="467"/>
      <c r="AA39" s="467"/>
      <c r="AB39" s="467"/>
      <c r="AC39" s="468">
        <f t="shared" si="1"/>
        <v>10440000</v>
      </c>
      <c r="AD39" s="743">
        <f t="shared" si="2"/>
        <v>0</v>
      </c>
      <c r="AE39" s="1506"/>
      <c r="AF39" s="943">
        <v>55</v>
      </c>
      <c r="AG39" s="279" t="s">
        <v>328</v>
      </c>
      <c r="AH39" s="279" t="s">
        <v>682</v>
      </c>
      <c r="AI39" s="517">
        <f t="shared" si="3"/>
        <v>166</v>
      </c>
      <c r="AJ39" s="316">
        <f>38280000-27840000</f>
        <v>10440000</v>
      </c>
      <c r="AK39" s="926">
        <f t="shared" si="5"/>
        <v>0</v>
      </c>
      <c r="AL39" s="973"/>
      <c r="AM39" s="314">
        <f t="shared" si="4"/>
        <v>0</v>
      </c>
    </row>
    <row r="40" spans="1:39" s="8" customFormat="1">
      <c r="A40" s="82" t="s">
        <v>35</v>
      </c>
      <c r="B40" s="161">
        <f t="shared" si="0"/>
        <v>0</v>
      </c>
      <c r="C40" s="79" t="s">
        <v>36</v>
      </c>
      <c r="D40" s="79" t="s">
        <v>862</v>
      </c>
      <c r="E40" s="79" t="s">
        <v>37</v>
      </c>
      <c r="F40" s="79" t="s">
        <v>351</v>
      </c>
      <c r="G40" s="1936" t="s">
        <v>38</v>
      </c>
      <c r="H40" s="1943" t="s">
        <v>1384</v>
      </c>
      <c r="I40" s="230">
        <v>58</v>
      </c>
      <c r="J40" s="160">
        <v>0</v>
      </c>
      <c r="K40" s="486"/>
      <c r="L40" s="1682"/>
      <c r="M40" s="1592"/>
      <c r="N40" s="1682"/>
      <c r="O40" s="1704"/>
      <c r="P40" s="236"/>
      <c r="Q40" s="467"/>
      <c r="R40" s="467"/>
      <c r="S40" s="166"/>
      <c r="T40" s="166"/>
      <c r="U40" s="166"/>
      <c r="V40" s="166"/>
      <c r="W40" s="166"/>
      <c r="X40" s="166"/>
      <c r="Y40" s="166"/>
      <c r="Z40" s="467"/>
      <c r="AA40" s="467"/>
      <c r="AB40" s="467"/>
      <c r="AC40" s="468">
        <f t="shared" si="1"/>
        <v>0</v>
      </c>
      <c r="AD40" s="743">
        <f t="shared" si="2"/>
        <v>0</v>
      </c>
      <c r="AE40" s="1506"/>
      <c r="AF40" s="943">
        <v>58</v>
      </c>
      <c r="AG40" s="279" t="s">
        <v>329</v>
      </c>
      <c r="AH40" s="279" t="s">
        <v>178</v>
      </c>
      <c r="AI40" s="517">
        <f t="shared" si="3"/>
        <v>0</v>
      </c>
      <c r="AJ40" s="316">
        <f>17000000-17000000</f>
        <v>0</v>
      </c>
      <c r="AK40" s="926">
        <f t="shared" si="5"/>
        <v>0</v>
      </c>
      <c r="AL40" s="973"/>
      <c r="AM40" s="314">
        <f t="shared" si="4"/>
        <v>0</v>
      </c>
    </row>
    <row r="41" spans="1:39" s="8" customFormat="1">
      <c r="A41" s="82" t="s">
        <v>35</v>
      </c>
      <c r="B41" s="161">
        <f t="shared" si="0"/>
        <v>19860000</v>
      </c>
      <c r="C41" s="79" t="s">
        <v>36</v>
      </c>
      <c r="D41" s="79" t="s">
        <v>862</v>
      </c>
      <c r="E41" s="79" t="s">
        <v>37</v>
      </c>
      <c r="F41" s="79" t="s">
        <v>351</v>
      </c>
      <c r="G41" s="1936" t="s">
        <v>38</v>
      </c>
      <c r="H41" s="1943" t="s">
        <v>1384</v>
      </c>
      <c r="I41" s="230">
        <v>60</v>
      </c>
      <c r="J41" s="160">
        <v>0</v>
      </c>
      <c r="K41" s="486"/>
      <c r="L41" s="1682">
        <v>243</v>
      </c>
      <c r="M41" s="1592">
        <v>19860000</v>
      </c>
      <c r="N41" s="1682">
        <v>251</v>
      </c>
      <c r="O41" s="1704">
        <v>19860000</v>
      </c>
      <c r="P41" s="236">
        <v>228</v>
      </c>
      <c r="Q41" s="467"/>
      <c r="R41" s="467"/>
      <c r="S41" s="166">
        <v>4854667</v>
      </c>
      <c r="T41" s="166">
        <f>VLOOKUP(N41,[4]Hoja2!N$66:T$128,7,0)</f>
        <v>6620000</v>
      </c>
      <c r="U41" s="467">
        <v>6620000</v>
      </c>
      <c r="V41" s="166">
        <v>1765333</v>
      </c>
      <c r="W41" s="166"/>
      <c r="X41" s="166"/>
      <c r="Y41" s="166"/>
      <c r="Z41" s="467"/>
      <c r="AA41" s="467"/>
      <c r="AB41" s="467"/>
      <c r="AC41" s="468">
        <f t="shared" si="1"/>
        <v>19860000</v>
      </c>
      <c r="AD41" s="743">
        <f t="shared" si="2"/>
        <v>0</v>
      </c>
      <c r="AE41" s="1506"/>
      <c r="AF41" s="943">
        <v>60</v>
      </c>
      <c r="AG41" s="279" t="s">
        <v>330</v>
      </c>
      <c r="AH41" s="279" t="s">
        <v>679</v>
      </c>
      <c r="AI41" s="517">
        <f t="shared" si="3"/>
        <v>228</v>
      </c>
      <c r="AJ41" s="316">
        <f>72820000-52960000</f>
        <v>19860000</v>
      </c>
      <c r="AK41" s="926">
        <f t="shared" si="5"/>
        <v>0</v>
      </c>
      <c r="AL41" s="973"/>
      <c r="AM41" s="314">
        <f t="shared" si="4"/>
        <v>0</v>
      </c>
    </row>
    <row r="42" spans="1:39" s="8" customFormat="1">
      <c r="A42" s="82" t="s">
        <v>35</v>
      </c>
      <c r="B42" s="161">
        <f t="shared" si="0"/>
        <v>16080000</v>
      </c>
      <c r="C42" s="79" t="s">
        <v>36</v>
      </c>
      <c r="D42" s="79" t="s">
        <v>862</v>
      </c>
      <c r="E42" s="79" t="s">
        <v>37</v>
      </c>
      <c r="F42" s="79" t="s">
        <v>351</v>
      </c>
      <c r="G42" s="1936" t="s">
        <v>38</v>
      </c>
      <c r="H42" s="1943" t="s">
        <v>1384</v>
      </c>
      <c r="I42" s="230">
        <v>61</v>
      </c>
      <c r="J42" s="160">
        <v>0</v>
      </c>
      <c r="K42" s="486"/>
      <c r="L42" s="1682">
        <v>170</v>
      </c>
      <c r="M42" s="1592">
        <v>16080000</v>
      </c>
      <c r="N42" s="1682">
        <v>162</v>
      </c>
      <c r="O42" s="1703">
        <v>16080000</v>
      </c>
      <c r="P42" s="236">
        <v>152</v>
      </c>
      <c r="Q42" s="467"/>
      <c r="R42" s="166"/>
      <c r="S42" s="166">
        <v>5538667</v>
      </c>
      <c r="T42" s="166">
        <f>VLOOKUP(N42,[4]Hoja2!N$66:T$128,7,0)</f>
        <v>5360000</v>
      </c>
      <c r="U42" s="166">
        <v>5181333</v>
      </c>
      <c r="V42" s="166"/>
      <c r="W42" s="166"/>
      <c r="X42" s="166"/>
      <c r="Y42" s="166"/>
      <c r="Z42" s="467"/>
      <c r="AA42" s="467"/>
      <c r="AB42" s="467"/>
      <c r="AC42" s="468">
        <f t="shared" si="1"/>
        <v>16080000</v>
      </c>
      <c r="AD42" s="743">
        <f t="shared" si="2"/>
        <v>0</v>
      </c>
      <c r="AE42" s="1506"/>
      <c r="AF42" s="943">
        <v>61</v>
      </c>
      <c r="AG42" s="279" t="s">
        <v>331</v>
      </c>
      <c r="AH42" s="279" t="str">
        <f>VLOOKUP(N42,[5]Hoja2!J$141:N$168,5,0)</f>
        <v>JOHANNA MARCELA GALINDO URREGO</v>
      </c>
      <c r="AI42" s="517">
        <f t="shared" si="3"/>
        <v>152</v>
      </c>
      <c r="AJ42" s="316">
        <v>16080000</v>
      </c>
      <c r="AK42" s="926">
        <f t="shared" si="5"/>
        <v>0</v>
      </c>
      <c r="AL42" s="973"/>
      <c r="AM42" s="314">
        <f t="shared" si="4"/>
        <v>0</v>
      </c>
    </row>
    <row r="43" spans="1:39" s="8" customFormat="1">
      <c r="A43" s="82" t="s">
        <v>35</v>
      </c>
      <c r="B43" s="161">
        <f t="shared" si="0"/>
        <v>12060000</v>
      </c>
      <c r="C43" s="79" t="s">
        <v>36</v>
      </c>
      <c r="D43" s="79" t="s">
        <v>862</v>
      </c>
      <c r="E43" s="79" t="s">
        <v>37</v>
      </c>
      <c r="F43" s="79" t="s">
        <v>351</v>
      </c>
      <c r="G43" s="1936" t="s">
        <v>38</v>
      </c>
      <c r="H43" s="1943" t="s">
        <v>1384</v>
      </c>
      <c r="I43" s="230">
        <v>62</v>
      </c>
      <c r="J43" s="160">
        <v>0</v>
      </c>
      <c r="K43" s="486"/>
      <c r="L43" s="1682">
        <v>228</v>
      </c>
      <c r="M43" s="1592">
        <v>12060000</v>
      </c>
      <c r="N43" s="1682">
        <v>228</v>
      </c>
      <c r="O43" s="1703">
        <f>VLOOKUP(N43,[6]RP!J$194:V$247,13,0)</f>
        <v>12060000</v>
      </c>
      <c r="P43" s="236">
        <v>177</v>
      </c>
      <c r="Q43" s="467"/>
      <c r="R43" s="467"/>
      <c r="S43" s="166">
        <v>3350000</v>
      </c>
      <c r="T43" s="166">
        <f>VLOOKUP(N43,[4]Hoja2!N$66:T$128,7,0)</f>
        <v>4020000</v>
      </c>
      <c r="U43" s="166"/>
      <c r="V43" s="166">
        <v>670000</v>
      </c>
      <c r="W43" s="166">
        <v>4020000</v>
      </c>
      <c r="X43" s="166"/>
      <c r="Y43" s="166"/>
      <c r="Z43" s="467"/>
      <c r="AA43" s="467"/>
      <c r="AB43" s="467"/>
      <c r="AC43" s="468">
        <f t="shared" si="1"/>
        <v>12060000</v>
      </c>
      <c r="AD43" s="743">
        <f t="shared" si="2"/>
        <v>0</v>
      </c>
      <c r="AE43" s="1506"/>
      <c r="AF43" s="943">
        <v>62</v>
      </c>
      <c r="AG43" s="279" t="s">
        <v>332</v>
      </c>
      <c r="AH43" s="279" t="s">
        <v>681</v>
      </c>
      <c r="AI43" s="517">
        <f t="shared" si="3"/>
        <v>177</v>
      </c>
      <c r="AJ43" s="316">
        <v>12060000</v>
      </c>
      <c r="AK43" s="926">
        <f t="shared" si="5"/>
        <v>0</v>
      </c>
      <c r="AL43" s="973"/>
      <c r="AM43" s="314">
        <f t="shared" si="4"/>
        <v>0</v>
      </c>
    </row>
    <row r="44" spans="1:39" s="8" customFormat="1">
      <c r="A44" s="82" t="s">
        <v>35</v>
      </c>
      <c r="B44" s="161">
        <f t="shared" si="0"/>
        <v>13320000</v>
      </c>
      <c r="C44" s="79" t="s">
        <v>36</v>
      </c>
      <c r="D44" s="79" t="s">
        <v>862</v>
      </c>
      <c r="E44" s="79" t="s">
        <v>37</v>
      </c>
      <c r="F44" s="79" t="s">
        <v>351</v>
      </c>
      <c r="G44" s="1936" t="s">
        <v>38</v>
      </c>
      <c r="H44" s="1943" t="s">
        <v>1384</v>
      </c>
      <c r="I44" s="230">
        <v>63</v>
      </c>
      <c r="J44" s="160">
        <v>0</v>
      </c>
      <c r="K44" s="486"/>
      <c r="L44" s="1682">
        <v>171</v>
      </c>
      <c r="M44" s="1592">
        <v>13320000</v>
      </c>
      <c r="N44" s="1682">
        <v>184</v>
      </c>
      <c r="O44" s="1703">
        <v>13320000</v>
      </c>
      <c r="P44" s="236">
        <v>150</v>
      </c>
      <c r="Q44" s="467"/>
      <c r="R44" s="166"/>
      <c r="S44" s="166">
        <v>4440000</v>
      </c>
      <c r="T44" s="166">
        <f>VLOOKUP(N44,[4]Hoja2!N$66:T$128,7,0)</f>
        <v>4440000</v>
      </c>
      <c r="U44" s="166">
        <v>4440000</v>
      </c>
      <c r="V44" s="166"/>
      <c r="W44" s="166"/>
      <c r="X44" s="166"/>
      <c r="Y44" s="166"/>
      <c r="Z44" s="467"/>
      <c r="AA44" s="467"/>
      <c r="AB44" s="467"/>
      <c r="AC44" s="468">
        <f t="shared" si="1"/>
        <v>13320000</v>
      </c>
      <c r="AD44" s="743">
        <f t="shared" si="2"/>
        <v>0</v>
      </c>
      <c r="AE44" s="1506"/>
      <c r="AF44" s="943">
        <v>63</v>
      </c>
      <c r="AG44" s="279" t="s">
        <v>333</v>
      </c>
      <c r="AH44" s="279" t="str">
        <f>VLOOKUP(N44,[5]Hoja2!J$141:N$168,5,0)</f>
        <v>JUAN FELIPE ESPINOSA DE LOS MONTEROS</v>
      </c>
      <c r="AI44" s="517">
        <f t="shared" si="3"/>
        <v>150</v>
      </c>
      <c r="AJ44" s="316">
        <v>13320000</v>
      </c>
      <c r="AK44" s="926">
        <f t="shared" si="5"/>
        <v>0</v>
      </c>
      <c r="AL44" s="973"/>
      <c r="AM44" s="314">
        <f t="shared" si="4"/>
        <v>0</v>
      </c>
    </row>
    <row r="45" spans="1:39" s="8" customFormat="1">
      <c r="A45" s="82" t="s">
        <v>35</v>
      </c>
      <c r="B45" s="161">
        <f t="shared" si="0"/>
        <v>12060000</v>
      </c>
      <c r="C45" s="79" t="s">
        <v>36</v>
      </c>
      <c r="D45" s="79" t="s">
        <v>862</v>
      </c>
      <c r="E45" s="79" t="s">
        <v>37</v>
      </c>
      <c r="F45" s="79" t="s">
        <v>351</v>
      </c>
      <c r="G45" s="1936" t="s">
        <v>38</v>
      </c>
      <c r="H45" s="1943" t="s">
        <v>1384</v>
      </c>
      <c r="I45" s="230">
        <v>66</v>
      </c>
      <c r="J45" s="160">
        <v>0</v>
      </c>
      <c r="K45" s="486"/>
      <c r="L45" s="1682">
        <v>229</v>
      </c>
      <c r="M45" s="1592">
        <v>12060000</v>
      </c>
      <c r="N45" s="1682">
        <v>231</v>
      </c>
      <c r="O45" s="1703">
        <f>VLOOKUP(N45,[6]RP!J$194:V$247,13,0)</f>
        <v>12060000</v>
      </c>
      <c r="P45" s="236">
        <v>179</v>
      </c>
      <c r="Q45" s="467"/>
      <c r="R45" s="467"/>
      <c r="S45" s="166">
        <v>3350000</v>
      </c>
      <c r="T45" s="166">
        <f>VLOOKUP(N45,[4]Hoja2!N$66:T$128,7,0)</f>
        <v>4020000</v>
      </c>
      <c r="U45" s="166">
        <v>4020000</v>
      </c>
      <c r="V45" s="166">
        <v>670000</v>
      </c>
      <c r="W45" s="166"/>
      <c r="X45" s="166"/>
      <c r="Y45" s="166"/>
      <c r="Z45" s="467"/>
      <c r="AA45" s="467"/>
      <c r="AB45" s="467"/>
      <c r="AC45" s="468">
        <f t="shared" si="1"/>
        <v>12060000</v>
      </c>
      <c r="AD45" s="743">
        <f t="shared" si="2"/>
        <v>0</v>
      </c>
      <c r="AE45" s="1506"/>
      <c r="AF45" s="943">
        <v>66</v>
      </c>
      <c r="AG45" s="279" t="s">
        <v>332</v>
      </c>
      <c r="AH45" s="279" t="s">
        <v>680</v>
      </c>
      <c r="AI45" s="517">
        <f t="shared" si="3"/>
        <v>179</v>
      </c>
      <c r="AJ45" s="316">
        <v>12060000</v>
      </c>
      <c r="AK45" s="926">
        <f t="shared" si="5"/>
        <v>0</v>
      </c>
      <c r="AL45" s="973"/>
      <c r="AM45" s="314">
        <f t="shared" si="4"/>
        <v>0</v>
      </c>
    </row>
    <row r="46" spans="1:39" s="8" customFormat="1">
      <c r="A46" s="82" t="s">
        <v>35</v>
      </c>
      <c r="B46" s="161">
        <f t="shared" si="0"/>
        <v>28002221</v>
      </c>
      <c r="C46" s="79" t="s">
        <v>36</v>
      </c>
      <c r="D46" s="79" t="s">
        <v>862</v>
      </c>
      <c r="E46" s="79" t="s">
        <v>37</v>
      </c>
      <c r="F46" s="79" t="s">
        <v>351</v>
      </c>
      <c r="G46" s="1936" t="s">
        <v>38</v>
      </c>
      <c r="H46" s="1943" t="s">
        <v>1384</v>
      </c>
      <c r="I46" s="230">
        <v>70</v>
      </c>
      <c r="J46" s="160">
        <v>0</v>
      </c>
      <c r="K46" s="486"/>
      <c r="L46" s="1682">
        <v>464</v>
      </c>
      <c r="M46" s="1592">
        <f>39470810-11468589</f>
        <v>28002221</v>
      </c>
      <c r="N46" s="1682">
        <v>732</v>
      </c>
      <c r="O46" s="1704">
        <v>28002221</v>
      </c>
      <c r="P46" s="236">
        <v>427</v>
      </c>
      <c r="Q46" s="467"/>
      <c r="R46" s="467"/>
      <c r="S46" s="166"/>
      <c r="T46" s="166"/>
      <c r="U46" s="166"/>
      <c r="V46" s="166"/>
      <c r="W46" s="166"/>
      <c r="X46" s="166"/>
      <c r="Y46" s="166">
        <v>28002221</v>
      </c>
      <c r="Z46" s="467"/>
      <c r="AA46" s="467"/>
      <c r="AB46" s="467"/>
      <c r="AC46" s="468">
        <f t="shared" si="1"/>
        <v>28002221</v>
      </c>
      <c r="AD46" s="743">
        <f t="shared" si="2"/>
        <v>0</v>
      </c>
      <c r="AE46" s="1506"/>
      <c r="AF46" s="943">
        <v>70</v>
      </c>
      <c r="AG46" s="279" t="s">
        <v>334</v>
      </c>
      <c r="AH46" s="279" t="s">
        <v>1246</v>
      </c>
      <c r="AI46" s="517">
        <f t="shared" si="3"/>
        <v>427</v>
      </c>
      <c r="AJ46" s="316">
        <f>40000000-529190</f>
        <v>39470810</v>
      </c>
      <c r="AK46" s="926">
        <f t="shared" si="5"/>
        <v>11468589</v>
      </c>
      <c r="AL46" s="973"/>
      <c r="AM46" s="314">
        <f t="shared" si="4"/>
        <v>11468589</v>
      </c>
    </row>
    <row r="47" spans="1:39" s="8" customFormat="1">
      <c r="A47" s="82" t="s">
        <v>35</v>
      </c>
      <c r="B47" s="161">
        <f t="shared" si="0"/>
        <v>19860000</v>
      </c>
      <c r="C47" s="79" t="s">
        <v>36</v>
      </c>
      <c r="D47" s="79" t="s">
        <v>862</v>
      </c>
      <c r="E47" s="79" t="s">
        <v>37</v>
      </c>
      <c r="F47" s="79" t="s">
        <v>351</v>
      </c>
      <c r="G47" s="1936" t="s">
        <v>38</v>
      </c>
      <c r="H47" s="1943" t="s">
        <v>1384</v>
      </c>
      <c r="I47" s="230">
        <v>74</v>
      </c>
      <c r="J47" s="160">
        <v>0</v>
      </c>
      <c r="K47" s="486"/>
      <c r="L47" s="1682">
        <v>248</v>
      </c>
      <c r="M47" s="1592">
        <v>19860000</v>
      </c>
      <c r="N47" s="1682">
        <v>243</v>
      </c>
      <c r="O47" s="1703">
        <f>VLOOKUP(N47,[6]RP!J$194:V$247,13,0)</f>
        <v>19860000</v>
      </c>
      <c r="P47" s="236">
        <v>228</v>
      </c>
      <c r="Q47" s="467"/>
      <c r="R47" s="467"/>
      <c r="S47" s="166">
        <v>5516667</v>
      </c>
      <c r="T47" s="166">
        <f>VLOOKUP(N47,[4]Hoja2!N$66:T$128,7,0)</f>
        <v>6620000</v>
      </c>
      <c r="U47" s="166">
        <v>6620000</v>
      </c>
      <c r="V47" s="166">
        <v>1103333</v>
      </c>
      <c r="W47" s="166"/>
      <c r="X47" s="166"/>
      <c r="Y47" s="166"/>
      <c r="Z47" s="467"/>
      <c r="AA47" s="467"/>
      <c r="AB47" s="467"/>
      <c r="AC47" s="468">
        <f t="shared" si="1"/>
        <v>19860000</v>
      </c>
      <c r="AD47" s="743">
        <f t="shared" si="2"/>
        <v>0</v>
      </c>
      <c r="AE47" s="1506"/>
      <c r="AF47" s="943">
        <v>74</v>
      </c>
      <c r="AG47" s="279" t="s">
        <v>335</v>
      </c>
      <c r="AH47" s="279" t="s">
        <v>679</v>
      </c>
      <c r="AI47" s="517">
        <f t="shared" si="3"/>
        <v>228</v>
      </c>
      <c r="AJ47" s="316">
        <f>72820000-52960000</f>
        <v>19860000</v>
      </c>
      <c r="AK47" s="926">
        <f t="shared" si="5"/>
        <v>0</v>
      </c>
      <c r="AL47" s="973"/>
      <c r="AM47" s="314">
        <f t="shared" si="4"/>
        <v>0</v>
      </c>
    </row>
    <row r="48" spans="1:39" s="8" customFormat="1">
      <c r="A48" s="82" t="s">
        <v>35</v>
      </c>
      <c r="B48" s="161">
        <f t="shared" si="0"/>
        <v>16380000</v>
      </c>
      <c r="C48" s="79" t="s">
        <v>36</v>
      </c>
      <c r="D48" s="79" t="s">
        <v>862</v>
      </c>
      <c r="E48" s="79" t="s">
        <v>37</v>
      </c>
      <c r="F48" s="79" t="s">
        <v>351</v>
      </c>
      <c r="G48" s="1936" t="s">
        <v>38</v>
      </c>
      <c r="H48" s="1943" t="s">
        <v>1384</v>
      </c>
      <c r="I48" s="230">
        <v>75</v>
      </c>
      <c r="J48" s="160">
        <v>0</v>
      </c>
      <c r="K48" s="486"/>
      <c r="L48" s="1682">
        <v>249</v>
      </c>
      <c r="M48" s="1592">
        <v>16380000</v>
      </c>
      <c r="N48" s="1682">
        <v>239</v>
      </c>
      <c r="O48" s="1703">
        <f>VLOOKUP(N48,[6]RP!J$194:V$247,13,0)</f>
        <v>16380000</v>
      </c>
      <c r="P48" s="236">
        <v>214</v>
      </c>
      <c r="Q48" s="467"/>
      <c r="R48" s="467"/>
      <c r="S48" s="166">
        <v>4550000</v>
      </c>
      <c r="T48" s="166">
        <f>VLOOKUP(N48,[4]Hoja2!N$66:T$128,7,0)</f>
        <v>5460000</v>
      </c>
      <c r="U48" s="166">
        <v>5460000</v>
      </c>
      <c r="V48" s="166">
        <v>910000</v>
      </c>
      <c r="W48" s="166"/>
      <c r="X48" s="166"/>
      <c r="Y48" s="166"/>
      <c r="Z48" s="467"/>
      <c r="AA48" s="467"/>
      <c r="AB48" s="467"/>
      <c r="AC48" s="468">
        <f t="shared" si="1"/>
        <v>16380000</v>
      </c>
      <c r="AD48" s="743">
        <f t="shared" si="2"/>
        <v>0</v>
      </c>
      <c r="AE48" s="1506"/>
      <c r="AF48" s="943">
        <v>75</v>
      </c>
      <c r="AG48" s="279" t="s">
        <v>336</v>
      </c>
      <c r="AH48" s="279" t="s">
        <v>678</v>
      </c>
      <c r="AI48" s="517">
        <f t="shared" si="3"/>
        <v>214</v>
      </c>
      <c r="AJ48" s="316">
        <f>60060000-43680000</f>
        <v>16380000</v>
      </c>
      <c r="AK48" s="926">
        <f t="shared" si="5"/>
        <v>0</v>
      </c>
      <c r="AL48" s="973"/>
      <c r="AM48" s="314">
        <f t="shared" si="4"/>
        <v>0</v>
      </c>
    </row>
    <row r="49" spans="1:39" s="8" customFormat="1">
      <c r="A49" s="82" t="s">
        <v>35</v>
      </c>
      <c r="B49" s="161">
        <f t="shared" si="0"/>
        <v>0</v>
      </c>
      <c r="C49" s="79" t="s">
        <v>36</v>
      </c>
      <c r="D49" s="79" t="s">
        <v>862</v>
      </c>
      <c r="E49" s="79" t="s">
        <v>37</v>
      </c>
      <c r="F49" s="79" t="s">
        <v>351</v>
      </c>
      <c r="G49" s="1936" t="s">
        <v>38</v>
      </c>
      <c r="H49" s="1943" t="s">
        <v>1384</v>
      </c>
      <c r="I49" s="230">
        <v>76</v>
      </c>
      <c r="J49" s="160">
        <v>0</v>
      </c>
      <c r="K49" s="486"/>
      <c r="L49" s="1682"/>
      <c r="M49" s="1592"/>
      <c r="N49" s="1682"/>
      <c r="O49" s="1704"/>
      <c r="P49" s="236"/>
      <c r="Q49" s="467"/>
      <c r="R49" s="467"/>
      <c r="S49" s="166"/>
      <c r="T49" s="166"/>
      <c r="U49" s="166"/>
      <c r="V49" s="166"/>
      <c r="W49" s="166"/>
      <c r="X49" s="166"/>
      <c r="Y49" s="166"/>
      <c r="Z49" s="467"/>
      <c r="AA49" s="467"/>
      <c r="AB49" s="467"/>
      <c r="AC49" s="468">
        <f t="shared" si="1"/>
        <v>0</v>
      </c>
      <c r="AD49" s="743">
        <f t="shared" si="2"/>
        <v>0</v>
      </c>
      <c r="AE49" s="1506"/>
      <c r="AF49" s="943">
        <v>76</v>
      </c>
      <c r="AG49" s="279" t="s">
        <v>332</v>
      </c>
      <c r="AH49" s="279" t="s">
        <v>178</v>
      </c>
      <c r="AI49" s="517">
        <f t="shared" si="3"/>
        <v>0</v>
      </c>
      <c r="AJ49" s="316">
        <f>6420000-6420000</f>
        <v>0</v>
      </c>
      <c r="AK49" s="926">
        <f t="shared" si="5"/>
        <v>0</v>
      </c>
      <c r="AL49" s="973"/>
      <c r="AM49" s="314">
        <f t="shared" si="4"/>
        <v>0</v>
      </c>
    </row>
    <row r="50" spans="1:39" s="8" customFormat="1">
      <c r="A50" s="82" t="s">
        <v>35</v>
      </c>
      <c r="B50" s="161">
        <f t="shared" si="0"/>
        <v>16080000</v>
      </c>
      <c r="C50" s="79" t="s">
        <v>36</v>
      </c>
      <c r="D50" s="79" t="s">
        <v>862</v>
      </c>
      <c r="E50" s="79" t="s">
        <v>37</v>
      </c>
      <c r="F50" s="79" t="s">
        <v>351</v>
      </c>
      <c r="G50" s="1936" t="s">
        <v>38</v>
      </c>
      <c r="H50" s="1943" t="s">
        <v>1384</v>
      </c>
      <c r="I50" s="230">
        <v>78</v>
      </c>
      <c r="J50" s="160">
        <v>0</v>
      </c>
      <c r="K50" s="486"/>
      <c r="L50" s="1682">
        <v>179</v>
      </c>
      <c r="M50" s="1592">
        <v>16080000</v>
      </c>
      <c r="N50" s="1682">
        <v>229</v>
      </c>
      <c r="O50" s="1703">
        <f>VLOOKUP(N50,[6]RP!J$194:V$247,13,0)</f>
        <v>16080000</v>
      </c>
      <c r="P50" s="236">
        <v>174</v>
      </c>
      <c r="Q50" s="467"/>
      <c r="R50" s="467"/>
      <c r="S50" s="166">
        <v>4466667</v>
      </c>
      <c r="T50" s="166">
        <f>VLOOKUP(N50,[4]Hoja2!N$66:T$128,7,0)</f>
        <v>5360000</v>
      </c>
      <c r="U50" s="166">
        <v>5360000</v>
      </c>
      <c r="V50" s="166">
        <v>893333</v>
      </c>
      <c r="W50" s="166"/>
      <c r="X50" s="166"/>
      <c r="Y50" s="166"/>
      <c r="Z50" s="467"/>
      <c r="AA50" s="467"/>
      <c r="AB50" s="467"/>
      <c r="AC50" s="468">
        <f t="shared" si="1"/>
        <v>16080000</v>
      </c>
      <c r="AD50" s="743">
        <f t="shared" si="2"/>
        <v>0</v>
      </c>
      <c r="AE50" s="1506"/>
      <c r="AF50" s="943">
        <v>78</v>
      </c>
      <c r="AG50" s="279" t="s">
        <v>337</v>
      </c>
      <c r="AH50" s="279" t="s">
        <v>677</v>
      </c>
      <c r="AI50" s="517">
        <f t="shared" si="3"/>
        <v>174</v>
      </c>
      <c r="AJ50" s="316">
        <v>16080000</v>
      </c>
      <c r="AK50" s="926">
        <f t="shared" si="5"/>
        <v>0</v>
      </c>
      <c r="AL50" s="973"/>
      <c r="AM50" s="314">
        <f t="shared" si="4"/>
        <v>0</v>
      </c>
    </row>
    <row r="51" spans="1:39" s="8" customFormat="1">
      <c r="A51" s="82" t="s">
        <v>35</v>
      </c>
      <c r="B51" s="161">
        <f t="shared" si="0"/>
        <v>0</v>
      </c>
      <c r="C51" s="79" t="s">
        <v>36</v>
      </c>
      <c r="D51" s="79" t="s">
        <v>862</v>
      </c>
      <c r="E51" s="79" t="s">
        <v>37</v>
      </c>
      <c r="F51" s="79" t="s">
        <v>351</v>
      </c>
      <c r="G51" s="1936" t="s">
        <v>38</v>
      </c>
      <c r="H51" s="1943" t="s">
        <v>1384</v>
      </c>
      <c r="I51" s="230">
        <v>79</v>
      </c>
      <c r="J51" s="160">
        <v>0</v>
      </c>
      <c r="K51" s="486"/>
      <c r="L51" s="1682"/>
      <c r="M51" s="1592"/>
      <c r="N51" s="1682"/>
      <c r="O51" s="1704"/>
      <c r="P51" s="236"/>
      <c r="Q51" s="467"/>
      <c r="R51" s="467"/>
      <c r="S51" s="166"/>
      <c r="T51" s="166"/>
      <c r="U51" s="166"/>
      <c r="V51" s="166"/>
      <c r="W51" s="166"/>
      <c r="X51" s="166"/>
      <c r="Y51" s="166"/>
      <c r="Z51" s="467"/>
      <c r="AA51" s="467"/>
      <c r="AB51" s="467"/>
      <c r="AC51" s="468">
        <f t="shared" si="1"/>
        <v>0</v>
      </c>
      <c r="AD51" s="743">
        <f t="shared" si="2"/>
        <v>0</v>
      </c>
      <c r="AE51" s="1506"/>
      <c r="AF51" s="943">
        <v>79</v>
      </c>
      <c r="AG51" s="279" t="s">
        <v>338</v>
      </c>
      <c r="AH51" s="279" t="s">
        <v>178</v>
      </c>
      <c r="AI51" s="517">
        <f t="shared" si="3"/>
        <v>0</v>
      </c>
      <c r="AJ51" s="316">
        <f>7000000-2810000-4190000</f>
        <v>0</v>
      </c>
      <c r="AK51" s="926">
        <f t="shared" si="5"/>
        <v>0</v>
      </c>
      <c r="AL51" s="973"/>
      <c r="AM51" s="314">
        <f t="shared" si="4"/>
        <v>0</v>
      </c>
    </row>
    <row r="52" spans="1:39" s="8" customFormat="1">
      <c r="A52" s="82" t="s">
        <v>35</v>
      </c>
      <c r="B52" s="161">
        <f t="shared" si="0"/>
        <v>17880000</v>
      </c>
      <c r="C52" s="79" t="s">
        <v>36</v>
      </c>
      <c r="D52" s="79" t="s">
        <v>862</v>
      </c>
      <c r="E52" s="79" t="s">
        <v>37</v>
      </c>
      <c r="F52" s="79" t="s">
        <v>351</v>
      </c>
      <c r="G52" s="1936" t="s">
        <v>38</v>
      </c>
      <c r="H52" s="1943" t="s">
        <v>1384</v>
      </c>
      <c r="I52" s="230">
        <v>80</v>
      </c>
      <c r="J52" s="160">
        <v>0</v>
      </c>
      <c r="K52" s="486"/>
      <c r="L52" s="1682">
        <v>89</v>
      </c>
      <c r="M52" s="1592">
        <v>17880000</v>
      </c>
      <c r="N52" s="1682">
        <v>111</v>
      </c>
      <c r="O52" s="1703">
        <v>17880000</v>
      </c>
      <c r="P52" s="236">
        <v>84</v>
      </c>
      <c r="Q52" s="467"/>
      <c r="R52" s="166">
        <v>1192000</v>
      </c>
      <c r="S52" s="166">
        <v>5960000</v>
      </c>
      <c r="T52" s="166">
        <f>VLOOKUP(N52,[4]Hoja2!N$66:T$128,7,0)</f>
        <v>5960000</v>
      </c>
      <c r="U52" s="467">
        <v>4768000</v>
      </c>
      <c r="V52" s="166"/>
      <c r="W52" s="166"/>
      <c r="X52" s="166"/>
      <c r="Y52" s="166"/>
      <c r="Z52" s="467"/>
      <c r="AA52" s="467"/>
      <c r="AB52" s="467"/>
      <c r="AC52" s="468">
        <f t="shared" si="1"/>
        <v>17880000</v>
      </c>
      <c r="AD52" s="743">
        <f t="shared" si="2"/>
        <v>0</v>
      </c>
      <c r="AE52" s="1506"/>
      <c r="AF52" s="943">
        <v>80</v>
      </c>
      <c r="AG52" s="279" t="s">
        <v>339</v>
      </c>
      <c r="AH52" s="279" t="s">
        <v>675</v>
      </c>
      <c r="AI52" s="517">
        <f t="shared" si="3"/>
        <v>84</v>
      </c>
      <c r="AJ52" s="316">
        <f>65560000-47680000</f>
        <v>17880000</v>
      </c>
      <c r="AK52" s="926">
        <f t="shared" si="5"/>
        <v>0</v>
      </c>
      <c r="AL52" s="973"/>
      <c r="AM52" s="314">
        <f t="shared" si="4"/>
        <v>0</v>
      </c>
    </row>
    <row r="53" spans="1:39" s="8" customFormat="1">
      <c r="A53" s="82" t="s">
        <v>35</v>
      </c>
      <c r="B53" s="161">
        <f t="shared" si="0"/>
        <v>7500000</v>
      </c>
      <c r="C53" s="79" t="s">
        <v>36</v>
      </c>
      <c r="D53" s="79" t="s">
        <v>862</v>
      </c>
      <c r="E53" s="79" t="s">
        <v>37</v>
      </c>
      <c r="F53" s="79" t="s">
        <v>351</v>
      </c>
      <c r="G53" s="1936" t="s">
        <v>38</v>
      </c>
      <c r="H53" s="1943" t="s">
        <v>1384</v>
      </c>
      <c r="I53" s="230">
        <v>81</v>
      </c>
      <c r="J53" s="160">
        <v>0</v>
      </c>
      <c r="K53" s="486"/>
      <c r="L53" s="1682">
        <v>180</v>
      </c>
      <c r="M53" s="1592">
        <v>7500000</v>
      </c>
      <c r="N53" s="1682">
        <v>179</v>
      </c>
      <c r="O53" s="1703">
        <v>7500000</v>
      </c>
      <c r="P53" s="236">
        <v>156</v>
      </c>
      <c r="Q53" s="467"/>
      <c r="R53" s="166"/>
      <c r="S53" s="166">
        <v>2583333</v>
      </c>
      <c r="T53" s="166">
        <f>VLOOKUP(N53,[4]Hoja2!N$66:T$128,7,0)</f>
        <v>2500000</v>
      </c>
      <c r="U53" s="467">
        <v>2416667</v>
      </c>
      <c r="V53" s="166"/>
      <c r="W53" s="166"/>
      <c r="X53" s="166"/>
      <c r="Y53" s="166"/>
      <c r="Z53" s="467"/>
      <c r="AA53" s="467"/>
      <c r="AB53" s="467"/>
      <c r="AC53" s="468">
        <f t="shared" si="1"/>
        <v>7500000</v>
      </c>
      <c r="AD53" s="743">
        <f t="shared" si="2"/>
        <v>0</v>
      </c>
      <c r="AE53" s="1506"/>
      <c r="AF53" s="943">
        <v>81</v>
      </c>
      <c r="AG53" s="279" t="s">
        <v>340</v>
      </c>
      <c r="AH53" s="279" t="s">
        <v>676</v>
      </c>
      <c r="AI53" s="517">
        <f t="shared" si="3"/>
        <v>156</v>
      </c>
      <c r="AJ53" s="316">
        <f>27500000-20000000</f>
        <v>7500000</v>
      </c>
      <c r="AK53" s="926">
        <f t="shared" si="5"/>
        <v>0</v>
      </c>
      <c r="AL53" s="973"/>
      <c r="AM53" s="314">
        <f t="shared" si="4"/>
        <v>0</v>
      </c>
    </row>
    <row r="54" spans="1:39" s="8" customFormat="1">
      <c r="A54" s="82" t="s">
        <v>35</v>
      </c>
      <c r="B54" s="161">
        <f t="shared" si="0"/>
        <v>11460000</v>
      </c>
      <c r="C54" s="79" t="s">
        <v>36</v>
      </c>
      <c r="D54" s="79" t="s">
        <v>862</v>
      </c>
      <c r="E54" s="79" t="s">
        <v>37</v>
      </c>
      <c r="F54" s="79" t="s">
        <v>351</v>
      </c>
      <c r="G54" s="1936" t="s">
        <v>38</v>
      </c>
      <c r="H54" s="1943" t="s">
        <v>1384</v>
      </c>
      <c r="I54" s="230">
        <v>82</v>
      </c>
      <c r="J54" s="160">
        <v>0</v>
      </c>
      <c r="K54" s="486"/>
      <c r="L54" s="1682">
        <v>244</v>
      </c>
      <c r="M54" s="1592">
        <v>11460000</v>
      </c>
      <c r="N54" s="1682">
        <v>270</v>
      </c>
      <c r="O54" s="1703">
        <f>VLOOKUP(N54,[6]RP!J$194:V$247,13,0)</f>
        <v>11460000</v>
      </c>
      <c r="P54" s="236">
        <v>229</v>
      </c>
      <c r="Q54" s="467"/>
      <c r="R54" s="467"/>
      <c r="S54" s="166">
        <v>2546667</v>
      </c>
      <c r="T54" s="166">
        <f>VLOOKUP(N54,[4]Hoja2!N$66:T$128,7,0)</f>
        <v>3820000</v>
      </c>
      <c r="U54" s="467">
        <v>3820000</v>
      </c>
      <c r="V54" s="166">
        <v>1273333</v>
      </c>
      <c r="W54" s="166"/>
      <c r="X54" s="166"/>
      <c r="Y54" s="166"/>
      <c r="Z54" s="467"/>
      <c r="AA54" s="467"/>
      <c r="AB54" s="467"/>
      <c r="AC54" s="468">
        <f t="shared" si="1"/>
        <v>11460000</v>
      </c>
      <c r="AD54" s="743">
        <f t="shared" si="2"/>
        <v>0</v>
      </c>
      <c r="AE54" s="1506"/>
      <c r="AF54" s="943">
        <v>82</v>
      </c>
      <c r="AG54" s="279" t="s">
        <v>341</v>
      </c>
      <c r="AH54" s="279" t="s">
        <v>674</v>
      </c>
      <c r="AI54" s="517">
        <f t="shared" si="3"/>
        <v>229</v>
      </c>
      <c r="AJ54" s="316">
        <f>42020000-30560000</f>
        <v>11460000</v>
      </c>
      <c r="AK54" s="926">
        <f t="shared" si="5"/>
        <v>0</v>
      </c>
      <c r="AL54" s="973"/>
      <c r="AM54" s="314">
        <f t="shared" si="4"/>
        <v>0</v>
      </c>
    </row>
    <row r="55" spans="1:39" s="8" customFormat="1">
      <c r="A55" s="82" t="s">
        <v>35</v>
      </c>
      <c r="B55" s="161">
        <f>M93</f>
        <v>0</v>
      </c>
      <c r="C55" s="79" t="s">
        <v>36</v>
      </c>
      <c r="D55" s="79" t="s">
        <v>862</v>
      </c>
      <c r="E55" s="79" t="s">
        <v>37</v>
      </c>
      <c r="F55" s="79" t="s">
        <v>351</v>
      </c>
      <c r="G55" s="1936" t="s">
        <v>38</v>
      </c>
      <c r="H55" s="1943" t="s">
        <v>1384</v>
      </c>
      <c r="I55" s="1940" t="s">
        <v>178</v>
      </c>
      <c r="L55" s="832"/>
      <c r="M55" s="832"/>
      <c r="N55" s="1682"/>
      <c r="O55" s="1704"/>
      <c r="P55" s="236"/>
      <c r="Q55" s="467"/>
      <c r="R55" s="467"/>
      <c r="S55" s="166"/>
      <c r="T55" s="166"/>
      <c r="U55" s="166"/>
      <c r="V55" s="166"/>
      <c r="W55" s="166"/>
      <c r="X55" s="166"/>
      <c r="Y55" s="166"/>
      <c r="Z55" s="467"/>
      <c r="AA55" s="467"/>
      <c r="AB55" s="467"/>
      <c r="AC55" s="468">
        <f t="shared" si="1"/>
        <v>0</v>
      </c>
      <c r="AD55" s="743">
        <f t="shared" si="2"/>
        <v>0</v>
      </c>
      <c r="AE55" s="1506"/>
      <c r="AF55" s="943">
        <v>84</v>
      </c>
      <c r="AG55" s="279" t="s">
        <v>342</v>
      </c>
      <c r="AH55" s="279" t="s">
        <v>178</v>
      </c>
      <c r="AI55" s="517">
        <f t="shared" si="3"/>
        <v>0</v>
      </c>
      <c r="AJ55" s="316">
        <f>2000000000-200000000-67500000-150000000-38000000-200000000-28000000-214150000-12500000</f>
        <v>1089850000</v>
      </c>
      <c r="AK55" s="926">
        <f t="shared" si="5"/>
        <v>1089850000</v>
      </c>
      <c r="AL55" s="973"/>
      <c r="AM55" s="314">
        <f t="shared" si="4"/>
        <v>1089850000</v>
      </c>
    </row>
    <row r="56" spans="1:39" s="8" customFormat="1">
      <c r="A56" s="82" t="s">
        <v>35</v>
      </c>
      <c r="B56" s="161">
        <f t="shared" si="0"/>
        <v>14470714</v>
      </c>
      <c r="C56" s="79" t="s">
        <v>36</v>
      </c>
      <c r="D56" s="79" t="s">
        <v>862</v>
      </c>
      <c r="E56" s="79" t="s">
        <v>37</v>
      </c>
      <c r="F56" s="79" t="s">
        <v>351</v>
      </c>
      <c r="G56" s="1936" t="s">
        <v>38</v>
      </c>
      <c r="H56" s="1943" t="s">
        <v>1384</v>
      </c>
      <c r="I56" s="230">
        <v>89</v>
      </c>
      <c r="J56" s="160">
        <v>0</v>
      </c>
      <c r="K56" s="486"/>
      <c r="L56" s="1682">
        <v>294</v>
      </c>
      <c r="M56" s="1592">
        <f>17698331-3227617</f>
        <v>14470714</v>
      </c>
      <c r="N56" s="1682">
        <v>355</v>
      </c>
      <c r="O56" s="1704">
        <v>14470714</v>
      </c>
      <c r="P56" s="236">
        <v>286</v>
      </c>
      <c r="Q56" s="467"/>
      <c r="R56" s="467"/>
      <c r="S56" s="166"/>
      <c r="T56" s="166"/>
      <c r="U56" s="166"/>
      <c r="V56" s="166"/>
      <c r="W56" s="166"/>
      <c r="X56" s="166"/>
      <c r="Y56" s="166"/>
      <c r="Z56" s="467"/>
      <c r="AA56" s="467"/>
      <c r="AB56" s="467"/>
      <c r="AC56" s="468">
        <f t="shared" si="1"/>
        <v>0</v>
      </c>
      <c r="AD56" s="743">
        <f t="shared" si="2"/>
        <v>14470714</v>
      </c>
      <c r="AE56" s="1506"/>
      <c r="AF56" s="943">
        <v>89</v>
      </c>
      <c r="AG56" s="279" t="s">
        <v>343</v>
      </c>
      <c r="AH56" s="279" t="s">
        <v>823</v>
      </c>
      <c r="AI56" s="517">
        <f t="shared" si="3"/>
        <v>286</v>
      </c>
      <c r="AJ56" s="316">
        <f>25000000-10529286</f>
        <v>14470714</v>
      </c>
      <c r="AK56" s="926">
        <f t="shared" si="5"/>
        <v>0</v>
      </c>
      <c r="AL56" s="973"/>
      <c r="AM56" s="314">
        <f t="shared" si="4"/>
        <v>0</v>
      </c>
    </row>
    <row r="57" spans="1:39" s="8" customFormat="1">
      <c r="A57" s="82" t="s">
        <v>35</v>
      </c>
      <c r="B57" s="161">
        <f t="shared" si="0"/>
        <v>5788286</v>
      </c>
      <c r="C57" s="79" t="s">
        <v>36</v>
      </c>
      <c r="D57" s="79" t="s">
        <v>862</v>
      </c>
      <c r="E57" s="79" t="s">
        <v>37</v>
      </c>
      <c r="F57" s="79" t="s">
        <v>351</v>
      </c>
      <c r="G57" s="1936" t="s">
        <v>38</v>
      </c>
      <c r="H57" s="1943" t="s">
        <v>1384</v>
      </c>
      <c r="I57" s="230">
        <v>101</v>
      </c>
      <c r="J57" s="160">
        <v>0</v>
      </c>
      <c r="K57" s="486"/>
      <c r="L57" s="1682">
        <v>293</v>
      </c>
      <c r="M57" s="1592">
        <f>7079333-1291047</f>
        <v>5788286</v>
      </c>
      <c r="N57" s="1682">
        <v>354</v>
      </c>
      <c r="O57" s="1704">
        <v>5788286</v>
      </c>
      <c r="P57" s="236">
        <v>286</v>
      </c>
      <c r="Q57" s="467"/>
      <c r="R57" s="467"/>
      <c r="S57" s="166"/>
      <c r="T57" s="166"/>
      <c r="U57" s="166"/>
      <c r="V57" s="166"/>
      <c r="W57" s="166"/>
      <c r="X57" s="166"/>
      <c r="Y57" s="166"/>
      <c r="Z57" s="467"/>
      <c r="AA57" s="467"/>
      <c r="AB57" s="467"/>
      <c r="AC57" s="468">
        <f t="shared" si="1"/>
        <v>0</v>
      </c>
      <c r="AD57" s="743">
        <f t="shared" si="2"/>
        <v>5788286</v>
      </c>
      <c r="AE57" s="1506"/>
      <c r="AF57" s="943">
        <v>101</v>
      </c>
      <c r="AG57" s="279" t="s">
        <v>343</v>
      </c>
      <c r="AH57" s="279" t="s">
        <v>823</v>
      </c>
      <c r="AI57" s="517">
        <f>P57</f>
        <v>286</v>
      </c>
      <c r="AJ57" s="316">
        <f>10000000-4211714</f>
        <v>5788286</v>
      </c>
      <c r="AK57" s="926">
        <f>AJ57-O57</f>
        <v>0</v>
      </c>
      <c r="AL57" s="973"/>
      <c r="AM57" s="314">
        <f t="shared" si="4"/>
        <v>0</v>
      </c>
    </row>
    <row r="58" spans="1:39" s="8" customFormat="1">
      <c r="A58" s="82" t="s">
        <v>35</v>
      </c>
      <c r="B58" s="161">
        <f t="shared" si="0"/>
        <v>8160000</v>
      </c>
      <c r="C58" s="79" t="s">
        <v>36</v>
      </c>
      <c r="D58" s="79" t="s">
        <v>862</v>
      </c>
      <c r="E58" s="79" t="s">
        <v>37</v>
      </c>
      <c r="F58" s="79" t="s">
        <v>351</v>
      </c>
      <c r="G58" s="1936" t="s">
        <v>38</v>
      </c>
      <c r="H58" s="1943" t="s">
        <v>1384</v>
      </c>
      <c r="I58" s="230">
        <v>95</v>
      </c>
      <c r="J58" s="160">
        <v>0</v>
      </c>
      <c r="K58" s="486"/>
      <c r="L58" s="1682">
        <v>160</v>
      </c>
      <c r="M58" s="1592">
        <v>8160000</v>
      </c>
      <c r="N58" s="1682">
        <v>189</v>
      </c>
      <c r="O58" s="1703">
        <v>8160000</v>
      </c>
      <c r="P58" s="236">
        <v>153</v>
      </c>
      <c r="Q58" s="467"/>
      <c r="R58" s="166"/>
      <c r="S58" s="166">
        <v>2720000</v>
      </c>
      <c r="T58" s="166">
        <f>VLOOKUP(N58,[4]Hoja2!N$66:T$128,7,0)</f>
        <v>2720000</v>
      </c>
      <c r="U58" s="166">
        <v>2720000</v>
      </c>
      <c r="V58" s="166"/>
      <c r="W58" s="166"/>
      <c r="X58" s="166"/>
      <c r="Y58" s="166"/>
      <c r="Z58" s="467"/>
      <c r="AA58" s="467"/>
      <c r="AB58" s="467"/>
      <c r="AC58" s="468">
        <f t="shared" si="1"/>
        <v>8160000</v>
      </c>
      <c r="AD58" s="743">
        <f t="shared" si="2"/>
        <v>0</v>
      </c>
      <c r="AE58" s="1506"/>
      <c r="AF58" s="943">
        <v>95</v>
      </c>
      <c r="AG58" s="279" t="s">
        <v>344</v>
      </c>
      <c r="AH58" s="279" t="str">
        <f>VLOOKUP(N58,[5]Hoja2!J$141:N$168,5,0)</f>
        <v>HECTOR CAMILO GOMEZ CAMARGO</v>
      </c>
      <c r="AI58" s="517">
        <f t="shared" si="3"/>
        <v>153</v>
      </c>
      <c r="AJ58" s="316">
        <f>22400000-14240000</f>
        <v>8160000</v>
      </c>
      <c r="AK58" s="926">
        <f t="shared" si="5"/>
        <v>0</v>
      </c>
      <c r="AL58" s="973"/>
      <c r="AM58" s="314">
        <f t="shared" si="4"/>
        <v>0</v>
      </c>
    </row>
    <row r="59" spans="1:39" s="8" customFormat="1">
      <c r="A59" s="82" t="s">
        <v>35</v>
      </c>
      <c r="B59" s="161">
        <f t="shared" si="0"/>
        <v>12000000</v>
      </c>
      <c r="C59" s="79" t="s">
        <v>36</v>
      </c>
      <c r="D59" s="79" t="s">
        <v>862</v>
      </c>
      <c r="E59" s="79" t="s">
        <v>37</v>
      </c>
      <c r="F59" s="79" t="s">
        <v>351</v>
      </c>
      <c r="G59" s="1936" t="s">
        <v>38</v>
      </c>
      <c r="H59" s="1943" t="s">
        <v>1384</v>
      </c>
      <c r="I59" s="230">
        <v>96</v>
      </c>
      <c r="J59" s="160">
        <v>0</v>
      </c>
      <c r="K59" s="486"/>
      <c r="L59" s="1682">
        <v>359</v>
      </c>
      <c r="M59" s="1592">
        <v>12000000</v>
      </c>
      <c r="N59" s="1682">
        <v>402</v>
      </c>
      <c r="O59" s="1704">
        <v>12000000</v>
      </c>
      <c r="P59" s="236">
        <v>306</v>
      </c>
      <c r="Q59" s="467"/>
      <c r="R59" s="467"/>
      <c r="S59" s="166"/>
      <c r="T59" s="166"/>
      <c r="U59" s="166"/>
      <c r="V59" s="166"/>
      <c r="W59" s="166"/>
      <c r="X59" s="166">
        <f>6600000+5400000</f>
        <v>12000000</v>
      </c>
      <c r="Y59" s="166"/>
      <c r="Z59" s="467"/>
      <c r="AA59" s="467"/>
      <c r="AB59" s="467"/>
      <c r="AC59" s="468">
        <f t="shared" si="1"/>
        <v>12000000</v>
      </c>
      <c r="AD59" s="743">
        <f t="shared" si="2"/>
        <v>0</v>
      </c>
      <c r="AE59" s="1506"/>
      <c r="AF59" s="943">
        <v>96</v>
      </c>
      <c r="AG59" s="279" t="s">
        <v>791</v>
      </c>
      <c r="AH59" s="279" t="s">
        <v>854</v>
      </c>
      <c r="AI59" s="517">
        <f t="shared" si="3"/>
        <v>306</v>
      </c>
      <c r="AJ59" s="316">
        <f>8000000+4000000</f>
        <v>12000000</v>
      </c>
      <c r="AK59" s="926">
        <f t="shared" si="5"/>
        <v>0</v>
      </c>
      <c r="AL59" s="973"/>
      <c r="AM59" s="314">
        <f t="shared" si="4"/>
        <v>0</v>
      </c>
    </row>
    <row r="60" spans="1:39" s="8" customFormat="1">
      <c r="A60" s="82" t="s">
        <v>35</v>
      </c>
      <c r="B60" s="161">
        <f t="shared" si="0"/>
        <v>17880000</v>
      </c>
      <c r="C60" s="79" t="s">
        <v>36</v>
      </c>
      <c r="D60" s="79" t="s">
        <v>862</v>
      </c>
      <c r="E60" s="79" t="s">
        <v>37</v>
      </c>
      <c r="F60" s="79" t="s">
        <v>351</v>
      </c>
      <c r="G60" s="1936" t="s">
        <v>38</v>
      </c>
      <c r="H60" s="1943" t="s">
        <v>1384</v>
      </c>
      <c r="I60" s="230">
        <v>97</v>
      </c>
      <c r="J60" s="160">
        <v>0</v>
      </c>
      <c r="K60" s="486"/>
      <c r="L60" s="1682">
        <v>173</v>
      </c>
      <c r="M60" s="1592">
        <v>17880000</v>
      </c>
      <c r="N60" s="1682">
        <v>170</v>
      </c>
      <c r="O60" s="1703">
        <v>17880000</v>
      </c>
      <c r="P60" s="236">
        <v>149</v>
      </c>
      <c r="Q60" s="467"/>
      <c r="R60" s="166"/>
      <c r="S60" s="166">
        <v>6158667</v>
      </c>
      <c r="T60" s="166">
        <f>VLOOKUP(N60,[4]Hoja2!N$66:T$128,7,0)</f>
        <v>5960000</v>
      </c>
      <c r="U60" s="166">
        <v>5761333</v>
      </c>
      <c r="V60" s="166"/>
      <c r="W60" s="166"/>
      <c r="X60" s="166"/>
      <c r="Y60" s="166"/>
      <c r="Z60" s="467"/>
      <c r="AA60" s="467"/>
      <c r="AB60" s="467"/>
      <c r="AC60" s="468">
        <f t="shared" si="1"/>
        <v>17880000</v>
      </c>
      <c r="AD60" s="743">
        <f t="shared" si="2"/>
        <v>0</v>
      </c>
      <c r="AE60" s="1506"/>
      <c r="AF60" s="943">
        <v>97</v>
      </c>
      <c r="AG60" s="279" t="s">
        <v>345</v>
      </c>
      <c r="AH60" s="279" t="str">
        <f>VLOOKUP(N60,[5]Hoja2!J$141:N$168,5,0)</f>
        <v>SANDRA ESTER MENDOZA LAFAURIE</v>
      </c>
      <c r="AI60" s="517">
        <f t="shared" si="3"/>
        <v>149</v>
      </c>
      <c r="AJ60" s="316">
        <v>17880000</v>
      </c>
      <c r="AK60" s="926">
        <f t="shared" si="5"/>
        <v>0</v>
      </c>
      <c r="AL60" s="973"/>
      <c r="AM60" s="314">
        <f t="shared" si="4"/>
        <v>0</v>
      </c>
    </row>
    <row r="61" spans="1:39" s="8" customFormat="1">
      <c r="A61" s="82" t="s">
        <v>35</v>
      </c>
      <c r="B61" s="161">
        <f t="shared" si="0"/>
        <v>5905000</v>
      </c>
      <c r="C61" s="79" t="s">
        <v>36</v>
      </c>
      <c r="D61" s="79" t="s">
        <v>862</v>
      </c>
      <c r="E61" s="79" t="s">
        <v>37</v>
      </c>
      <c r="F61" s="79" t="s">
        <v>351</v>
      </c>
      <c r="G61" s="1936" t="s">
        <v>38</v>
      </c>
      <c r="H61" s="1943" t="s">
        <v>1384</v>
      </c>
      <c r="I61" s="230">
        <v>98</v>
      </c>
      <c r="J61" s="160">
        <v>0</v>
      </c>
      <c r="K61" s="486"/>
      <c r="L61" s="1682">
        <v>491</v>
      </c>
      <c r="M61" s="1592">
        <f>12355770-6450770</f>
        <v>5905000</v>
      </c>
      <c r="N61" s="1682">
        <v>593</v>
      </c>
      <c r="O61" s="1704">
        <v>5905000</v>
      </c>
      <c r="P61" s="236">
        <v>374</v>
      </c>
      <c r="Q61" s="467"/>
      <c r="R61" s="467"/>
      <c r="S61" s="467"/>
      <c r="T61" s="166"/>
      <c r="U61" s="166"/>
      <c r="V61" s="166"/>
      <c r="W61" s="166">
        <v>5905000</v>
      </c>
      <c r="X61" s="166"/>
      <c r="Y61" s="166"/>
      <c r="Z61" s="467"/>
      <c r="AA61" s="467"/>
      <c r="AB61" s="467"/>
      <c r="AC61" s="468">
        <f t="shared" si="1"/>
        <v>5905000</v>
      </c>
      <c r="AD61" s="743">
        <f t="shared" si="2"/>
        <v>0</v>
      </c>
      <c r="AE61" s="1506"/>
      <c r="AF61" s="943">
        <v>98</v>
      </c>
      <c r="AG61" s="279" t="s">
        <v>940</v>
      </c>
      <c r="AH61" s="279" t="s">
        <v>1131</v>
      </c>
      <c r="AI61" s="517">
        <f t="shared" si="3"/>
        <v>374</v>
      </c>
      <c r="AJ61" s="316">
        <f>40000000-17000000-17095000</f>
        <v>5905000</v>
      </c>
      <c r="AK61" s="926">
        <f t="shared" si="5"/>
        <v>0</v>
      </c>
      <c r="AL61" s="973"/>
      <c r="AM61" s="314">
        <f t="shared" si="4"/>
        <v>0</v>
      </c>
    </row>
    <row r="62" spans="1:39" s="8" customFormat="1">
      <c r="A62" s="82" t="s">
        <v>35</v>
      </c>
      <c r="B62" s="161">
        <f t="shared" si="0"/>
        <v>8000000</v>
      </c>
      <c r="C62" s="79" t="s">
        <v>36</v>
      </c>
      <c r="D62" s="79" t="s">
        <v>862</v>
      </c>
      <c r="E62" s="79" t="s">
        <v>37</v>
      </c>
      <c r="F62" s="79" t="s">
        <v>351</v>
      </c>
      <c r="G62" s="1936" t="s">
        <v>38</v>
      </c>
      <c r="H62" s="1943" t="s">
        <v>1384</v>
      </c>
      <c r="I62" s="230">
        <v>105</v>
      </c>
      <c r="J62" s="160">
        <v>0</v>
      </c>
      <c r="K62" s="486"/>
      <c r="L62" s="1682">
        <v>517</v>
      </c>
      <c r="M62" s="1592">
        <v>8000000</v>
      </c>
      <c r="N62" s="1682">
        <v>699</v>
      </c>
      <c r="O62" s="1704">
        <v>8000000</v>
      </c>
      <c r="P62" s="236">
        <v>416</v>
      </c>
      <c r="Q62" s="467"/>
      <c r="R62" s="467"/>
      <c r="S62" s="467"/>
      <c r="T62" s="166"/>
      <c r="U62" s="166"/>
      <c r="V62" s="166"/>
      <c r="W62" s="166"/>
      <c r="X62" s="166"/>
      <c r="Y62" s="166">
        <v>580000</v>
      </c>
      <c r="Z62" s="467"/>
      <c r="AA62" s="467"/>
      <c r="AB62" s="467"/>
      <c r="AC62" s="468">
        <f t="shared" si="1"/>
        <v>580000</v>
      </c>
      <c r="AD62" s="743">
        <f t="shared" si="2"/>
        <v>7420000</v>
      </c>
      <c r="AE62" s="1506"/>
      <c r="AF62" s="943">
        <v>105</v>
      </c>
      <c r="AG62" s="279" t="s">
        <v>1024</v>
      </c>
      <c r="AH62" s="279" t="s">
        <v>1074</v>
      </c>
      <c r="AI62" s="517">
        <f t="shared" si="3"/>
        <v>416</v>
      </c>
      <c r="AJ62" s="316">
        <v>8000000</v>
      </c>
      <c r="AK62" s="926">
        <f t="shared" si="5"/>
        <v>0</v>
      </c>
      <c r="AL62" s="973"/>
      <c r="AM62" s="314">
        <f t="shared" si="4"/>
        <v>0</v>
      </c>
    </row>
    <row r="63" spans="1:39" s="8" customFormat="1">
      <c r="A63" s="82" t="s">
        <v>35</v>
      </c>
      <c r="B63" s="161">
        <f t="shared" si="0"/>
        <v>0</v>
      </c>
      <c r="C63" s="79" t="s">
        <v>36</v>
      </c>
      <c r="D63" s="79" t="s">
        <v>862</v>
      </c>
      <c r="E63" s="79" t="s">
        <v>37</v>
      </c>
      <c r="F63" s="79" t="s">
        <v>351</v>
      </c>
      <c r="G63" s="1936" t="s">
        <v>38</v>
      </c>
      <c r="H63" s="1943" t="s">
        <v>1384</v>
      </c>
      <c r="I63" s="230">
        <v>106</v>
      </c>
      <c r="J63" s="160">
        <v>0</v>
      </c>
      <c r="K63" s="486"/>
      <c r="L63" s="1682">
        <v>552</v>
      </c>
      <c r="M63" s="1592">
        <f>47562613-47562613</f>
        <v>0</v>
      </c>
      <c r="N63" s="1682"/>
      <c r="O63" s="1704"/>
      <c r="P63" s="236"/>
      <c r="Q63" s="467"/>
      <c r="R63" s="467"/>
      <c r="S63" s="467"/>
      <c r="T63" s="166"/>
      <c r="U63" s="166"/>
      <c r="V63" s="166"/>
      <c r="W63" s="166"/>
      <c r="X63" s="166"/>
      <c r="Y63" s="166"/>
      <c r="Z63" s="467"/>
      <c r="AA63" s="467"/>
      <c r="AB63" s="467"/>
      <c r="AC63" s="468">
        <f t="shared" si="1"/>
        <v>0</v>
      </c>
      <c r="AD63" s="743">
        <f t="shared" si="2"/>
        <v>0</v>
      </c>
      <c r="AE63" s="1506"/>
      <c r="AF63" s="943">
        <v>106</v>
      </c>
      <c r="AG63" s="279" t="s">
        <v>346</v>
      </c>
      <c r="AH63" s="279" t="s">
        <v>178</v>
      </c>
      <c r="AI63" s="517">
        <f t="shared" si="3"/>
        <v>0</v>
      </c>
      <c r="AJ63" s="316">
        <f>40000000+7562613-47562613</f>
        <v>0</v>
      </c>
      <c r="AK63" s="926">
        <f t="shared" si="5"/>
        <v>0</v>
      </c>
      <c r="AL63" s="973"/>
      <c r="AM63" s="314">
        <f t="shared" si="4"/>
        <v>0</v>
      </c>
    </row>
    <row r="64" spans="1:39" s="8" customFormat="1">
      <c r="A64" s="82" t="s">
        <v>35</v>
      </c>
      <c r="B64" s="161">
        <f t="shared" si="0"/>
        <v>24501893</v>
      </c>
      <c r="C64" s="79" t="s">
        <v>36</v>
      </c>
      <c r="D64" s="79" t="s">
        <v>862</v>
      </c>
      <c r="E64" s="79" t="s">
        <v>37</v>
      </c>
      <c r="F64" s="79" t="s">
        <v>351</v>
      </c>
      <c r="G64" s="1936" t="s">
        <v>38</v>
      </c>
      <c r="H64" s="1943" t="s">
        <v>1384</v>
      </c>
      <c r="I64" s="230">
        <v>107</v>
      </c>
      <c r="J64" s="160">
        <v>0</v>
      </c>
      <c r="K64" s="486"/>
      <c r="L64" s="1682">
        <v>334</v>
      </c>
      <c r="M64" s="1592">
        <f>26495645-1993752</f>
        <v>24501893</v>
      </c>
      <c r="N64" s="1682">
        <v>457</v>
      </c>
      <c r="O64" s="1704">
        <v>24501893</v>
      </c>
      <c r="P64" s="236">
        <v>323</v>
      </c>
      <c r="Q64" s="467"/>
      <c r="R64" s="467"/>
      <c r="S64" s="467"/>
      <c r="T64" s="166"/>
      <c r="U64" s="166"/>
      <c r="V64" s="166"/>
      <c r="W64" s="166"/>
      <c r="X64" s="166"/>
      <c r="Y64" s="166"/>
      <c r="Z64" s="467"/>
      <c r="AA64" s="467"/>
      <c r="AB64" s="467"/>
      <c r="AC64" s="468">
        <f t="shared" si="1"/>
        <v>0</v>
      </c>
      <c r="AD64" s="743">
        <f t="shared" si="2"/>
        <v>24501893</v>
      </c>
      <c r="AE64" s="1506"/>
      <c r="AF64" s="943">
        <v>107</v>
      </c>
      <c r="AG64" s="279" t="s">
        <v>347</v>
      </c>
      <c r="AH64" s="279" t="s">
        <v>988</v>
      </c>
      <c r="AI64" s="517">
        <f t="shared" si="3"/>
        <v>323</v>
      </c>
      <c r="AJ64" s="316">
        <v>26495645</v>
      </c>
      <c r="AK64" s="926">
        <f t="shared" si="5"/>
        <v>1993752</v>
      </c>
      <c r="AL64" s="973"/>
      <c r="AM64" s="314">
        <f t="shared" si="4"/>
        <v>1993752</v>
      </c>
    </row>
    <row r="65" spans="1:39" s="8" customFormat="1">
      <c r="A65" s="82" t="s">
        <v>35</v>
      </c>
      <c r="B65" s="161">
        <f t="shared" si="0"/>
        <v>17236862</v>
      </c>
      <c r="C65" s="79" t="s">
        <v>36</v>
      </c>
      <c r="D65" s="79" t="s">
        <v>862</v>
      </c>
      <c r="E65" s="79" t="s">
        <v>37</v>
      </c>
      <c r="F65" s="79" t="s">
        <v>351</v>
      </c>
      <c r="G65" s="1936" t="s">
        <v>38</v>
      </c>
      <c r="H65" s="1943" t="s">
        <v>1384</v>
      </c>
      <c r="I65" s="230" t="s">
        <v>349</v>
      </c>
      <c r="J65" s="160">
        <v>595</v>
      </c>
      <c r="K65" s="486">
        <v>17236862</v>
      </c>
      <c r="L65" s="1682">
        <v>676</v>
      </c>
      <c r="M65" s="1660">
        <v>17236862</v>
      </c>
      <c r="N65" s="1682"/>
      <c r="O65" s="1704"/>
      <c r="P65" s="236">
        <v>323</v>
      </c>
      <c r="Q65" s="467"/>
      <c r="R65" s="467"/>
      <c r="S65" s="467"/>
      <c r="T65" s="166"/>
      <c r="U65" s="166"/>
      <c r="V65" s="166"/>
      <c r="W65" s="166"/>
      <c r="X65" s="166"/>
      <c r="Y65" s="166"/>
      <c r="Z65" s="467"/>
      <c r="AA65" s="467"/>
      <c r="AB65" s="467"/>
      <c r="AC65" s="468">
        <f t="shared" si="1"/>
        <v>0</v>
      </c>
      <c r="AD65" s="743">
        <f t="shared" si="2"/>
        <v>0</v>
      </c>
      <c r="AE65" s="1506"/>
      <c r="AF65" s="943" t="s">
        <v>349</v>
      </c>
      <c r="AG65" s="279" t="s">
        <v>1230</v>
      </c>
      <c r="AH65" s="279" t="s">
        <v>988</v>
      </c>
      <c r="AI65" s="517">
        <f t="shared" si="3"/>
        <v>323</v>
      </c>
      <c r="AJ65" s="316">
        <v>17236862</v>
      </c>
      <c r="AK65" s="926">
        <f t="shared" si="5"/>
        <v>17236862</v>
      </c>
      <c r="AL65" s="973"/>
      <c r="AM65" s="314">
        <f t="shared" si="4"/>
        <v>0</v>
      </c>
    </row>
    <row r="66" spans="1:39" s="8" customFormat="1">
      <c r="A66" s="82" t="s">
        <v>35</v>
      </c>
      <c r="B66" s="161">
        <f t="shared" si="0"/>
        <v>0</v>
      </c>
      <c r="C66" s="79" t="s">
        <v>36</v>
      </c>
      <c r="D66" s="79" t="s">
        <v>862</v>
      </c>
      <c r="E66" s="79" t="s">
        <v>37</v>
      </c>
      <c r="F66" s="79" t="s">
        <v>351</v>
      </c>
      <c r="G66" s="1936" t="s">
        <v>38</v>
      </c>
      <c r="H66" s="1943" t="s">
        <v>1384</v>
      </c>
      <c r="I66" s="230" t="s">
        <v>178</v>
      </c>
      <c r="J66" s="160"/>
      <c r="K66" s="486"/>
      <c r="L66" s="1682"/>
      <c r="M66" s="1592"/>
      <c r="N66" s="1682"/>
      <c r="O66" s="1704"/>
      <c r="P66" s="236"/>
      <c r="Q66" s="467"/>
      <c r="R66" s="467"/>
      <c r="S66" s="467"/>
      <c r="T66" s="166"/>
      <c r="U66" s="166"/>
      <c r="V66" s="166"/>
      <c r="W66" s="166"/>
      <c r="X66" s="166"/>
      <c r="Y66" s="166"/>
      <c r="Z66" s="467"/>
      <c r="AA66" s="467"/>
      <c r="AB66" s="467"/>
      <c r="AC66" s="468">
        <f t="shared" si="1"/>
        <v>0</v>
      </c>
      <c r="AD66" s="743">
        <f t="shared" si="2"/>
        <v>0</v>
      </c>
      <c r="AE66" s="1506"/>
      <c r="AF66" s="943" t="s">
        <v>349</v>
      </c>
      <c r="AG66" s="279" t="s">
        <v>1161</v>
      </c>
      <c r="AH66" s="279"/>
      <c r="AI66" s="517">
        <f t="shared" si="3"/>
        <v>0</v>
      </c>
      <c r="AJ66" s="316">
        <v>0</v>
      </c>
      <c r="AK66" s="926">
        <f t="shared" si="5"/>
        <v>0</v>
      </c>
      <c r="AL66" s="973"/>
      <c r="AM66" s="314">
        <f t="shared" si="4"/>
        <v>0</v>
      </c>
    </row>
    <row r="67" spans="1:39" s="8" customFormat="1">
      <c r="A67" s="82" t="s">
        <v>35</v>
      </c>
      <c r="B67" s="161">
        <f t="shared" si="0"/>
        <v>0</v>
      </c>
      <c r="C67" s="79" t="s">
        <v>36</v>
      </c>
      <c r="D67" s="79" t="s">
        <v>862</v>
      </c>
      <c r="E67" s="79" t="s">
        <v>37</v>
      </c>
      <c r="F67" s="79" t="s">
        <v>351</v>
      </c>
      <c r="G67" s="1936" t="s">
        <v>38</v>
      </c>
      <c r="H67" s="1943" t="s">
        <v>1384</v>
      </c>
      <c r="I67" s="230">
        <v>112</v>
      </c>
      <c r="J67" s="160">
        <v>0</v>
      </c>
      <c r="K67" s="486"/>
      <c r="L67" s="1682"/>
      <c r="M67" s="1592"/>
      <c r="N67" s="1682"/>
      <c r="O67" s="1704"/>
      <c r="P67" s="236"/>
      <c r="Q67" s="467"/>
      <c r="R67" s="467"/>
      <c r="S67" s="467"/>
      <c r="T67" s="166"/>
      <c r="U67" s="166"/>
      <c r="V67" s="166"/>
      <c r="W67" s="166"/>
      <c r="X67" s="166"/>
      <c r="Y67" s="166"/>
      <c r="Z67" s="467"/>
      <c r="AA67" s="467"/>
      <c r="AB67" s="467"/>
      <c r="AC67" s="468">
        <f t="shared" si="1"/>
        <v>0</v>
      </c>
      <c r="AD67" s="743">
        <f t="shared" si="2"/>
        <v>0</v>
      </c>
      <c r="AE67" s="1506"/>
      <c r="AF67" s="943">
        <v>112</v>
      </c>
      <c r="AG67" s="279" t="s">
        <v>348</v>
      </c>
      <c r="AH67" s="279" t="s">
        <v>178</v>
      </c>
      <c r="AI67" s="517">
        <f t="shared" si="3"/>
        <v>0</v>
      </c>
      <c r="AJ67" s="316">
        <f>9000000-9000000</f>
        <v>0</v>
      </c>
      <c r="AK67" s="926">
        <f t="shared" si="5"/>
        <v>0</v>
      </c>
      <c r="AL67" s="973"/>
      <c r="AM67" s="314">
        <f t="shared" si="4"/>
        <v>0</v>
      </c>
    </row>
    <row r="68" spans="1:39" s="8" customFormat="1">
      <c r="A68" s="82" t="s">
        <v>35</v>
      </c>
      <c r="B68" s="161">
        <f t="shared" si="0"/>
        <v>5000000</v>
      </c>
      <c r="C68" s="79" t="s">
        <v>36</v>
      </c>
      <c r="D68" s="79" t="s">
        <v>862</v>
      </c>
      <c r="E68" s="79" t="s">
        <v>37</v>
      </c>
      <c r="F68" s="79" t="s">
        <v>351</v>
      </c>
      <c r="G68" s="1936" t="s">
        <v>38</v>
      </c>
      <c r="H68" s="1943" t="s">
        <v>1384</v>
      </c>
      <c r="I68" s="1041">
        <v>442</v>
      </c>
      <c r="J68" s="160">
        <v>0</v>
      </c>
      <c r="K68" s="486"/>
      <c r="L68" s="1682">
        <v>389</v>
      </c>
      <c r="M68" s="1592">
        <v>5000000</v>
      </c>
      <c r="N68" s="1682">
        <v>409</v>
      </c>
      <c r="O68" s="1704">
        <v>5000000</v>
      </c>
      <c r="P68" s="236">
        <v>309</v>
      </c>
      <c r="Q68" s="467"/>
      <c r="R68" s="467"/>
      <c r="S68" s="467"/>
      <c r="T68" s="166"/>
      <c r="U68" s="166"/>
      <c r="V68" s="166"/>
      <c r="W68" s="166"/>
      <c r="X68" s="166"/>
      <c r="Y68" s="166">
        <v>511642</v>
      </c>
      <c r="Z68" s="467"/>
      <c r="AA68" s="467"/>
      <c r="AB68" s="467"/>
      <c r="AC68" s="468">
        <f t="shared" si="1"/>
        <v>511642</v>
      </c>
      <c r="AD68" s="743">
        <f t="shared" si="2"/>
        <v>4488358</v>
      </c>
      <c r="AE68" s="1506"/>
      <c r="AF68" s="943">
        <v>442</v>
      </c>
      <c r="AG68" s="279" t="s">
        <v>787</v>
      </c>
      <c r="AH68" s="279" t="s">
        <v>953</v>
      </c>
      <c r="AI68" s="517">
        <f t="shared" si="3"/>
        <v>309</v>
      </c>
      <c r="AJ68" s="316">
        <v>5000000</v>
      </c>
      <c r="AK68" s="926">
        <f t="shared" si="5"/>
        <v>0</v>
      </c>
      <c r="AL68" s="973"/>
      <c r="AM68" s="314">
        <f t="shared" si="4"/>
        <v>0</v>
      </c>
    </row>
    <row r="69" spans="1:39" s="8" customFormat="1">
      <c r="A69" s="82" t="s">
        <v>35</v>
      </c>
      <c r="B69" s="161">
        <f t="shared" si="0"/>
        <v>0</v>
      </c>
      <c r="C69" s="79" t="s">
        <v>36</v>
      </c>
      <c r="D69" s="79" t="s">
        <v>862</v>
      </c>
      <c r="E69" s="79" t="s">
        <v>37</v>
      </c>
      <c r="F69" s="79" t="s">
        <v>351</v>
      </c>
      <c r="G69" s="1936" t="s">
        <v>38</v>
      </c>
      <c r="H69" s="1943" t="s">
        <v>1384</v>
      </c>
      <c r="I69" s="1041">
        <v>443</v>
      </c>
      <c r="J69" s="160">
        <v>0</v>
      </c>
      <c r="K69" s="486"/>
      <c r="L69" s="1682"/>
      <c r="M69" s="1592"/>
      <c r="N69" s="1682"/>
      <c r="O69" s="1704"/>
      <c r="P69" s="236"/>
      <c r="Q69" s="467"/>
      <c r="R69" s="467"/>
      <c r="S69" s="467"/>
      <c r="T69" s="166"/>
      <c r="U69" s="166"/>
      <c r="V69" s="166"/>
      <c r="W69" s="166"/>
      <c r="X69" s="166"/>
      <c r="Y69" s="166"/>
      <c r="Z69" s="467"/>
      <c r="AA69" s="467"/>
      <c r="AB69" s="467"/>
      <c r="AC69" s="468">
        <f t="shared" si="1"/>
        <v>0</v>
      </c>
      <c r="AD69" s="743">
        <f t="shared" si="2"/>
        <v>0</v>
      </c>
      <c r="AE69" s="1506"/>
      <c r="AF69" s="943">
        <v>443</v>
      </c>
      <c r="AG69" s="279" t="s">
        <v>788</v>
      </c>
      <c r="AH69" s="279" t="s">
        <v>178</v>
      </c>
      <c r="AI69" s="517">
        <f t="shared" si="3"/>
        <v>0</v>
      </c>
      <c r="AJ69" s="316">
        <v>5000000</v>
      </c>
      <c r="AK69" s="926">
        <f t="shared" si="5"/>
        <v>5000000</v>
      </c>
      <c r="AL69" s="973"/>
      <c r="AM69" s="314">
        <f t="shared" si="4"/>
        <v>5000000</v>
      </c>
    </row>
    <row r="70" spans="1:39" s="8" customFormat="1">
      <c r="A70" s="82" t="s">
        <v>35</v>
      </c>
      <c r="B70" s="161">
        <f t="shared" si="0"/>
        <v>10285000</v>
      </c>
      <c r="C70" s="79" t="s">
        <v>36</v>
      </c>
      <c r="D70" s="79" t="s">
        <v>862</v>
      </c>
      <c r="E70" s="79" t="s">
        <v>37</v>
      </c>
      <c r="F70" s="79" t="s">
        <v>351</v>
      </c>
      <c r="G70" s="1936" t="s">
        <v>38</v>
      </c>
      <c r="H70" s="1943" t="s">
        <v>1384</v>
      </c>
      <c r="I70" s="1041">
        <v>444</v>
      </c>
      <c r="J70" s="160">
        <v>0</v>
      </c>
      <c r="K70" s="486"/>
      <c r="L70" s="1682">
        <v>492</v>
      </c>
      <c r="M70" s="1592">
        <f>15775971-5490971</f>
        <v>10285000</v>
      </c>
      <c r="N70" s="1682">
        <v>607</v>
      </c>
      <c r="O70" s="1704">
        <v>10285000</v>
      </c>
      <c r="P70" s="236">
        <v>377</v>
      </c>
      <c r="Q70" s="467"/>
      <c r="R70" s="467"/>
      <c r="S70" s="467"/>
      <c r="T70" s="166"/>
      <c r="U70" s="166"/>
      <c r="V70" s="166"/>
      <c r="W70" s="166">
        <v>10285000</v>
      </c>
      <c r="X70" s="166"/>
      <c r="Y70" s="166"/>
      <c r="Z70" s="467"/>
      <c r="AA70" s="467"/>
      <c r="AB70" s="467"/>
      <c r="AC70" s="468">
        <f t="shared" si="1"/>
        <v>10285000</v>
      </c>
      <c r="AD70" s="743">
        <f t="shared" si="2"/>
        <v>0</v>
      </c>
      <c r="AE70" s="1506"/>
      <c r="AF70" s="943">
        <v>444</v>
      </c>
      <c r="AG70" s="279" t="s">
        <v>789</v>
      </c>
      <c r="AH70" s="279" t="s">
        <v>1132</v>
      </c>
      <c r="AI70" s="517">
        <f t="shared" si="3"/>
        <v>377</v>
      </c>
      <c r="AJ70" s="316">
        <f>15810000-5525000</f>
        <v>10285000</v>
      </c>
      <c r="AK70" s="926">
        <f t="shared" si="5"/>
        <v>0</v>
      </c>
      <c r="AL70" s="973"/>
      <c r="AM70" s="314">
        <f t="shared" si="4"/>
        <v>0</v>
      </c>
    </row>
    <row r="71" spans="1:39" s="8" customFormat="1">
      <c r="A71" s="82" t="s">
        <v>35</v>
      </c>
      <c r="B71" s="161">
        <f t="shared" si="0"/>
        <v>5000000</v>
      </c>
      <c r="C71" s="79" t="s">
        <v>36</v>
      </c>
      <c r="D71" s="79" t="s">
        <v>862</v>
      </c>
      <c r="E71" s="79" t="s">
        <v>37</v>
      </c>
      <c r="F71" s="79" t="s">
        <v>351</v>
      </c>
      <c r="G71" s="1936" t="s">
        <v>38</v>
      </c>
      <c r="H71" s="1943" t="s">
        <v>1384</v>
      </c>
      <c r="I71" s="1041">
        <v>445</v>
      </c>
      <c r="J71" s="160">
        <v>0</v>
      </c>
      <c r="K71" s="486"/>
      <c r="L71" s="1682">
        <v>402</v>
      </c>
      <c r="M71" s="1592">
        <v>5000000</v>
      </c>
      <c r="N71" s="1682">
        <v>422</v>
      </c>
      <c r="O71" s="1704">
        <v>5000000</v>
      </c>
      <c r="P71" s="236">
        <v>314</v>
      </c>
      <c r="Q71" s="467"/>
      <c r="R71" s="467"/>
      <c r="S71" s="467"/>
      <c r="T71" s="166"/>
      <c r="U71" s="166">
        <v>5000000</v>
      </c>
      <c r="V71" s="166"/>
      <c r="W71" s="166"/>
      <c r="X71" s="166"/>
      <c r="Y71" s="166"/>
      <c r="Z71" s="467"/>
      <c r="AA71" s="467"/>
      <c r="AB71" s="467"/>
      <c r="AC71" s="468">
        <f t="shared" si="1"/>
        <v>5000000</v>
      </c>
      <c r="AD71" s="743">
        <f t="shared" si="2"/>
        <v>0</v>
      </c>
      <c r="AE71" s="1506"/>
      <c r="AF71" s="943">
        <v>445</v>
      </c>
      <c r="AG71" s="279" t="s">
        <v>790</v>
      </c>
      <c r="AH71" s="279" t="s">
        <v>956</v>
      </c>
      <c r="AI71" s="517">
        <f t="shared" si="3"/>
        <v>314</v>
      </c>
      <c r="AJ71" s="316">
        <v>5000000</v>
      </c>
      <c r="AK71" s="926">
        <f t="shared" si="5"/>
        <v>0</v>
      </c>
      <c r="AL71" s="973"/>
      <c r="AM71" s="314">
        <f t="shared" si="4"/>
        <v>0</v>
      </c>
    </row>
    <row r="72" spans="1:39" s="8" customFormat="1">
      <c r="A72" s="82" t="s">
        <v>35</v>
      </c>
      <c r="B72" s="161">
        <f t="shared" si="0"/>
        <v>67500000</v>
      </c>
      <c r="C72" s="79" t="s">
        <v>36</v>
      </c>
      <c r="D72" s="79" t="s">
        <v>862</v>
      </c>
      <c r="E72" s="79" t="s">
        <v>37</v>
      </c>
      <c r="F72" s="79" t="s">
        <v>351</v>
      </c>
      <c r="G72" s="1936" t="s">
        <v>38</v>
      </c>
      <c r="H72" s="1943" t="s">
        <v>1384</v>
      </c>
      <c r="I72" s="1041">
        <v>453</v>
      </c>
      <c r="J72" s="160">
        <v>0</v>
      </c>
      <c r="K72" s="486"/>
      <c r="L72" s="1682">
        <v>393</v>
      </c>
      <c r="M72" s="1592">
        <v>67500000</v>
      </c>
      <c r="N72" s="1682">
        <v>404</v>
      </c>
      <c r="O72" s="1704">
        <v>67500000</v>
      </c>
      <c r="P72" s="236">
        <v>310</v>
      </c>
      <c r="Q72" s="467"/>
      <c r="R72" s="467"/>
      <c r="S72" s="467"/>
      <c r="T72" s="166"/>
      <c r="U72" s="166">
        <v>7500000</v>
      </c>
      <c r="V72" s="166">
        <v>7500000</v>
      </c>
      <c r="W72" s="166">
        <v>7500000</v>
      </c>
      <c r="X72" s="166">
        <v>7500000</v>
      </c>
      <c r="Y72" s="166">
        <v>7500000</v>
      </c>
      <c r="Z72" s="467"/>
      <c r="AA72" s="467"/>
      <c r="AB72" s="467"/>
      <c r="AC72" s="468">
        <f t="shared" si="1"/>
        <v>37500000</v>
      </c>
      <c r="AD72" s="743">
        <f t="shared" si="2"/>
        <v>30000000</v>
      </c>
      <c r="AE72" s="1506"/>
      <c r="AF72" s="943">
        <v>453</v>
      </c>
      <c r="AG72" s="279" t="s">
        <v>834</v>
      </c>
      <c r="AH72" s="279" t="s">
        <v>954</v>
      </c>
      <c r="AI72" s="517">
        <f t="shared" si="3"/>
        <v>310</v>
      </c>
      <c r="AJ72" s="316">
        <v>67500000</v>
      </c>
      <c r="AK72" s="926">
        <f t="shared" si="5"/>
        <v>0</v>
      </c>
      <c r="AL72" s="973"/>
      <c r="AM72" s="314">
        <f t="shared" si="4"/>
        <v>0</v>
      </c>
    </row>
    <row r="73" spans="1:39" s="8" customFormat="1">
      <c r="A73" s="82" t="s">
        <v>35</v>
      </c>
      <c r="B73" s="161">
        <f>M73</f>
        <v>47680000</v>
      </c>
      <c r="C73" s="79" t="s">
        <v>36</v>
      </c>
      <c r="D73" s="79" t="s">
        <v>862</v>
      </c>
      <c r="E73" s="79" t="s">
        <v>37</v>
      </c>
      <c r="F73" s="79" t="s">
        <v>351</v>
      </c>
      <c r="G73" s="1936" t="s">
        <v>38</v>
      </c>
      <c r="H73" s="1943" t="s">
        <v>1384</v>
      </c>
      <c r="I73" s="1041">
        <v>479</v>
      </c>
      <c r="J73" s="160">
        <v>0</v>
      </c>
      <c r="K73" s="486"/>
      <c r="L73" s="1682">
        <v>432</v>
      </c>
      <c r="M73" s="1592">
        <v>47680000</v>
      </c>
      <c r="N73" s="1682">
        <v>451</v>
      </c>
      <c r="O73" s="1704">
        <v>47680000</v>
      </c>
      <c r="P73" s="236">
        <v>324</v>
      </c>
      <c r="Q73" s="467"/>
      <c r="R73" s="467"/>
      <c r="S73" s="467"/>
      <c r="T73" s="166"/>
      <c r="U73" s="166"/>
      <c r="V73" s="166">
        <v>6158667</v>
      </c>
      <c r="W73" s="166">
        <v>5960000</v>
      </c>
      <c r="X73" s="166">
        <v>5960000</v>
      </c>
      <c r="Y73" s="166">
        <v>5960000</v>
      </c>
      <c r="Z73" s="467"/>
      <c r="AA73" s="467"/>
      <c r="AB73" s="467"/>
      <c r="AC73" s="468">
        <f t="shared" si="1"/>
        <v>24038667</v>
      </c>
      <c r="AD73" s="743">
        <f t="shared" si="2"/>
        <v>23641333</v>
      </c>
      <c r="AE73" s="1506"/>
      <c r="AF73" s="943">
        <v>479</v>
      </c>
      <c r="AG73" s="279" t="s">
        <v>875</v>
      </c>
      <c r="AH73" s="279" t="s">
        <v>967</v>
      </c>
      <c r="AI73" s="517">
        <f t="shared" si="3"/>
        <v>324</v>
      </c>
      <c r="AJ73" s="316">
        <v>47680000</v>
      </c>
      <c r="AK73" s="926">
        <f t="shared" si="5"/>
        <v>0</v>
      </c>
      <c r="AL73" s="973"/>
      <c r="AM73" s="314">
        <f t="shared" si="4"/>
        <v>0</v>
      </c>
    </row>
    <row r="74" spans="1:39" s="8" customFormat="1">
      <c r="A74" s="82" t="s">
        <v>35</v>
      </c>
      <c r="B74" s="161">
        <f t="shared" ref="B74:B114" si="9">M74</f>
        <v>15694666</v>
      </c>
      <c r="C74" s="79" t="s">
        <v>36</v>
      </c>
      <c r="D74" s="79" t="s">
        <v>862</v>
      </c>
      <c r="E74" s="79" t="s">
        <v>37</v>
      </c>
      <c r="F74" s="79" t="s">
        <v>351</v>
      </c>
      <c r="G74" s="1936" t="s">
        <v>38</v>
      </c>
      <c r="H74" s="1943" t="s">
        <v>1384</v>
      </c>
      <c r="I74" s="1041">
        <v>480</v>
      </c>
      <c r="J74" s="160"/>
      <c r="K74" s="486"/>
      <c r="L74" s="1682">
        <v>433</v>
      </c>
      <c r="M74" s="1592">
        <f>47680000-31985334</f>
        <v>15694666</v>
      </c>
      <c r="N74" s="1682">
        <v>454</v>
      </c>
      <c r="O74" s="1704">
        <f>47680000-31985334</f>
        <v>15694666</v>
      </c>
      <c r="P74" s="236">
        <v>326</v>
      </c>
      <c r="Q74" s="467"/>
      <c r="R74" s="467"/>
      <c r="S74" s="467"/>
      <c r="T74" s="166"/>
      <c r="U74" s="467">
        <v>5761333</v>
      </c>
      <c r="V74" s="166">
        <v>5761333</v>
      </c>
      <c r="W74" s="166">
        <v>198667</v>
      </c>
      <c r="X74" s="166">
        <v>3973333</v>
      </c>
      <c r="Y74" s="166"/>
      <c r="Z74" s="467"/>
      <c r="AA74" s="467"/>
      <c r="AB74" s="467"/>
      <c r="AC74" s="468">
        <f t="shared" si="1"/>
        <v>15694666</v>
      </c>
      <c r="AD74" s="743">
        <f t="shared" si="2"/>
        <v>0</v>
      </c>
      <c r="AE74" s="1506"/>
      <c r="AF74" s="1627">
        <v>480</v>
      </c>
      <c r="AG74" s="279" t="s">
        <v>876</v>
      </c>
      <c r="AH74" s="279" t="s">
        <v>987</v>
      </c>
      <c r="AI74" s="517">
        <f t="shared" si="3"/>
        <v>326</v>
      </c>
      <c r="AJ74" s="1628">
        <f>47680000-35958667+3973333</f>
        <v>15694666</v>
      </c>
      <c r="AK74" s="926">
        <f t="shared" si="5"/>
        <v>0</v>
      </c>
      <c r="AL74" s="973"/>
      <c r="AM74" s="314">
        <f t="shared" si="4"/>
        <v>0</v>
      </c>
    </row>
    <row r="75" spans="1:39" s="8" customFormat="1">
      <c r="A75" s="82" t="s">
        <v>35</v>
      </c>
      <c r="B75" s="161">
        <f t="shared" si="9"/>
        <v>28650000</v>
      </c>
      <c r="C75" s="79" t="s">
        <v>36</v>
      </c>
      <c r="D75" s="79" t="s">
        <v>862</v>
      </c>
      <c r="E75" s="79" t="s">
        <v>37</v>
      </c>
      <c r="F75" s="79" t="s">
        <v>351</v>
      </c>
      <c r="G75" s="1936" t="s">
        <v>38</v>
      </c>
      <c r="H75" s="1943" t="s">
        <v>1384</v>
      </c>
      <c r="I75" s="1041">
        <v>481</v>
      </c>
      <c r="J75" s="160"/>
      <c r="K75" s="486"/>
      <c r="L75" s="1682">
        <v>452</v>
      </c>
      <c r="M75" s="1592">
        <v>28650000</v>
      </c>
      <c r="N75" s="1682">
        <v>504</v>
      </c>
      <c r="O75" s="1704">
        <v>28650000</v>
      </c>
      <c r="P75" s="236">
        <v>357</v>
      </c>
      <c r="Q75" s="467"/>
      <c r="R75" s="467"/>
      <c r="S75" s="467"/>
      <c r="T75" s="166"/>
      <c r="U75" s="166"/>
      <c r="V75" s="166">
        <v>1910000</v>
      </c>
      <c r="W75" s="166">
        <v>3820000</v>
      </c>
      <c r="X75" s="166">
        <v>3820000</v>
      </c>
      <c r="Y75" s="166">
        <v>3820000</v>
      </c>
      <c r="Z75" s="467"/>
      <c r="AA75" s="467"/>
      <c r="AB75" s="467"/>
      <c r="AC75" s="468">
        <f t="shared" si="1"/>
        <v>13370000</v>
      </c>
      <c r="AD75" s="743">
        <f t="shared" si="2"/>
        <v>15280000</v>
      </c>
      <c r="AE75" s="1506"/>
      <c r="AF75" s="943">
        <v>481</v>
      </c>
      <c r="AG75" s="279" t="s">
        <v>877</v>
      </c>
      <c r="AH75" s="279" t="s">
        <v>674</v>
      </c>
      <c r="AI75" s="517">
        <f t="shared" si="3"/>
        <v>357</v>
      </c>
      <c r="AJ75" s="316">
        <f>30560000-1910000</f>
        <v>28650000</v>
      </c>
      <c r="AK75" s="926">
        <f t="shared" si="5"/>
        <v>0</v>
      </c>
      <c r="AL75" s="973"/>
      <c r="AM75" s="314">
        <f t="shared" si="4"/>
        <v>0</v>
      </c>
    </row>
    <row r="76" spans="1:39" s="8" customFormat="1">
      <c r="A76" s="82" t="s">
        <v>35</v>
      </c>
      <c r="B76" s="161">
        <f t="shared" si="9"/>
        <v>45600000</v>
      </c>
      <c r="C76" s="79" t="s">
        <v>36</v>
      </c>
      <c r="D76" s="79" t="s">
        <v>862</v>
      </c>
      <c r="E76" s="79" t="s">
        <v>37</v>
      </c>
      <c r="F76" s="79" t="s">
        <v>351</v>
      </c>
      <c r="G76" s="1936" t="s">
        <v>38</v>
      </c>
      <c r="H76" s="1943" t="s">
        <v>1384</v>
      </c>
      <c r="I76" s="1041">
        <v>482</v>
      </c>
      <c r="J76" s="160"/>
      <c r="K76" s="486"/>
      <c r="L76" s="1682">
        <v>439</v>
      </c>
      <c r="M76" s="1592">
        <v>45600000</v>
      </c>
      <c r="N76" s="1682">
        <v>483</v>
      </c>
      <c r="O76" s="1704">
        <v>45600000</v>
      </c>
      <c r="P76" s="236">
        <v>349</v>
      </c>
      <c r="Q76" s="467"/>
      <c r="R76" s="467"/>
      <c r="S76" s="467"/>
      <c r="T76" s="166"/>
      <c r="U76" s="166">
        <v>6080000</v>
      </c>
      <c r="V76" s="166">
        <v>4458667</v>
      </c>
      <c r="W76" s="166"/>
      <c r="X76" s="166">
        <v>6080000</v>
      </c>
      <c r="Y76" s="166">
        <v>6080000</v>
      </c>
      <c r="Z76" s="467"/>
      <c r="AA76" s="467"/>
      <c r="AB76" s="467"/>
      <c r="AC76" s="468">
        <f t="shared" si="1"/>
        <v>22698667</v>
      </c>
      <c r="AD76" s="743">
        <f t="shared" si="2"/>
        <v>22901333</v>
      </c>
      <c r="AE76" s="1506"/>
      <c r="AF76" s="943">
        <v>482</v>
      </c>
      <c r="AG76" s="279" t="s">
        <v>878</v>
      </c>
      <c r="AH76" s="279" t="s">
        <v>1032</v>
      </c>
      <c r="AI76" s="517">
        <f t="shared" si="3"/>
        <v>349</v>
      </c>
      <c r="AJ76" s="316">
        <f>48640000-3040000</f>
        <v>45600000</v>
      </c>
      <c r="AK76" s="926">
        <f t="shared" si="5"/>
        <v>0</v>
      </c>
      <c r="AL76" s="973"/>
      <c r="AM76" s="314">
        <f t="shared" si="4"/>
        <v>0</v>
      </c>
    </row>
    <row r="77" spans="1:39" s="8" customFormat="1">
      <c r="A77" s="82" t="s">
        <v>35</v>
      </c>
      <c r="B77" s="161">
        <f t="shared" si="9"/>
        <v>35520000</v>
      </c>
      <c r="C77" s="79" t="s">
        <v>36</v>
      </c>
      <c r="D77" s="79" t="s">
        <v>862</v>
      </c>
      <c r="E77" s="79" t="s">
        <v>37</v>
      </c>
      <c r="F77" s="79" t="s">
        <v>351</v>
      </c>
      <c r="G77" s="1936" t="s">
        <v>38</v>
      </c>
      <c r="H77" s="1943" t="s">
        <v>1384</v>
      </c>
      <c r="I77" s="1041">
        <v>483</v>
      </c>
      <c r="J77" s="160"/>
      <c r="K77" s="486"/>
      <c r="L77" s="1682">
        <v>449</v>
      </c>
      <c r="M77" s="1592">
        <v>35520000</v>
      </c>
      <c r="N77" s="1682">
        <v>467</v>
      </c>
      <c r="O77" s="1704">
        <v>35520000</v>
      </c>
      <c r="P77" s="236">
        <v>342</v>
      </c>
      <c r="Q77" s="467"/>
      <c r="R77" s="467"/>
      <c r="S77" s="467"/>
      <c r="T77" s="166"/>
      <c r="U77" s="166"/>
      <c r="V77" s="166">
        <v>3552000</v>
      </c>
      <c r="W77" s="166">
        <v>4440000</v>
      </c>
      <c r="X77" s="166">
        <v>4440000</v>
      </c>
      <c r="Y77" s="166">
        <v>4440000</v>
      </c>
      <c r="Z77" s="467"/>
      <c r="AA77" s="467"/>
      <c r="AB77" s="467"/>
      <c r="AC77" s="468">
        <f t="shared" si="1"/>
        <v>16872000</v>
      </c>
      <c r="AD77" s="743">
        <f t="shared" si="2"/>
        <v>18648000</v>
      </c>
      <c r="AE77" s="1506"/>
      <c r="AF77" s="943">
        <v>483</v>
      </c>
      <c r="AG77" s="279" t="s">
        <v>879</v>
      </c>
      <c r="AH77" s="279" t="s">
        <v>1009</v>
      </c>
      <c r="AI77" s="517">
        <f t="shared" si="3"/>
        <v>342</v>
      </c>
      <c r="AJ77" s="316">
        <v>35520000</v>
      </c>
      <c r="AK77" s="926">
        <f t="shared" si="5"/>
        <v>0</v>
      </c>
      <c r="AL77" s="973"/>
      <c r="AM77" s="314">
        <f t="shared" si="4"/>
        <v>0</v>
      </c>
    </row>
    <row r="78" spans="1:39" s="8" customFormat="1">
      <c r="A78" s="82" t="s">
        <v>35</v>
      </c>
      <c r="B78" s="161">
        <f t="shared" si="9"/>
        <v>38720000</v>
      </c>
      <c r="C78" s="79" t="s">
        <v>36</v>
      </c>
      <c r="D78" s="79" t="s">
        <v>862</v>
      </c>
      <c r="E78" s="79" t="s">
        <v>37</v>
      </c>
      <c r="F78" s="79" t="s">
        <v>351</v>
      </c>
      <c r="G78" s="1936" t="s">
        <v>38</v>
      </c>
      <c r="H78" s="1943" t="s">
        <v>1384</v>
      </c>
      <c r="I78" s="1041">
        <v>484</v>
      </c>
      <c r="J78" s="160"/>
      <c r="K78" s="486"/>
      <c r="L78" s="1682">
        <v>450</v>
      </c>
      <c r="M78" s="1592">
        <f>38720000</f>
        <v>38720000</v>
      </c>
      <c r="N78" s="1682">
        <v>473</v>
      </c>
      <c r="O78" s="1704">
        <v>38720000</v>
      </c>
      <c r="P78" s="236">
        <v>341</v>
      </c>
      <c r="Q78" s="467"/>
      <c r="R78" s="467"/>
      <c r="S78" s="467"/>
      <c r="T78" s="166"/>
      <c r="U78" s="166">
        <v>4840000</v>
      </c>
      <c r="V78" s="166">
        <v>3710667</v>
      </c>
      <c r="W78" s="166"/>
      <c r="X78" s="166">
        <v>4840000</v>
      </c>
      <c r="Y78" s="166">
        <v>4840000</v>
      </c>
      <c r="Z78" s="467"/>
      <c r="AA78" s="467"/>
      <c r="AB78" s="467"/>
      <c r="AC78" s="468">
        <f t="shared" si="1"/>
        <v>18230667</v>
      </c>
      <c r="AD78" s="743">
        <f t="shared" si="2"/>
        <v>20489333</v>
      </c>
      <c r="AE78" s="1506"/>
      <c r="AF78" s="943">
        <v>484</v>
      </c>
      <c r="AG78" s="279" t="s">
        <v>880</v>
      </c>
      <c r="AH78" s="279" t="s">
        <v>1033</v>
      </c>
      <c r="AI78" s="517">
        <f t="shared" si="3"/>
        <v>341</v>
      </c>
      <c r="AJ78" s="316">
        <v>38720000</v>
      </c>
      <c r="AK78" s="926">
        <f t="shared" si="5"/>
        <v>0</v>
      </c>
      <c r="AL78" s="973"/>
      <c r="AM78" s="314">
        <f t="shared" si="4"/>
        <v>0</v>
      </c>
    </row>
    <row r="79" spans="1:39" s="8" customFormat="1">
      <c r="A79" s="82" t="s">
        <v>35</v>
      </c>
      <c r="B79" s="161">
        <f t="shared" si="9"/>
        <v>8710000</v>
      </c>
      <c r="C79" s="79" t="s">
        <v>36</v>
      </c>
      <c r="D79" s="79" t="s">
        <v>862</v>
      </c>
      <c r="E79" s="79" t="s">
        <v>37</v>
      </c>
      <c r="F79" s="79" t="s">
        <v>351</v>
      </c>
      <c r="G79" s="1936" t="s">
        <v>38</v>
      </c>
      <c r="H79" s="1943" t="s">
        <v>1384</v>
      </c>
      <c r="I79" s="1041">
        <v>485</v>
      </c>
      <c r="J79" s="160"/>
      <c r="K79" s="486"/>
      <c r="L79" s="1682">
        <v>442</v>
      </c>
      <c r="M79" s="1592">
        <v>8710000</v>
      </c>
      <c r="N79" s="1682">
        <v>476</v>
      </c>
      <c r="O79" s="1592">
        <v>8710000</v>
      </c>
      <c r="P79" s="236">
        <v>344</v>
      </c>
      <c r="Q79" s="467"/>
      <c r="R79" s="467"/>
      <c r="S79" s="467"/>
      <c r="T79" s="166"/>
      <c r="U79" s="166"/>
      <c r="V79" s="166">
        <f>958333+958334</f>
        <v>1916667</v>
      </c>
      <c r="W79" s="166">
        <f>1250000+1250000</f>
        <v>2500000</v>
      </c>
      <c r="X79" s="166">
        <v>2500000</v>
      </c>
      <c r="Y79" s="166">
        <v>1793333</v>
      </c>
      <c r="Z79" s="467"/>
      <c r="AA79" s="467"/>
      <c r="AB79" s="467"/>
      <c r="AC79" s="468">
        <f t="shared" si="1"/>
        <v>8710000</v>
      </c>
      <c r="AD79" s="743">
        <f t="shared" si="2"/>
        <v>0</v>
      </c>
      <c r="AE79" s="1506"/>
      <c r="AF79" s="943">
        <v>485</v>
      </c>
      <c r="AG79" s="279" t="s">
        <v>340</v>
      </c>
      <c r="AH79" s="279" t="s">
        <v>676</v>
      </c>
      <c r="AI79" s="517">
        <f t="shared" si="3"/>
        <v>344</v>
      </c>
      <c r="AJ79" s="1551">
        <f>9960000-1250000</f>
        <v>8710000</v>
      </c>
      <c r="AK79" s="926">
        <f t="shared" si="5"/>
        <v>0</v>
      </c>
      <c r="AL79" s="973"/>
      <c r="AM79" s="314">
        <f t="shared" si="4"/>
        <v>0</v>
      </c>
    </row>
    <row r="80" spans="1:39" s="8" customFormat="1">
      <c r="A80" s="82" t="s">
        <v>35</v>
      </c>
      <c r="B80" s="161">
        <f t="shared" si="9"/>
        <v>47680000</v>
      </c>
      <c r="C80" s="79" t="s">
        <v>36</v>
      </c>
      <c r="D80" s="79" t="s">
        <v>862</v>
      </c>
      <c r="E80" s="79" t="s">
        <v>37</v>
      </c>
      <c r="F80" s="79" t="s">
        <v>351</v>
      </c>
      <c r="G80" s="1936" t="s">
        <v>38</v>
      </c>
      <c r="H80" s="1943" t="s">
        <v>1384</v>
      </c>
      <c r="I80" s="1041">
        <v>486</v>
      </c>
      <c r="J80" s="160"/>
      <c r="K80" s="486"/>
      <c r="L80" s="1682">
        <v>429</v>
      </c>
      <c r="M80" s="1592">
        <v>47680000</v>
      </c>
      <c r="N80" s="1682">
        <v>440</v>
      </c>
      <c r="O80" s="1704">
        <v>47680000</v>
      </c>
      <c r="P80" s="236">
        <v>320</v>
      </c>
      <c r="Q80" s="467"/>
      <c r="R80" s="467"/>
      <c r="S80" s="467"/>
      <c r="T80" s="166"/>
      <c r="U80" s="166"/>
      <c r="V80" s="166">
        <v>7152000</v>
      </c>
      <c r="W80" s="166">
        <v>5960000</v>
      </c>
      <c r="X80" s="166">
        <v>5960000</v>
      </c>
      <c r="Y80" s="166">
        <v>5960000</v>
      </c>
      <c r="Z80" s="467"/>
      <c r="AA80" s="467"/>
      <c r="AB80" s="467"/>
      <c r="AC80" s="468">
        <f t="shared" si="1"/>
        <v>25032000</v>
      </c>
      <c r="AD80" s="743">
        <f t="shared" si="2"/>
        <v>22648000</v>
      </c>
      <c r="AE80" s="1506"/>
      <c r="AF80" s="943">
        <v>486</v>
      </c>
      <c r="AG80" s="279" t="s">
        <v>881</v>
      </c>
      <c r="AH80" s="279" t="s">
        <v>675</v>
      </c>
      <c r="AI80" s="517">
        <f t="shared" si="3"/>
        <v>320</v>
      </c>
      <c r="AJ80" s="316">
        <v>47680000</v>
      </c>
      <c r="AK80" s="926">
        <f t="shared" si="5"/>
        <v>0</v>
      </c>
      <c r="AL80" s="973"/>
      <c r="AM80" s="314">
        <f t="shared" si="4"/>
        <v>0</v>
      </c>
    </row>
    <row r="81" spans="1:39" s="8" customFormat="1">
      <c r="A81" s="82" t="s">
        <v>35</v>
      </c>
      <c r="B81" s="161">
        <f t="shared" si="9"/>
        <v>40950000</v>
      </c>
      <c r="C81" s="79" t="s">
        <v>36</v>
      </c>
      <c r="D81" s="79" t="s">
        <v>862</v>
      </c>
      <c r="E81" s="79" t="s">
        <v>37</v>
      </c>
      <c r="F81" s="79" t="s">
        <v>351</v>
      </c>
      <c r="G81" s="1936" t="s">
        <v>38</v>
      </c>
      <c r="H81" s="1943" t="s">
        <v>1384</v>
      </c>
      <c r="I81" s="1041">
        <v>487</v>
      </c>
      <c r="J81" s="160"/>
      <c r="K81" s="486"/>
      <c r="L81" s="1682">
        <v>453</v>
      </c>
      <c r="M81" s="1592">
        <v>40950000</v>
      </c>
      <c r="N81" s="1682">
        <v>468</v>
      </c>
      <c r="O81" s="1704">
        <v>40950000</v>
      </c>
      <c r="P81" s="236">
        <v>339</v>
      </c>
      <c r="Q81" s="467"/>
      <c r="R81" s="467"/>
      <c r="S81" s="467"/>
      <c r="T81" s="166"/>
      <c r="U81" s="166"/>
      <c r="V81" s="166">
        <v>4368000</v>
      </c>
      <c r="W81" s="166">
        <v>5460000</v>
      </c>
      <c r="X81" s="166">
        <v>5460000</v>
      </c>
      <c r="Y81" s="166">
        <v>5460000</v>
      </c>
      <c r="Z81" s="467"/>
      <c r="AA81" s="467"/>
      <c r="AB81" s="467"/>
      <c r="AC81" s="468">
        <f t="shared" si="1"/>
        <v>20748000</v>
      </c>
      <c r="AD81" s="743">
        <f t="shared" si="2"/>
        <v>20202000</v>
      </c>
      <c r="AE81" s="1506"/>
      <c r="AF81" s="943">
        <v>487</v>
      </c>
      <c r="AG81" s="279" t="s">
        <v>336</v>
      </c>
      <c r="AH81" s="279" t="s">
        <v>678</v>
      </c>
      <c r="AI81" s="517">
        <f t="shared" si="3"/>
        <v>339</v>
      </c>
      <c r="AJ81" s="316">
        <f>43680000-2730000</f>
        <v>40950000</v>
      </c>
      <c r="AK81" s="926">
        <f t="shared" si="5"/>
        <v>0</v>
      </c>
      <c r="AL81" s="973"/>
      <c r="AM81" s="314">
        <f t="shared" si="4"/>
        <v>0</v>
      </c>
    </row>
    <row r="82" spans="1:39" s="8" customFormat="1">
      <c r="A82" s="82" t="s">
        <v>35</v>
      </c>
      <c r="B82" s="161">
        <f t="shared" si="9"/>
        <v>16320000</v>
      </c>
      <c r="C82" s="79" t="s">
        <v>36</v>
      </c>
      <c r="D82" s="79" t="s">
        <v>862</v>
      </c>
      <c r="E82" s="79" t="s">
        <v>37</v>
      </c>
      <c r="F82" s="79" t="s">
        <v>351</v>
      </c>
      <c r="G82" s="1936" t="s">
        <v>38</v>
      </c>
      <c r="H82" s="1943" t="s">
        <v>1384</v>
      </c>
      <c r="I82" s="1041">
        <v>488</v>
      </c>
      <c r="J82" s="160"/>
      <c r="K82" s="486"/>
      <c r="L82" s="1682">
        <v>451</v>
      </c>
      <c r="M82" s="1592">
        <v>16320000</v>
      </c>
      <c r="N82" s="1682">
        <v>480</v>
      </c>
      <c r="O82" s="1704">
        <v>16320000</v>
      </c>
      <c r="P82" s="236">
        <v>343</v>
      </c>
      <c r="Q82" s="467"/>
      <c r="R82" s="467"/>
      <c r="S82" s="467"/>
      <c r="T82" s="166"/>
      <c r="U82" s="166"/>
      <c r="V82" s="166">
        <v>2085333</v>
      </c>
      <c r="W82" s="166">
        <v>2720000</v>
      </c>
      <c r="X82" s="166">
        <v>2720000</v>
      </c>
      <c r="Y82" s="166">
        <v>2720000</v>
      </c>
      <c r="Z82" s="467"/>
      <c r="AA82" s="467"/>
      <c r="AB82" s="467"/>
      <c r="AC82" s="468">
        <f t="shared" si="1"/>
        <v>10245333</v>
      </c>
      <c r="AD82" s="743">
        <f t="shared" si="2"/>
        <v>6074667</v>
      </c>
      <c r="AE82" s="1506"/>
      <c r="AF82" s="943">
        <v>488</v>
      </c>
      <c r="AG82" s="279" t="s">
        <v>344</v>
      </c>
      <c r="AH82" s="279" t="s">
        <v>1029</v>
      </c>
      <c r="AI82" s="517">
        <f t="shared" si="3"/>
        <v>343</v>
      </c>
      <c r="AJ82" s="316">
        <f>16480000</f>
        <v>16480000</v>
      </c>
      <c r="AK82" s="926">
        <f t="shared" si="5"/>
        <v>160000</v>
      </c>
      <c r="AL82" s="973"/>
      <c r="AM82" s="314">
        <f t="shared" si="4"/>
        <v>160000</v>
      </c>
    </row>
    <row r="83" spans="1:39" s="8" customFormat="1">
      <c r="A83" s="82" t="s">
        <v>35</v>
      </c>
      <c r="B83" s="161">
        <f t="shared" si="9"/>
        <v>0</v>
      </c>
      <c r="C83" s="79" t="s">
        <v>36</v>
      </c>
      <c r="D83" s="79" t="s">
        <v>862</v>
      </c>
      <c r="E83" s="79" t="s">
        <v>37</v>
      </c>
      <c r="F83" s="79" t="s">
        <v>351</v>
      </c>
      <c r="G83" s="1936" t="s">
        <v>38</v>
      </c>
      <c r="H83" s="1943" t="s">
        <v>1384</v>
      </c>
      <c r="I83" s="1041" t="s">
        <v>178</v>
      </c>
      <c r="J83" s="160"/>
      <c r="K83" s="486"/>
      <c r="L83" s="1682"/>
      <c r="M83" s="1592"/>
      <c r="N83" s="1682"/>
      <c r="O83" s="1704"/>
      <c r="P83" s="236"/>
      <c r="Q83" s="467"/>
      <c r="R83" s="467"/>
      <c r="S83" s="467"/>
      <c r="T83" s="166"/>
      <c r="U83" s="166"/>
      <c r="V83" s="166"/>
      <c r="W83" s="166"/>
      <c r="X83" s="166"/>
      <c r="Y83" s="166"/>
      <c r="Z83" s="467"/>
      <c r="AA83" s="467"/>
      <c r="AB83" s="467"/>
      <c r="AC83" s="468">
        <f t="shared" si="1"/>
        <v>0</v>
      </c>
      <c r="AD83" s="743">
        <f t="shared" si="2"/>
        <v>0</v>
      </c>
      <c r="AE83" s="1506"/>
      <c r="AF83" s="943" t="s">
        <v>349</v>
      </c>
      <c r="AG83" s="279" t="s">
        <v>1272</v>
      </c>
      <c r="AH83" s="279" t="s">
        <v>1029</v>
      </c>
      <c r="AI83" s="517">
        <f t="shared" si="3"/>
        <v>0</v>
      </c>
      <c r="AJ83" s="316">
        <v>4080000</v>
      </c>
      <c r="AK83" s="926">
        <f t="shared" si="5"/>
        <v>4080000</v>
      </c>
      <c r="AL83" s="973"/>
      <c r="AM83" s="314">
        <f t="shared" si="4"/>
        <v>4080000</v>
      </c>
    </row>
    <row r="84" spans="1:39" s="8" customFormat="1">
      <c r="A84" s="82" t="s">
        <v>35</v>
      </c>
      <c r="B84" s="161">
        <f t="shared" si="9"/>
        <v>49650000</v>
      </c>
      <c r="C84" s="79" t="s">
        <v>36</v>
      </c>
      <c r="D84" s="79" t="s">
        <v>862</v>
      </c>
      <c r="E84" s="79" t="s">
        <v>37</v>
      </c>
      <c r="F84" s="79" t="s">
        <v>351</v>
      </c>
      <c r="G84" s="1936" t="s">
        <v>38</v>
      </c>
      <c r="H84" s="1943" t="s">
        <v>1384</v>
      </c>
      <c r="I84" s="1041">
        <v>489</v>
      </c>
      <c r="J84" s="160"/>
      <c r="K84" s="486"/>
      <c r="L84" s="1682">
        <v>454</v>
      </c>
      <c r="M84" s="1592">
        <v>49650000</v>
      </c>
      <c r="N84" s="1682">
        <v>478</v>
      </c>
      <c r="O84" s="1704">
        <v>49650000</v>
      </c>
      <c r="P84" s="236">
        <v>347</v>
      </c>
      <c r="Q84" s="467"/>
      <c r="R84" s="467"/>
      <c r="S84" s="467"/>
      <c r="T84" s="166"/>
      <c r="U84" s="166"/>
      <c r="V84" s="166">
        <v>5075333</v>
      </c>
      <c r="W84" s="166">
        <v>6620000</v>
      </c>
      <c r="X84" s="166">
        <v>6620000</v>
      </c>
      <c r="Y84" s="166">
        <v>6620000</v>
      </c>
      <c r="Z84" s="467"/>
      <c r="AA84" s="467"/>
      <c r="AB84" s="467"/>
      <c r="AC84" s="468">
        <f t="shared" si="1"/>
        <v>24935333</v>
      </c>
      <c r="AD84" s="743">
        <f t="shared" si="2"/>
        <v>24714667</v>
      </c>
      <c r="AE84" s="1506"/>
      <c r="AF84" s="943">
        <v>489</v>
      </c>
      <c r="AG84" s="279" t="s">
        <v>882</v>
      </c>
      <c r="AH84" s="279" t="s">
        <v>1030</v>
      </c>
      <c r="AI84" s="517">
        <f t="shared" si="3"/>
        <v>347</v>
      </c>
      <c r="AJ84" s="316">
        <f>52960000-3310000</f>
        <v>49650000</v>
      </c>
      <c r="AK84" s="926">
        <f t="shared" si="5"/>
        <v>0</v>
      </c>
      <c r="AL84" s="973"/>
      <c r="AM84" s="314">
        <f t="shared" si="4"/>
        <v>0</v>
      </c>
    </row>
    <row r="85" spans="1:39" s="8" customFormat="1">
      <c r="A85" s="82" t="s">
        <v>35</v>
      </c>
      <c r="B85" s="161">
        <f t="shared" si="9"/>
        <v>18938692</v>
      </c>
      <c r="C85" s="79" t="s">
        <v>36</v>
      </c>
      <c r="D85" s="79" t="s">
        <v>862</v>
      </c>
      <c r="E85" s="79" t="s">
        <v>37</v>
      </c>
      <c r="F85" s="79" t="s">
        <v>351</v>
      </c>
      <c r="G85" s="1936" t="s">
        <v>38</v>
      </c>
      <c r="H85" s="1943" t="s">
        <v>1384</v>
      </c>
      <c r="I85" s="1041">
        <v>490</v>
      </c>
      <c r="J85" s="160"/>
      <c r="K85" s="486"/>
      <c r="L85" s="1682" t="s">
        <v>983</v>
      </c>
      <c r="M85" s="1592">
        <f>40200000-40200000+41093410-22154718</f>
        <v>18938692</v>
      </c>
      <c r="N85" s="1682">
        <v>489</v>
      </c>
      <c r="O85" s="1704">
        <f>41093410-22154718</f>
        <v>18938692</v>
      </c>
      <c r="P85" s="236">
        <v>352</v>
      </c>
      <c r="Q85" s="467"/>
      <c r="R85" s="467"/>
      <c r="S85" s="467"/>
      <c r="T85" s="166"/>
      <c r="U85" s="166"/>
      <c r="V85" s="166">
        <v>3216006</v>
      </c>
      <c r="W85" s="166">
        <v>5360000</v>
      </c>
      <c r="X85" s="166">
        <v>5360010</v>
      </c>
      <c r="Y85" s="166">
        <v>5002676</v>
      </c>
      <c r="Z85" s="467"/>
      <c r="AA85" s="467"/>
      <c r="AB85" s="467"/>
      <c r="AC85" s="468">
        <f t="shared" ref="AC85:AC114" si="10">SUM(Q85:AB85)</f>
        <v>18938692</v>
      </c>
      <c r="AD85" s="743">
        <f t="shared" ref="AD85:AD114" si="11">O85-AC85</f>
        <v>0</v>
      </c>
      <c r="AE85" s="1506"/>
      <c r="AF85" s="943">
        <v>490</v>
      </c>
      <c r="AG85" s="279" t="s">
        <v>883</v>
      </c>
      <c r="AH85" s="279" t="s">
        <v>1031</v>
      </c>
      <c r="AI85" s="517">
        <f t="shared" si="3"/>
        <v>352</v>
      </c>
      <c r="AJ85" s="316">
        <f>42880000-1786590-22154718</f>
        <v>18938692</v>
      </c>
      <c r="AK85" s="926">
        <f t="shared" si="5"/>
        <v>0</v>
      </c>
      <c r="AL85" s="973"/>
      <c r="AM85" s="314">
        <f t="shared" ref="AM85:AM114" si="12">AJ85-M85</f>
        <v>0</v>
      </c>
    </row>
    <row r="86" spans="1:39" s="8" customFormat="1">
      <c r="A86" s="82" t="s">
        <v>35</v>
      </c>
      <c r="B86" s="161">
        <f t="shared" si="9"/>
        <v>40200000</v>
      </c>
      <c r="C86" s="79" t="s">
        <v>36</v>
      </c>
      <c r="D86" s="79" t="s">
        <v>862</v>
      </c>
      <c r="E86" s="79" t="s">
        <v>37</v>
      </c>
      <c r="F86" s="79" t="s">
        <v>351</v>
      </c>
      <c r="G86" s="1936" t="s">
        <v>38</v>
      </c>
      <c r="H86" s="1943" t="s">
        <v>1384</v>
      </c>
      <c r="I86" s="1041">
        <v>491</v>
      </c>
      <c r="J86" s="160"/>
      <c r="K86" s="486"/>
      <c r="L86" s="1682" t="s">
        <v>984</v>
      </c>
      <c r="M86" s="1592">
        <f>42880000-42880000+40200000</f>
        <v>40200000</v>
      </c>
      <c r="N86" s="1682">
        <v>505</v>
      </c>
      <c r="O86" s="1704">
        <v>40200000</v>
      </c>
      <c r="P86" s="236">
        <v>358</v>
      </c>
      <c r="Q86" s="467"/>
      <c r="R86" s="467"/>
      <c r="S86" s="467"/>
      <c r="T86" s="166"/>
      <c r="U86" s="166"/>
      <c r="V86" s="166">
        <v>2501333</v>
      </c>
      <c r="W86" s="166">
        <v>5360000</v>
      </c>
      <c r="X86" s="166">
        <v>5360000</v>
      </c>
      <c r="Y86" s="166">
        <v>5360000</v>
      </c>
      <c r="Z86" s="467"/>
      <c r="AA86" s="467"/>
      <c r="AB86" s="467"/>
      <c r="AC86" s="468">
        <f t="shared" si="10"/>
        <v>18581333</v>
      </c>
      <c r="AD86" s="743">
        <f t="shared" si="11"/>
        <v>21618667</v>
      </c>
      <c r="AE86" s="1506"/>
      <c r="AF86" s="943">
        <v>491</v>
      </c>
      <c r="AG86" s="279" t="s">
        <v>884</v>
      </c>
      <c r="AH86" s="279" t="s">
        <v>677</v>
      </c>
      <c r="AI86" s="517">
        <f t="shared" si="3"/>
        <v>358</v>
      </c>
      <c r="AJ86" s="316">
        <f>42880000-2680000</f>
        <v>40200000</v>
      </c>
      <c r="AK86" s="926">
        <f t="shared" si="5"/>
        <v>0</v>
      </c>
      <c r="AL86" s="973"/>
      <c r="AM86" s="314">
        <f t="shared" si="12"/>
        <v>0</v>
      </c>
    </row>
    <row r="87" spans="1:39" s="8" customFormat="1">
      <c r="A87" s="82" t="s">
        <v>35</v>
      </c>
      <c r="B87" s="161">
        <f t="shared" si="9"/>
        <v>30150000</v>
      </c>
      <c r="C87" s="79" t="s">
        <v>36</v>
      </c>
      <c r="D87" s="79" t="s">
        <v>862</v>
      </c>
      <c r="E87" s="79" t="s">
        <v>37</v>
      </c>
      <c r="F87" s="79" t="s">
        <v>351</v>
      </c>
      <c r="G87" s="1936" t="s">
        <v>38</v>
      </c>
      <c r="H87" s="1943" t="s">
        <v>1384</v>
      </c>
      <c r="I87" s="1041">
        <v>492</v>
      </c>
      <c r="J87" s="160"/>
      <c r="K87" s="486"/>
      <c r="L87" s="1682">
        <v>456</v>
      </c>
      <c r="M87" s="1592">
        <v>30150000</v>
      </c>
      <c r="N87" s="1682">
        <v>477</v>
      </c>
      <c r="O87" s="1704">
        <v>30150000</v>
      </c>
      <c r="P87" s="236">
        <v>346</v>
      </c>
      <c r="Q87" s="467"/>
      <c r="R87" s="467"/>
      <c r="S87" s="467"/>
      <c r="T87" s="166"/>
      <c r="U87" s="166"/>
      <c r="V87" s="166">
        <v>3082000</v>
      </c>
      <c r="W87" s="166">
        <v>4020000</v>
      </c>
      <c r="X87" s="166">
        <v>4020000</v>
      </c>
      <c r="Y87" s="166">
        <v>4020000</v>
      </c>
      <c r="Z87" s="467"/>
      <c r="AA87" s="467"/>
      <c r="AB87" s="467"/>
      <c r="AC87" s="468">
        <f t="shared" si="10"/>
        <v>15142000</v>
      </c>
      <c r="AD87" s="743">
        <f t="shared" si="11"/>
        <v>15008000</v>
      </c>
      <c r="AE87" s="1506"/>
      <c r="AF87" s="943">
        <v>492</v>
      </c>
      <c r="AG87" s="279" t="s">
        <v>885</v>
      </c>
      <c r="AH87" s="279" t="s">
        <v>680</v>
      </c>
      <c r="AI87" s="517">
        <f t="shared" si="3"/>
        <v>346</v>
      </c>
      <c r="AJ87" s="316">
        <f>32160000-2010000</f>
        <v>30150000</v>
      </c>
      <c r="AK87" s="926">
        <f t="shared" si="5"/>
        <v>0</v>
      </c>
      <c r="AL87" s="973"/>
      <c r="AM87" s="314">
        <f t="shared" si="12"/>
        <v>0</v>
      </c>
    </row>
    <row r="88" spans="1:39" s="8" customFormat="1">
      <c r="A88" s="82" t="s">
        <v>35</v>
      </c>
      <c r="B88" s="161">
        <f t="shared" si="9"/>
        <v>30150000</v>
      </c>
      <c r="C88" s="79" t="s">
        <v>36</v>
      </c>
      <c r="D88" s="79" t="s">
        <v>862</v>
      </c>
      <c r="E88" s="79" t="s">
        <v>37</v>
      </c>
      <c r="F88" s="79" t="s">
        <v>351</v>
      </c>
      <c r="G88" s="1936" t="s">
        <v>38</v>
      </c>
      <c r="H88" s="1943" t="s">
        <v>1384</v>
      </c>
      <c r="I88" s="1041">
        <v>493</v>
      </c>
      <c r="J88" s="160"/>
      <c r="K88" s="486"/>
      <c r="L88" s="1682">
        <v>457</v>
      </c>
      <c r="M88" s="1592">
        <v>30150000</v>
      </c>
      <c r="N88" s="1682">
        <v>475</v>
      </c>
      <c r="O88" s="1704">
        <v>30150000</v>
      </c>
      <c r="P88" s="236">
        <v>345</v>
      </c>
      <c r="Q88" s="467"/>
      <c r="R88" s="467"/>
      <c r="S88" s="467"/>
      <c r="T88" s="166"/>
      <c r="U88" s="166">
        <v>4020000</v>
      </c>
      <c r="V88" s="166">
        <v>3082000</v>
      </c>
      <c r="W88" s="166"/>
      <c r="X88" s="166">
        <v>4020000</v>
      </c>
      <c r="Y88" s="166">
        <v>4020000</v>
      </c>
      <c r="Z88" s="467"/>
      <c r="AA88" s="467"/>
      <c r="AB88" s="467"/>
      <c r="AC88" s="468">
        <f t="shared" si="10"/>
        <v>15142000</v>
      </c>
      <c r="AD88" s="743">
        <f t="shared" si="11"/>
        <v>15008000</v>
      </c>
      <c r="AE88" s="1506"/>
      <c r="AF88" s="943">
        <v>493</v>
      </c>
      <c r="AG88" s="279" t="s">
        <v>885</v>
      </c>
      <c r="AH88" s="279" t="s">
        <v>681</v>
      </c>
      <c r="AI88" s="517">
        <f t="shared" si="3"/>
        <v>345</v>
      </c>
      <c r="AJ88" s="316">
        <f>32160000-2010000</f>
        <v>30150000</v>
      </c>
      <c r="AK88" s="926">
        <f t="shared" si="5"/>
        <v>0</v>
      </c>
      <c r="AL88" s="973"/>
      <c r="AM88" s="314">
        <f t="shared" si="12"/>
        <v>0</v>
      </c>
    </row>
    <row r="89" spans="1:39" s="8" customFormat="1">
      <c r="A89" s="82" t="s">
        <v>35</v>
      </c>
      <c r="B89" s="161">
        <f t="shared" si="9"/>
        <v>19350000</v>
      </c>
      <c r="C89" s="79" t="s">
        <v>36</v>
      </c>
      <c r="D89" s="79" t="s">
        <v>862</v>
      </c>
      <c r="E89" s="79" t="s">
        <v>37</v>
      </c>
      <c r="F89" s="79" t="s">
        <v>351</v>
      </c>
      <c r="G89" s="1936" t="s">
        <v>38</v>
      </c>
      <c r="H89" s="1943" t="s">
        <v>1384</v>
      </c>
      <c r="I89" s="1041">
        <v>494</v>
      </c>
      <c r="J89" s="160"/>
      <c r="K89" s="486"/>
      <c r="L89" s="1682">
        <v>440</v>
      </c>
      <c r="M89" s="1592">
        <v>19350000</v>
      </c>
      <c r="N89" s="1682">
        <v>479</v>
      </c>
      <c r="O89" s="1704">
        <v>19350000</v>
      </c>
      <c r="P89" s="236">
        <v>340</v>
      </c>
      <c r="Q89" s="467"/>
      <c r="R89" s="467"/>
      <c r="S89" s="467"/>
      <c r="T89" s="166"/>
      <c r="U89" s="166"/>
      <c r="V89" s="166">
        <v>1978000</v>
      </c>
      <c r="W89" s="166">
        <v>2580000</v>
      </c>
      <c r="X89" s="166">
        <v>2580000</v>
      </c>
      <c r="Y89" s="166">
        <v>2580000</v>
      </c>
      <c r="Z89" s="467"/>
      <c r="AA89" s="467"/>
      <c r="AB89" s="467"/>
      <c r="AC89" s="468">
        <f t="shared" si="10"/>
        <v>9718000</v>
      </c>
      <c r="AD89" s="743">
        <f t="shared" si="11"/>
        <v>9632000</v>
      </c>
      <c r="AE89" s="1506"/>
      <c r="AF89" s="943">
        <v>494</v>
      </c>
      <c r="AG89" s="279" t="s">
        <v>886</v>
      </c>
      <c r="AH89" s="279" t="s">
        <v>683</v>
      </c>
      <c r="AI89" s="517">
        <f t="shared" ref="AI89:AI93" si="13">P89</f>
        <v>340</v>
      </c>
      <c r="AJ89" s="316">
        <f>20640000-1290000</f>
        <v>19350000</v>
      </c>
      <c r="AK89" s="926">
        <f t="shared" si="5"/>
        <v>0</v>
      </c>
      <c r="AL89" s="973"/>
      <c r="AM89" s="314">
        <f t="shared" si="12"/>
        <v>0</v>
      </c>
    </row>
    <row r="90" spans="1:39" s="8" customFormat="1">
      <c r="A90" s="82" t="s">
        <v>35</v>
      </c>
      <c r="B90" s="161">
        <f t="shared" si="9"/>
        <v>41850000</v>
      </c>
      <c r="C90" s="79" t="s">
        <v>36</v>
      </c>
      <c r="D90" s="79" t="s">
        <v>862</v>
      </c>
      <c r="E90" s="79" t="s">
        <v>37</v>
      </c>
      <c r="F90" s="79" t="s">
        <v>351</v>
      </c>
      <c r="G90" s="1936" t="s">
        <v>38</v>
      </c>
      <c r="H90" s="1943" t="s">
        <v>1384</v>
      </c>
      <c r="I90" s="1041">
        <v>495</v>
      </c>
      <c r="J90" s="160"/>
      <c r="K90" s="486"/>
      <c r="L90" s="1682">
        <v>473</v>
      </c>
      <c r="M90" s="1592">
        <v>41850000</v>
      </c>
      <c r="N90" s="1682">
        <v>508</v>
      </c>
      <c r="O90" s="1704">
        <v>41850000</v>
      </c>
      <c r="P90" s="236">
        <v>361</v>
      </c>
      <c r="Q90" s="467"/>
      <c r="R90" s="467"/>
      <c r="S90" s="467"/>
      <c r="T90" s="166"/>
      <c r="U90" s="166"/>
      <c r="V90" s="166">
        <v>2418000</v>
      </c>
      <c r="W90" s="166">
        <v>5580000</v>
      </c>
      <c r="X90" s="166">
        <v>5580000</v>
      </c>
      <c r="Y90" s="166">
        <v>4650000</v>
      </c>
      <c r="Z90" s="467"/>
      <c r="AA90" s="467"/>
      <c r="AB90" s="467"/>
      <c r="AC90" s="468">
        <f t="shared" si="10"/>
        <v>18228000</v>
      </c>
      <c r="AD90" s="743">
        <f t="shared" si="11"/>
        <v>23622000</v>
      </c>
      <c r="AE90" s="1506"/>
      <c r="AF90" s="943">
        <v>495</v>
      </c>
      <c r="AG90" s="279" t="s">
        <v>263</v>
      </c>
      <c r="AH90" s="279" t="s">
        <v>673</v>
      </c>
      <c r="AI90" s="517">
        <f t="shared" si="13"/>
        <v>361</v>
      </c>
      <c r="AJ90" s="316">
        <f>44640000-2790000</f>
        <v>41850000</v>
      </c>
      <c r="AK90" s="926">
        <f t="shared" ref="AK90:AK114" si="14">AJ90-O90</f>
        <v>0</v>
      </c>
      <c r="AL90" s="973"/>
      <c r="AM90" s="314">
        <f t="shared" si="12"/>
        <v>0</v>
      </c>
    </row>
    <row r="91" spans="1:39" s="8" customFormat="1">
      <c r="A91" s="82" t="s">
        <v>35</v>
      </c>
      <c r="B91" s="161">
        <f t="shared" si="9"/>
        <v>27000000</v>
      </c>
      <c r="C91" s="79" t="s">
        <v>36</v>
      </c>
      <c r="D91" s="79" t="s">
        <v>862</v>
      </c>
      <c r="E91" s="79" t="s">
        <v>37</v>
      </c>
      <c r="F91" s="79" t="s">
        <v>351</v>
      </c>
      <c r="G91" s="1936" t="s">
        <v>38</v>
      </c>
      <c r="H91" s="1943" t="s">
        <v>1384</v>
      </c>
      <c r="I91" s="1041">
        <v>496</v>
      </c>
      <c r="J91" s="160"/>
      <c r="K91" s="486"/>
      <c r="L91" s="1682">
        <v>458</v>
      </c>
      <c r="M91" s="1592">
        <v>27000000</v>
      </c>
      <c r="N91" s="1682">
        <v>472</v>
      </c>
      <c r="O91" s="1704">
        <v>27000000</v>
      </c>
      <c r="P91" s="236">
        <v>338</v>
      </c>
      <c r="Q91" s="467"/>
      <c r="R91" s="467"/>
      <c r="S91" s="467"/>
      <c r="T91" s="166"/>
      <c r="U91" s="166"/>
      <c r="V91" s="166">
        <v>2760000</v>
      </c>
      <c r="W91" s="166">
        <v>3600000</v>
      </c>
      <c r="X91" s="166">
        <v>3600000</v>
      </c>
      <c r="Y91" s="166">
        <v>3600000</v>
      </c>
      <c r="Z91" s="467"/>
      <c r="AA91" s="467"/>
      <c r="AB91" s="467"/>
      <c r="AC91" s="468">
        <f t="shared" si="10"/>
        <v>13560000</v>
      </c>
      <c r="AD91" s="743">
        <f t="shared" si="11"/>
        <v>13440000</v>
      </c>
      <c r="AE91" s="1506"/>
      <c r="AF91" s="943">
        <v>496</v>
      </c>
      <c r="AG91" s="279" t="s">
        <v>887</v>
      </c>
      <c r="AH91" s="279" t="s">
        <v>682</v>
      </c>
      <c r="AI91" s="517">
        <f t="shared" si="13"/>
        <v>338</v>
      </c>
      <c r="AJ91" s="316">
        <f>28800000-1800000</f>
        <v>27000000</v>
      </c>
      <c r="AK91" s="926">
        <f t="shared" si="14"/>
        <v>0</v>
      </c>
      <c r="AL91" s="973"/>
      <c r="AM91" s="314">
        <f t="shared" si="12"/>
        <v>0</v>
      </c>
    </row>
    <row r="92" spans="1:39" s="8" customFormat="1">
      <c r="A92" s="82" t="s">
        <v>35</v>
      </c>
      <c r="B92" s="161">
        <f t="shared" si="9"/>
        <v>9650000</v>
      </c>
      <c r="C92" s="79" t="s">
        <v>36</v>
      </c>
      <c r="D92" s="79" t="s">
        <v>862</v>
      </c>
      <c r="E92" s="79" t="s">
        <v>37</v>
      </c>
      <c r="F92" s="79" t="s">
        <v>351</v>
      </c>
      <c r="G92" s="1936" t="s">
        <v>38</v>
      </c>
      <c r="H92" s="1943" t="s">
        <v>1384</v>
      </c>
      <c r="I92" s="1041">
        <v>497</v>
      </c>
      <c r="J92" s="160"/>
      <c r="K92" s="486"/>
      <c r="L92" s="1682">
        <v>459</v>
      </c>
      <c r="M92" s="1592">
        <v>9650000</v>
      </c>
      <c r="N92" s="1682">
        <v>484</v>
      </c>
      <c r="O92" s="1592">
        <v>9650000</v>
      </c>
      <c r="P92" s="236">
        <v>350</v>
      </c>
      <c r="Q92" s="467"/>
      <c r="R92" s="467"/>
      <c r="S92" s="467"/>
      <c r="T92" s="166"/>
      <c r="U92" s="166"/>
      <c r="V92" s="166">
        <v>4854667</v>
      </c>
      <c r="W92" s="166">
        <v>4795333</v>
      </c>
      <c r="X92" s="166">
        <v>0</v>
      </c>
      <c r="Y92" s="166">
        <v>0</v>
      </c>
      <c r="Z92" s="467"/>
      <c r="AA92" s="467"/>
      <c r="AB92" s="467"/>
      <c r="AC92" s="468">
        <f t="shared" si="10"/>
        <v>9650000</v>
      </c>
      <c r="AD92" s="743">
        <f t="shared" si="11"/>
        <v>0</v>
      </c>
      <c r="AE92" s="1506"/>
      <c r="AF92" s="943">
        <v>497</v>
      </c>
      <c r="AG92" s="279" t="s">
        <v>330</v>
      </c>
      <c r="AH92" s="279" t="s">
        <v>679</v>
      </c>
      <c r="AI92" s="517">
        <f t="shared" si="13"/>
        <v>350</v>
      </c>
      <c r="AJ92" s="1046">
        <f>12960000-3310000</f>
        <v>9650000</v>
      </c>
      <c r="AK92" s="926">
        <f t="shared" si="14"/>
        <v>0</v>
      </c>
      <c r="AL92" s="973"/>
      <c r="AM92" s="314">
        <f t="shared" si="12"/>
        <v>0</v>
      </c>
    </row>
    <row r="93" spans="1:39" s="8" customFormat="1">
      <c r="A93" s="82" t="s">
        <v>35</v>
      </c>
      <c r="B93" s="161">
        <f>M93</f>
        <v>0</v>
      </c>
      <c r="C93" s="79" t="s">
        <v>36</v>
      </c>
      <c r="D93" s="79" t="s">
        <v>862</v>
      </c>
      <c r="E93" s="79" t="s">
        <v>37</v>
      </c>
      <c r="F93" s="79" t="s">
        <v>351</v>
      </c>
      <c r="G93" s="1936" t="s">
        <v>38</v>
      </c>
      <c r="H93" s="1943" t="s">
        <v>1384</v>
      </c>
      <c r="I93" s="230">
        <v>84</v>
      </c>
      <c r="J93" s="160">
        <v>0</v>
      </c>
      <c r="K93" s="486"/>
      <c r="L93" s="1682">
        <v>404</v>
      </c>
      <c r="M93" s="1592">
        <f>38000000-38000000</f>
        <v>0</v>
      </c>
      <c r="N93" s="1682"/>
      <c r="O93" s="1704"/>
      <c r="P93" s="236"/>
      <c r="Q93" s="467"/>
      <c r="R93" s="467"/>
      <c r="S93" s="467"/>
      <c r="T93" s="166"/>
      <c r="U93" s="166"/>
      <c r="V93" s="166"/>
      <c r="W93" s="166"/>
      <c r="X93" s="166"/>
      <c r="Y93" s="166"/>
      <c r="Z93" s="467"/>
      <c r="AA93" s="467"/>
      <c r="AB93" s="467"/>
      <c r="AC93" s="468">
        <f t="shared" si="10"/>
        <v>0</v>
      </c>
      <c r="AD93" s="743">
        <f t="shared" si="11"/>
        <v>0</v>
      </c>
      <c r="AE93" s="1506"/>
      <c r="AF93" s="943" t="s">
        <v>349</v>
      </c>
      <c r="AG93" s="279" t="s">
        <v>888</v>
      </c>
      <c r="AH93" s="279" t="s">
        <v>178</v>
      </c>
      <c r="AI93" s="517">
        <f t="shared" si="13"/>
        <v>0</v>
      </c>
      <c r="AJ93" s="1046">
        <f>38000000-38000000</f>
        <v>0</v>
      </c>
      <c r="AK93" s="926">
        <f t="shared" si="14"/>
        <v>0</v>
      </c>
      <c r="AL93" s="973"/>
      <c r="AM93" s="314">
        <f t="shared" si="12"/>
        <v>0</v>
      </c>
    </row>
    <row r="94" spans="1:39" s="8" customFormat="1">
      <c r="A94" s="82" t="s">
        <v>35</v>
      </c>
      <c r="B94" s="161">
        <f t="shared" si="9"/>
        <v>11200000</v>
      </c>
      <c r="C94" s="79" t="s">
        <v>36</v>
      </c>
      <c r="D94" s="79" t="s">
        <v>862</v>
      </c>
      <c r="E94" s="79" t="s">
        <v>37</v>
      </c>
      <c r="F94" s="79" t="s">
        <v>351</v>
      </c>
      <c r="G94" s="1936" t="s">
        <v>38</v>
      </c>
      <c r="H94" s="1943" t="s">
        <v>1384</v>
      </c>
      <c r="I94" s="1041">
        <v>500</v>
      </c>
      <c r="J94" s="160"/>
      <c r="K94" s="486"/>
      <c r="L94" s="1682">
        <v>489</v>
      </c>
      <c r="M94" s="1592">
        <v>11200000</v>
      </c>
      <c r="N94" s="1682">
        <v>558</v>
      </c>
      <c r="O94" s="1704">
        <v>11200000</v>
      </c>
      <c r="P94" s="236">
        <v>366</v>
      </c>
      <c r="Q94" s="467"/>
      <c r="R94" s="467"/>
      <c r="S94" s="467"/>
      <c r="T94" s="166"/>
      <c r="U94" s="166"/>
      <c r="V94" s="166"/>
      <c r="W94" s="166">
        <v>3080000</v>
      </c>
      <c r="X94" s="166">
        <v>2800000</v>
      </c>
      <c r="Y94" s="166">
        <v>2800000</v>
      </c>
      <c r="Z94" s="467"/>
      <c r="AA94" s="467"/>
      <c r="AB94" s="467"/>
      <c r="AC94" s="468">
        <f t="shared" si="10"/>
        <v>8680000</v>
      </c>
      <c r="AD94" s="743">
        <f t="shared" si="11"/>
        <v>2520000</v>
      </c>
      <c r="AE94" s="1506"/>
      <c r="AF94" s="943">
        <v>500</v>
      </c>
      <c r="AG94" s="279" t="s">
        <v>941</v>
      </c>
      <c r="AH94" s="279" t="s">
        <v>1076</v>
      </c>
      <c r="AI94" s="517">
        <f t="shared" ref="AI94:AI105" si="15">P94</f>
        <v>366</v>
      </c>
      <c r="AJ94" s="1046">
        <f>28000000-16800000</f>
        <v>11200000</v>
      </c>
      <c r="AK94" s="926">
        <f t="shared" si="14"/>
        <v>0</v>
      </c>
      <c r="AL94" s="973"/>
      <c r="AM94" s="314">
        <f t="shared" si="12"/>
        <v>0</v>
      </c>
    </row>
    <row r="95" spans="1:39" s="8" customFormat="1">
      <c r="A95" s="82" t="s">
        <v>35</v>
      </c>
      <c r="B95" s="161">
        <f t="shared" si="9"/>
        <v>28000000</v>
      </c>
      <c r="C95" s="79" t="s">
        <v>36</v>
      </c>
      <c r="D95" s="79" t="s">
        <v>862</v>
      </c>
      <c r="E95" s="79" t="s">
        <v>37</v>
      </c>
      <c r="F95" s="79" t="s">
        <v>351</v>
      </c>
      <c r="G95" s="1936" t="s">
        <v>38</v>
      </c>
      <c r="H95" s="1943" t="s">
        <v>1384</v>
      </c>
      <c r="I95" s="1041">
        <v>523</v>
      </c>
      <c r="J95" s="160"/>
      <c r="K95" s="486"/>
      <c r="L95" s="1682">
        <v>512</v>
      </c>
      <c r="M95" s="1592">
        <v>28000000</v>
      </c>
      <c r="N95" s="1682">
        <v>579</v>
      </c>
      <c r="O95" s="1704">
        <v>28000000</v>
      </c>
      <c r="P95" s="236">
        <v>375</v>
      </c>
      <c r="Q95" s="467"/>
      <c r="R95" s="467"/>
      <c r="S95" s="467"/>
      <c r="T95" s="467"/>
      <c r="U95" s="166"/>
      <c r="V95" s="166"/>
      <c r="W95" s="166">
        <v>4000000</v>
      </c>
      <c r="X95" s="166">
        <v>4000000</v>
      </c>
      <c r="Y95" s="166">
        <v>4000000</v>
      </c>
      <c r="Z95" s="467"/>
      <c r="AA95" s="467"/>
      <c r="AB95" s="467"/>
      <c r="AC95" s="468">
        <f t="shared" si="10"/>
        <v>12000000</v>
      </c>
      <c r="AD95" s="743">
        <f t="shared" si="11"/>
        <v>16000000</v>
      </c>
      <c r="AE95" s="1506"/>
      <c r="AF95" s="943">
        <v>523</v>
      </c>
      <c r="AG95" s="279" t="s">
        <v>1013</v>
      </c>
      <c r="AH95" s="279" t="s">
        <v>1112</v>
      </c>
      <c r="AI95" s="517">
        <f t="shared" si="15"/>
        <v>375</v>
      </c>
      <c r="AJ95" s="1046">
        <v>28000000</v>
      </c>
      <c r="AK95" s="926">
        <f t="shared" ref="AK95:AK105" si="16">AJ95-O95</f>
        <v>0</v>
      </c>
      <c r="AL95" s="973"/>
      <c r="AM95" s="314">
        <f t="shared" si="12"/>
        <v>0</v>
      </c>
    </row>
    <row r="96" spans="1:39" s="8" customFormat="1">
      <c r="A96" s="82" t="s">
        <v>35</v>
      </c>
      <c r="B96" s="161">
        <f t="shared" si="9"/>
        <v>26600000</v>
      </c>
      <c r="C96" s="79" t="s">
        <v>36</v>
      </c>
      <c r="D96" s="79" t="s">
        <v>862</v>
      </c>
      <c r="E96" s="79" t="s">
        <v>37</v>
      </c>
      <c r="F96" s="79" t="s">
        <v>351</v>
      </c>
      <c r="G96" s="1936" t="s">
        <v>38</v>
      </c>
      <c r="H96" s="1943" t="s">
        <v>1384</v>
      </c>
      <c r="I96" s="1041">
        <v>524</v>
      </c>
      <c r="J96" s="160"/>
      <c r="K96" s="486"/>
      <c r="L96" s="1682">
        <v>513</v>
      </c>
      <c r="M96" s="1592">
        <v>26600000</v>
      </c>
      <c r="N96" s="1682">
        <v>580</v>
      </c>
      <c r="O96" s="1704">
        <v>26600000</v>
      </c>
      <c r="P96" s="236">
        <v>376</v>
      </c>
      <c r="Q96" s="467"/>
      <c r="R96" s="467"/>
      <c r="S96" s="467"/>
      <c r="T96" s="467"/>
      <c r="U96" s="166"/>
      <c r="V96" s="166"/>
      <c r="W96" s="166">
        <v>3800000</v>
      </c>
      <c r="X96" s="166">
        <v>3800000</v>
      </c>
      <c r="Y96" s="166">
        <v>3800000</v>
      </c>
      <c r="Z96" s="467"/>
      <c r="AA96" s="467"/>
      <c r="AB96" s="467"/>
      <c r="AC96" s="468">
        <f t="shared" si="10"/>
        <v>11400000</v>
      </c>
      <c r="AD96" s="743">
        <f t="shared" si="11"/>
        <v>15200000</v>
      </c>
      <c r="AE96" s="1506"/>
      <c r="AF96" s="943">
        <v>524</v>
      </c>
      <c r="AG96" s="279" t="s">
        <v>1014</v>
      </c>
      <c r="AH96" s="279" t="s">
        <v>1113</v>
      </c>
      <c r="AI96" s="517">
        <f t="shared" si="15"/>
        <v>376</v>
      </c>
      <c r="AJ96" s="1046">
        <v>26600000</v>
      </c>
      <c r="AK96" s="926">
        <f t="shared" si="16"/>
        <v>0</v>
      </c>
      <c r="AL96" s="973"/>
      <c r="AM96" s="314">
        <f t="shared" si="12"/>
        <v>0</v>
      </c>
    </row>
    <row r="97" spans="1:39" s="8" customFormat="1">
      <c r="A97" s="82" t="s">
        <v>35</v>
      </c>
      <c r="B97" s="161">
        <f t="shared" si="9"/>
        <v>21000000</v>
      </c>
      <c r="C97" s="79" t="s">
        <v>36</v>
      </c>
      <c r="D97" s="79" t="s">
        <v>862</v>
      </c>
      <c r="E97" s="79" t="s">
        <v>37</v>
      </c>
      <c r="F97" s="79" t="s">
        <v>351</v>
      </c>
      <c r="G97" s="1936" t="s">
        <v>38</v>
      </c>
      <c r="H97" s="1943" t="s">
        <v>1384</v>
      </c>
      <c r="I97" s="1041">
        <v>525</v>
      </c>
      <c r="J97" s="160">
        <v>567</v>
      </c>
      <c r="K97" s="486">
        <v>36000000</v>
      </c>
      <c r="L97" s="1682">
        <v>649</v>
      </c>
      <c r="M97" s="1592">
        <f>36000000-15000000</f>
        <v>21000000</v>
      </c>
      <c r="N97" s="1682">
        <v>821</v>
      </c>
      <c r="O97" s="1704">
        <v>21000000</v>
      </c>
      <c r="P97" s="236">
        <v>451</v>
      </c>
      <c r="Q97" s="467"/>
      <c r="R97" s="467"/>
      <c r="S97" s="467"/>
      <c r="T97" s="467"/>
      <c r="U97" s="166"/>
      <c r="V97" s="467"/>
      <c r="W97" s="467"/>
      <c r="X97" s="166"/>
      <c r="Y97" s="166"/>
      <c r="Z97" s="467"/>
      <c r="AA97" s="467"/>
      <c r="AB97" s="467"/>
      <c r="AC97" s="468">
        <f t="shared" si="10"/>
        <v>0</v>
      </c>
      <c r="AD97" s="743">
        <f t="shared" si="11"/>
        <v>21000000</v>
      </c>
      <c r="AE97" s="1506"/>
      <c r="AF97" s="1627">
        <v>525</v>
      </c>
      <c r="AG97" s="279" t="s">
        <v>1015</v>
      </c>
      <c r="AH97" s="279" t="s">
        <v>1343</v>
      </c>
      <c r="AI97" s="517">
        <f t="shared" si="15"/>
        <v>451</v>
      </c>
      <c r="AJ97" s="1629">
        <f>36000000-15000000</f>
        <v>21000000</v>
      </c>
      <c r="AK97" s="926">
        <f t="shared" si="16"/>
        <v>0</v>
      </c>
      <c r="AL97" s="973"/>
      <c r="AM97" s="314">
        <f t="shared" si="12"/>
        <v>0</v>
      </c>
    </row>
    <row r="98" spans="1:39" s="8" customFormat="1">
      <c r="A98" s="82" t="s">
        <v>35</v>
      </c>
      <c r="B98" s="161">
        <f t="shared" si="9"/>
        <v>12250000</v>
      </c>
      <c r="C98" s="79" t="s">
        <v>36</v>
      </c>
      <c r="D98" s="79" t="s">
        <v>862</v>
      </c>
      <c r="E98" s="79" t="s">
        <v>37</v>
      </c>
      <c r="F98" s="79" t="s">
        <v>351</v>
      </c>
      <c r="G98" s="1936" t="s">
        <v>38</v>
      </c>
      <c r="H98" s="1943" t="s">
        <v>1384</v>
      </c>
      <c r="I98" s="1041">
        <v>526</v>
      </c>
      <c r="J98" s="160"/>
      <c r="K98" s="486"/>
      <c r="L98" s="1682">
        <v>645</v>
      </c>
      <c r="M98" s="1592">
        <f>18000000-5750000</f>
        <v>12250000</v>
      </c>
      <c r="N98" s="1682">
        <v>802</v>
      </c>
      <c r="O98" s="1704">
        <v>12250000</v>
      </c>
      <c r="P98" s="236">
        <v>450</v>
      </c>
      <c r="Q98" s="467"/>
      <c r="R98" s="467"/>
      <c r="S98" s="467"/>
      <c r="T98" s="467"/>
      <c r="U98" s="166"/>
      <c r="V98" s="467"/>
      <c r="W98" s="467"/>
      <c r="X98" s="166"/>
      <c r="Y98" s="166"/>
      <c r="Z98" s="467"/>
      <c r="AA98" s="467"/>
      <c r="AB98" s="467"/>
      <c r="AC98" s="468">
        <f t="shared" si="10"/>
        <v>0</v>
      </c>
      <c r="AD98" s="743">
        <f t="shared" si="11"/>
        <v>12250000</v>
      </c>
      <c r="AE98" s="1506"/>
      <c r="AF98" s="1627">
        <v>526</v>
      </c>
      <c r="AG98" s="279" t="s">
        <v>1016</v>
      </c>
      <c r="AH98" s="279" t="s">
        <v>1298</v>
      </c>
      <c r="AI98" s="517">
        <f t="shared" si="15"/>
        <v>450</v>
      </c>
      <c r="AJ98" s="1629">
        <f>18000000-5750000</f>
        <v>12250000</v>
      </c>
      <c r="AK98" s="926">
        <f t="shared" si="16"/>
        <v>0</v>
      </c>
      <c r="AL98" s="973"/>
      <c r="AM98" s="314">
        <f t="shared" si="12"/>
        <v>0</v>
      </c>
    </row>
    <row r="99" spans="1:39" s="8" customFormat="1">
      <c r="A99" s="82" t="s">
        <v>35</v>
      </c>
      <c r="B99" s="161">
        <f t="shared" si="9"/>
        <v>0</v>
      </c>
      <c r="C99" s="79" t="s">
        <v>36</v>
      </c>
      <c r="D99" s="79" t="s">
        <v>862</v>
      </c>
      <c r="E99" s="79" t="s">
        <v>37</v>
      </c>
      <c r="F99" s="79" t="s">
        <v>351</v>
      </c>
      <c r="G99" s="1936" t="s">
        <v>38</v>
      </c>
      <c r="H99" s="1943" t="s">
        <v>1384</v>
      </c>
      <c r="I99" s="1041">
        <v>527</v>
      </c>
      <c r="J99" s="160"/>
      <c r="K99" s="486"/>
      <c r="L99" s="1682"/>
      <c r="M99" s="1592"/>
      <c r="N99" s="1682"/>
      <c r="O99" s="1704"/>
      <c r="P99" s="236"/>
      <c r="Q99" s="467"/>
      <c r="R99" s="467"/>
      <c r="S99" s="467"/>
      <c r="T99" s="467"/>
      <c r="U99" s="166"/>
      <c r="V99" s="467"/>
      <c r="W99" s="467"/>
      <c r="X99" s="166"/>
      <c r="Y99" s="166"/>
      <c r="Z99" s="467"/>
      <c r="AA99" s="467"/>
      <c r="AB99" s="467"/>
      <c r="AC99" s="468">
        <f t="shared" si="10"/>
        <v>0</v>
      </c>
      <c r="AD99" s="743">
        <f t="shared" si="11"/>
        <v>0</v>
      </c>
      <c r="AE99" s="1506"/>
      <c r="AF99" s="943">
        <v>527</v>
      </c>
      <c r="AG99" s="279" t="s">
        <v>1017</v>
      </c>
      <c r="AH99" s="279" t="s">
        <v>178</v>
      </c>
      <c r="AI99" s="517">
        <f t="shared" si="15"/>
        <v>0</v>
      </c>
      <c r="AJ99" s="1046">
        <f>10500000-10500000</f>
        <v>0</v>
      </c>
      <c r="AK99" s="926">
        <f t="shared" si="16"/>
        <v>0</v>
      </c>
      <c r="AL99" s="973"/>
      <c r="AM99" s="314">
        <f t="shared" si="12"/>
        <v>0</v>
      </c>
    </row>
    <row r="100" spans="1:39" s="8" customFormat="1">
      <c r="A100" s="82" t="s">
        <v>35</v>
      </c>
      <c r="B100" s="161">
        <f t="shared" si="9"/>
        <v>0</v>
      </c>
      <c r="C100" s="79" t="s">
        <v>36</v>
      </c>
      <c r="D100" s="79" t="s">
        <v>862</v>
      </c>
      <c r="E100" s="79" t="s">
        <v>37</v>
      </c>
      <c r="F100" s="79" t="s">
        <v>351</v>
      </c>
      <c r="G100" s="1936" t="s">
        <v>38</v>
      </c>
      <c r="H100" s="1943" t="s">
        <v>1384</v>
      </c>
      <c r="I100" s="1041">
        <v>528</v>
      </c>
      <c r="J100" s="160"/>
      <c r="K100" s="486"/>
      <c r="L100" s="1682"/>
      <c r="M100" s="1592"/>
      <c r="N100" s="1682"/>
      <c r="O100" s="1704"/>
      <c r="P100" s="236"/>
      <c r="Q100" s="467"/>
      <c r="R100" s="467"/>
      <c r="S100" s="467"/>
      <c r="T100" s="467"/>
      <c r="U100" s="166"/>
      <c r="V100" s="467"/>
      <c r="W100" s="467"/>
      <c r="X100" s="166"/>
      <c r="Y100" s="166"/>
      <c r="Z100" s="467"/>
      <c r="AA100" s="467"/>
      <c r="AB100" s="467"/>
      <c r="AC100" s="468">
        <f t="shared" si="10"/>
        <v>0</v>
      </c>
      <c r="AD100" s="743">
        <f t="shared" si="11"/>
        <v>0</v>
      </c>
      <c r="AE100" s="1506"/>
      <c r="AF100" s="943">
        <v>528</v>
      </c>
      <c r="AG100" s="279" t="s">
        <v>1018</v>
      </c>
      <c r="AH100" s="279" t="s">
        <v>178</v>
      </c>
      <c r="AI100" s="517">
        <f t="shared" si="15"/>
        <v>0</v>
      </c>
      <c r="AJ100" s="1046">
        <f>6000000-6000000</f>
        <v>0</v>
      </c>
      <c r="AK100" s="926">
        <f t="shared" si="16"/>
        <v>0</v>
      </c>
      <c r="AL100" s="973"/>
      <c r="AM100" s="314">
        <f t="shared" si="12"/>
        <v>0</v>
      </c>
    </row>
    <row r="101" spans="1:39" s="8" customFormat="1">
      <c r="A101" s="82" t="s">
        <v>35</v>
      </c>
      <c r="B101" s="161">
        <f t="shared" si="9"/>
        <v>15000000</v>
      </c>
      <c r="C101" s="79" t="s">
        <v>36</v>
      </c>
      <c r="D101" s="79" t="s">
        <v>862</v>
      </c>
      <c r="E101" s="79" t="s">
        <v>37</v>
      </c>
      <c r="F101" s="79" t="s">
        <v>351</v>
      </c>
      <c r="G101" s="1936" t="s">
        <v>38</v>
      </c>
      <c r="H101" s="1943" t="s">
        <v>1384</v>
      </c>
      <c r="I101" s="1041">
        <v>529</v>
      </c>
      <c r="J101" s="160"/>
      <c r="K101" s="486"/>
      <c r="L101" s="1682">
        <v>591</v>
      </c>
      <c r="M101" s="1592">
        <v>15000000</v>
      </c>
      <c r="N101" s="1682">
        <v>705</v>
      </c>
      <c r="O101" s="1704">
        <v>15000000</v>
      </c>
      <c r="P101" s="236">
        <v>418</v>
      </c>
      <c r="Q101" s="467"/>
      <c r="R101" s="467"/>
      <c r="S101" s="467"/>
      <c r="T101" s="467"/>
      <c r="U101" s="166"/>
      <c r="V101" s="467"/>
      <c r="W101" s="467"/>
      <c r="X101" s="166"/>
      <c r="Y101" s="166">
        <v>3800000</v>
      </c>
      <c r="Z101" s="467"/>
      <c r="AA101" s="467"/>
      <c r="AB101" s="467"/>
      <c r="AC101" s="468">
        <f t="shared" si="10"/>
        <v>3800000</v>
      </c>
      <c r="AD101" s="743">
        <f t="shared" si="11"/>
        <v>11200000</v>
      </c>
      <c r="AE101" s="1506"/>
      <c r="AF101" s="943">
        <v>529</v>
      </c>
      <c r="AG101" s="279" t="s">
        <v>1019</v>
      </c>
      <c r="AH101" s="279" t="s">
        <v>1187</v>
      </c>
      <c r="AI101" s="517">
        <f t="shared" si="15"/>
        <v>418</v>
      </c>
      <c r="AJ101" s="1046">
        <f>24500000-9500000</f>
        <v>15000000</v>
      </c>
      <c r="AK101" s="926">
        <f t="shared" si="16"/>
        <v>0</v>
      </c>
      <c r="AL101" s="973"/>
      <c r="AM101" s="314">
        <f t="shared" si="12"/>
        <v>0</v>
      </c>
    </row>
    <row r="102" spans="1:39" s="8" customFormat="1">
      <c r="A102" s="82" t="s">
        <v>35</v>
      </c>
      <c r="B102" s="161">
        <f t="shared" si="9"/>
        <v>14577500</v>
      </c>
      <c r="C102" s="79" t="s">
        <v>36</v>
      </c>
      <c r="D102" s="79" t="s">
        <v>862</v>
      </c>
      <c r="E102" s="79" t="s">
        <v>37</v>
      </c>
      <c r="F102" s="79" t="s">
        <v>351</v>
      </c>
      <c r="G102" s="1936" t="s">
        <v>38</v>
      </c>
      <c r="H102" s="1943" t="s">
        <v>1384</v>
      </c>
      <c r="I102" s="1041">
        <v>530</v>
      </c>
      <c r="J102" s="160"/>
      <c r="K102" s="486"/>
      <c r="L102" s="1682">
        <v>646</v>
      </c>
      <c r="M102" s="1592">
        <f>20000000-5422500</f>
        <v>14577500</v>
      </c>
      <c r="N102" s="1682">
        <v>810</v>
      </c>
      <c r="O102" s="1704">
        <v>14577500</v>
      </c>
      <c r="P102" s="236">
        <v>445</v>
      </c>
      <c r="Q102" s="467"/>
      <c r="R102" s="467"/>
      <c r="S102" s="467"/>
      <c r="T102" s="467"/>
      <c r="U102" s="166"/>
      <c r="V102" s="467"/>
      <c r="W102" s="467"/>
      <c r="X102" s="468"/>
      <c r="Y102" s="166"/>
      <c r="Z102" s="467"/>
      <c r="AA102" s="467"/>
      <c r="AB102" s="467"/>
      <c r="AC102" s="468">
        <f t="shared" si="10"/>
        <v>0</v>
      </c>
      <c r="AD102" s="743">
        <f t="shared" si="11"/>
        <v>14577500</v>
      </c>
      <c r="AE102" s="1506"/>
      <c r="AF102" s="1627">
        <v>530</v>
      </c>
      <c r="AG102" s="279" t="s">
        <v>1020</v>
      </c>
      <c r="AH102" s="279" t="s">
        <v>1341</v>
      </c>
      <c r="AI102" s="517">
        <f t="shared" si="15"/>
        <v>445</v>
      </c>
      <c r="AJ102" s="1629">
        <f>15000000+5000000-5422500</f>
        <v>14577500</v>
      </c>
      <c r="AK102" s="926">
        <f t="shared" si="16"/>
        <v>0</v>
      </c>
      <c r="AL102" s="973"/>
      <c r="AM102" s="314">
        <f t="shared" si="12"/>
        <v>0</v>
      </c>
    </row>
    <row r="103" spans="1:39" s="8" customFormat="1">
      <c r="A103" s="82" t="s">
        <v>35</v>
      </c>
      <c r="B103" s="161">
        <f t="shared" si="9"/>
        <v>0</v>
      </c>
      <c r="C103" s="79" t="s">
        <v>36</v>
      </c>
      <c r="D103" s="79" t="s">
        <v>862</v>
      </c>
      <c r="E103" s="79" t="s">
        <v>37</v>
      </c>
      <c r="F103" s="79" t="s">
        <v>351</v>
      </c>
      <c r="G103" s="1936" t="s">
        <v>38</v>
      </c>
      <c r="H103" s="1943" t="s">
        <v>1384</v>
      </c>
      <c r="I103" s="1041">
        <v>531</v>
      </c>
      <c r="J103" s="160"/>
      <c r="K103" s="486"/>
      <c r="L103" s="1682"/>
      <c r="M103" s="1592"/>
      <c r="N103" s="1682"/>
      <c r="O103" s="1704"/>
      <c r="P103" s="236"/>
      <c r="Q103" s="467"/>
      <c r="R103" s="467"/>
      <c r="S103" s="467"/>
      <c r="T103" s="467"/>
      <c r="U103" s="166"/>
      <c r="V103" s="467"/>
      <c r="W103" s="467"/>
      <c r="X103" s="468"/>
      <c r="Y103" s="166"/>
      <c r="Z103" s="467"/>
      <c r="AA103" s="467"/>
      <c r="AB103" s="467"/>
      <c r="AC103" s="468">
        <f t="shared" si="10"/>
        <v>0</v>
      </c>
      <c r="AD103" s="743">
        <f t="shared" si="11"/>
        <v>0</v>
      </c>
      <c r="AE103" s="1506"/>
      <c r="AF103" s="943">
        <v>531</v>
      </c>
      <c r="AG103" s="279" t="s">
        <v>1021</v>
      </c>
      <c r="AH103" s="279" t="s">
        <v>178</v>
      </c>
      <c r="AI103" s="517">
        <f t="shared" si="15"/>
        <v>0</v>
      </c>
      <c r="AJ103" s="1046">
        <v>6000000</v>
      </c>
      <c r="AK103" s="926">
        <f t="shared" si="16"/>
        <v>6000000</v>
      </c>
      <c r="AL103" s="973"/>
      <c r="AM103" s="314">
        <f t="shared" si="12"/>
        <v>6000000</v>
      </c>
    </row>
    <row r="104" spans="1:39" s="8" customFormat="1">
      <c r="A104" s="82" t="s">
        <v>35</v>
      </c>
      <c r="B104" s="161">
        <f t="shared" si="9"/>
        <v>0</v>
      </c>
      <c r="C104" s="79" t="s">
        <v>36</v>
      </c>
      <c r="D104" s="79" t="s">
        <v>862</v>
      </c>
      <c r="E104" s="79" t="s">
        <v>37</v>
      </c>
      <c r="F104" s="79" t="s">
        <v>351</v>
      </c>
      <c r="G104" s="1936" t="s">
        <v>38</v>
      </c>
      <c r="H104" s="1943" t="s">
        <v>1384</v>
      </c>
      <c r="I104" s="1041">
        <v>532</v>
      </c>
      <c r="J104" s="160"/>
      <c r="K104" s="486"/>
      <c r="L104" s="1682"/>
      <c r="M104" s="1592"/>
      <c r="N104" s="1682"/>
      <c r="O104" s="1704"/>
      <c r="P104" s="236"/>
      <c r="Q104" s="467"/>
      <c r="R104" s="467"/>
      <c r="S104" s="467"/>
      <c r="T104" s="467"/>
      <c r="U104" s="166"/>
      <c r="V104" s="467"/>
      <c r="W104" s="467"/>
      <c r="X104" s="468"/>
      <c r="Y104" s="166"/>
      <c r="Z104" s="467"/>
      <c r="AA104" s="467"/>
      <c r="AB104" s="467"/>
      <c r="AC104" s="468">
        <f t="shared" si="10"/>
        <v>0</v>
      </c>
      <c r="AD104" s="743">
        <f t="shared" si="11"/>
        <v>0</v>
      </c>
      <c r="AE104" s="1506"/>
      <c r="AF104" s="943">
        <v>532</v>
      </c>
      <c r="AG104" s="279" t="s">
        <v>1022</v>
      </c>
      <c r="AH104" s="279" t="s">
        <v>178</v>
      </c>
      <c r="AI104" s="517">
        <f t="shared" si="15"/>
        <v>0</v>
      </c>
      <c r="AJ104" s="1046">
        <f>23550000-5500000</f>
        <v>18050000</v>
      </c>
      <c r="AK104" s="926">
        <f t="shared" si="16"/>
        <v>18050000</v>
      </c>
      <c r="AL104" s="973"/>
      <c r="AM104" s="314">
        <f t="shared" si="12"/>
        <v>18050000</v>
      </c>
    </row>
    <row r="105" spans="1:39" s="8" customFormat="1">
      <c r="A105" s="82" t="s">
        <v>35</v>
      </c>
      <c r="B105" s="161">
        <f t="shared" si="9"/>
        <v>0</v>
      </c>
      <c r="C105" s="79" t="s">
        <v>36</v>
      </c>
      <c r="D105" s="79" t="s">
        <v>862</v>
      </c>
      <c r="E105" s="79" t="s">
        <v>37</v>
      </c>
      <c r="F105" s="79" t="s">
        <v>351</v>
      </c>
      <c r="G105" s="1936" t="s">
        <v>38</v>
      </c>
      <c r="H105" s="1943" t="s">
        <v>1384</v>
      </c>
      <c r="I105" s="1041">
        <v>533</v>
      </c>
      <c r="J105" s="160"/>
      <c r="K105" s="486"/>
      <c r="L105" s="1682"/>
      <c r="M105" s="1592"/>
      <c r="N105" s="1682"/>
      <c r="O105" s="1704"/>
      <c r="P105" s="236"/>
      <c r="Q105" s="467"/>
      <c r="R105" s="467"/>
      <c r="S105" s="467"/>
      <c r="T105" s="467"/>
      <c r="U105" s="166"/>
      <c r="V105" s="467"/>
      <c r="W105" s="467"/>
      <c r="X105" s="468"/>
      <c r="Y105" s="166"/>
      <c r="Z105" s="467"/>
      <c r="AA105" s="467"/>
      <c r="AB105" s="467"/>
      <c r="AC105" s="468">
        <f t="shared" si="10"/>
        <v>0</v>
      </c>
      <c r="AD105" s="743">
        <f t="shared" si="11"/>
        <v>0</v>
      </c>
      <c r="AE105" s="1506"/>
      <c r="AF105" s="943">
        <v>533</v>
      </c>
      <c r="AG105" s="279" t="s">
        <v>1023</v>
      </c>
      <c r="AH105" s="279" t="s">
        <v>178</v>
      </c>
      <c r="AI105" s="517">
        <f t="shared" si="15"/>
        <v>0</v>
      </c>
      <c r="AJ105" s="1046">
        <v>20000000</v>
      </c>
      <c r="AK105" s="926">
        <f t="shared" si="16"/>
        <v>20000000</v>
      </c>
      <c r="AL105" s="973"/>
      <c r="AM105" s="314">
        <f t="shared" si="12"/>
        <v>20000000</v>
      </c>
    </row>
    <row r="106" spans="1:39" s="8" customFormat="1">
      <c r="A106" s="82" t="s">
        <v>35</v>
      </c>
      <c r="B106" s="161">
        <f t="shared" si="9"/>
        <v>30878276</v>
      </c>
      <c r="C106" s="79" t="s">
        <v>36</v>
      </c>
      <c r="D106" s="79" t="s">
        <v>862</v>
      </c>
      <c r="E106" s="79" t="s">
        <v>37</v>
      </c>
      <c r="F106" s="79" t="s">
        <v>351</v>
      </c>
      <c r="G106" s="1936" t="s">
        <v>38</v>
      </c>
      <c r="H106" s="1943" t="s">
        <v>1384</v>
      </c>
      <c r="I106" s="1041">
        <v>556</v>
      </c>
      <c r="J106" s="1653" t="s">
        <v>1362</v>
      </c>
      <c r="K106" s="139">
        <v>30878276</v>
      </c>
      <c r="L106" s="1682" t="s">
        <v>1364</v>
      </c>
      <c r="M106" s="1592">
        <f>30878276-30878276+30878276</f>
        <v>30878276</v>
      </c>
      <c r="N106" s="1682">
        <v>862</v>
      </c>
      <c r="O106" s="1592">
        <f>30878276-30878276+30878276</f>
        <v>30878276</v>
      </c>
      <c r="P106" s="236">
        <v>469</v>
      </c>
      <c r="Q106" s="467"/>
      <c r="R106" s="467"/>
      <c r="S106" s="467"/>
      <c r="T106" s="467"/>
      <c r="U106" s="166"/>
      <c r="V106" s="467"/>
      <c r="W106" s="467"/>
      <c r="X106" s="468"/>
      <c r="Y106" s="166"/>
      <c r="Z106" s="467"/>
      <c r="AA106" s="467"/>
      <c r="AB106" s="467"/>
      <c r="AC106" s="468">
        <f t="shared" si="10"/>
        <v>0</v>
      </c>
      <c r="AD106" s="743">
        <f t="shared" si="11"/>
        <v>30878276</v>
      </c>
      <c r="AE106" s="1506"/>
      <c r="AF106" s="943">
        <v>556</v>
      </c>
      <c r="AG106" s="1455" t="s">
        <v>1319</v>
      </c>
      <c r="AH106" s="279" t="s">
        <v>1377</v>
      </c>
      <c r="AI106" s="517">
        <f t="shared" ref="AI106:AI108" si="17">P106</f>
        <v>469</v>
      </c>
      <c r="AJ106" s="1046">
        <v>30878276</v>
      </c>
      <c r="AK106" s="926">
        <f t="shared" si="14"/>
        <v>0</v>
      </c>
      <c r="AL106" s="973"/>
      <c r="AM106" s="314">
        <f t="shared" si="12"/>
        <v>0</v>
      </c>
    </row>
    <row r="107" spans="1:39" s="8" customFormat="1">
      <c r="A107" s="82" t="s">
        <v>35</v>
      </c>
      <c r="B107" s="161">
        <f t="shared" si="9"/>
        <v>0</v>
      </c>
      <c r="C107" s="79" t="s">
        <v>36</v>
      </c>
      <c r="D107" s="79" t="s">
        <v>862</v>
      </c>
      <c r="E107" s="79" t="s">
        <v>37</v>
      </c>
      <c r="F107" s="79" t="s">
        <v>351</v>
      </c>
      <c r="G107" s="1936" t="s">
        <v>38</v>
      </c>
      <c r="H107" s="1943" t="s">
        <v>1384</v>
      </c>
      <c r="I107" s="1041">
        <v>559</v>
      </c>
      <c r="J107" s="160"/>
      <c r="K107" s="486"/>
      <c r="L107" s="1682"/>
      <c r="M107" s="1592"/>
      <c r="N107" s="1682"/>
      <c r="O107" s="1704"/>
      <c r="P107" s="236"/>
      <c r="Q107" s="467"/>
      <c r="R107" s="467"/>
      <c r="S107" s="467"/>
      <c r="T107" s="467"/>
      <c r="U107" s="166"/>
      <c r="V107" s="467"/>
      <c r="W107" s="467"/>
      <c r="X107" s="468"/>
      <c r="Y107" s="166"/>
      <c r="Z107" s="467"/>
      <c r="AA107" s="467"/>
      <c r="AB107" s="467"/>
      <c r="AC107" s="468">
        <f t="shared" si="10"/>
        <v>0</v>
      </c>
      <c r="AD107" s="743">
        <f t="shared" si="11"/>
        <v>0</v>
      </c>
      <c r="AE107" s="1506"/>
      <c r="AF107" s="943">
        <v>559</v>
      </c>
      <c r="AG107" s="1455" t="s">
        <v>1268</v>
      </c>
      <c r="AH107" s="279"/>
      <c r="AI107" s="517">
        <f t="shared" si="17"/>
        <v>0</v>
      </c>
      <c r="AJ107" s="1046">
        <v>8000000</v>
      </c>
      <c r="AK107" s="926">
        <f t="shared" si="14"/>
        <v>8000000</v>
      </c>
      <c r="AL107" s="973"/>
      <c r="AM107" s="314">
        <f t="shared" si="12"/>
        <v>8000000</v>
      </c>
    </row>
    <row r="108" spans="1:39" s="8" customFormat="1">
      <c r="A108" s="82" t="s">
        <v>35</v>
      </c>
      <c r="B108" s="161">
        <f t="shared" si="9"/>
        <v>6125000</v>
      </c>
      <c r="C108" s="79" t="s">
        <v>36</v>
      </c>
      <c r="D108" s="79" t="s">
        <v>862</v>
      </c>
      <c r="E108" s="79" t="s">
        <v>37</v>
      </c>
      <c r="F108" s="79" t="s">
        <v>351</v>
      </c>
      <c r="G108" s="1936" t="s">
        <v>38</v>
      </c>
      <c r="H108" s="1943" t="s">
        <v>1384</v>
      </c>
      <c r="I108" s="1041">
        <v>560</v>
      </c>
      <c r="J108" s="160"/>
      <c r="K108" s="486"/>
      <c r="L108" s="1682">
        <v>634</v>
      </c>
      <c r="M108" s="1592">
        <f>7500000-1375000</f>
        <v>6125000</v>
      </c>
      <c r="N108" s="1682">
        <v>800</v>
      </c>
      <c r="O108" s="1704">
        <v>6125000</v>
      </c>
      <c r="P108" s="236">
        <v>448</v>
      </c>
      <c r="Q108" s="467"/>
      <c r="R108" s="467"/>
      <c r="S108" s="467"/>
      <c r="T108" s="467"/>
      <c r="U108" s="166"/>
      <c r="V108" s="467"/>
      <c r="W108" s="467"/>
      <c r="X108" s="468"/>
      <c r="Y108" s="166"/>
      <c r="Z108" s="467"/>
      <c r="AA108" s="467"/>
      <c r="AB108" s="467"/>
      <c r="AC108" s="468">
        <f t="shared" si="10"/>
        <v>0</v>
      </c>
      <c r="AD108" s="743">
        <f t="shared" si="11"/>
        <v>6125000</v>
      </c>
      <c r="AE108" s="1506"/>
      <c r="AF108" s="1627">
        <v>560</v>
      </c>
      <c r="AG108" s="279" t="s">
        <v>1269</v>
      </c>
      <c r="AH108" s="279" t="s">
        <v>1293</v>
      </c>
      <c r="AI108" s="517">
        <f t="shared" si="17"/>
        <v>448</v>
      </c>
      <c r="AJ108" s="1629">
        <f>7500000-1375000</f>
        <v>6125000</v>
      </c>
      <c r="AK108" s="926">
        <f t="shared" si="14"/>
        <v>0</v>
      </c>
      <c r="AL108" s="973"/>
      <c r="AM108" s="314">
        <f t="shared" si="12"/>
        <v>0</v>
      </c>
    </row>
    <row r="109" spans="1:39" s="8" customFormat="1">
      <c r="A109" s="82" t="s">
        <v>35</v>
      </c>
      <c r="B109" s="161">
        <f t="shared" si="9"/>
        <v>0</v>
      </c>
      <c r="C109" s="79" t="s">
        <v>36</v>
      </c>
      <c r="D109" s="79" t="s">
        <v>862</v>
      </c>
      <c r="E109" s="79" t="s">
        <v>37</v>
      </c>
      <c r="F109" s="79" t="s">
        <v>351</v>
      </c>
      <c r="G109" s="1936" t="s">
        <v>38</v>
      </c>
      <c r="H109" s="1943" t="s">
        <v>1384</v>
      </c>
      <c r="I109" s="1041">
        <v>571</v>
      </c>
      <c r="J109" s="160"/>
      <c r="K109" s="486"/>
      <c r="L109" s="1682"/>
      <c r="M109" s="1592"/>
      <c r="N109" s="1682"/>
      <c r="O109" s="1704"/>
      <c r="P109" s="236"/>
      <c r="Q109" s="467"/>
      <c r="R109" s="467"/>
      <c r="S109" s="467"/>
      <c r="T109" s="467"/>
      <c r="U109" s="166"/>
      <c r="V109" s="467"/>
      <c r="W109" s="467"/>
      <c r="X109" s="468"/>
      <c r="Y109" s="166"/>
      <c r="Z109" s="467"/>
      <c r="AA109" s="467"/>
      <c r="AB109" s="467"/>
      <c r="AC109" s="468">
        <f t="shared" si="10"/>
        <v>0</v>
      </c>
      <c r="AD109" s="743">
        <f t="shared" si="11"/>
        <v>0</v>
      </c>
      <c r="AE109" s="1506"/>
      <c r="AF109" s="943">
        <v>571</v>
      </c>
      <c r="AG109" s="279" t="s">
        <v>1270</v>
      </c>
      <c r="AH109" s="279" t="s">
        <v>178</v>
      </c>
      <c r="AI109" s="517">
        <f t="shared" ref="AI109:AI114" si="18">P109</f>
        <v>0</v>
      </c>
      <c r="AJ109" s="1046">
        <v>13176305</v>
      </c>
      <c r="AK109" s="926">
        <f t="shared" si="14"/>
        <v>13176305</v>
      </c>
      <c r="AL109" s="973"/>
      <c r="AM109" s="314">
        <f t="shared" si="12"/>
        <v>13176305</v>
      </c>
    </row>
    <row r="110" spans="1:39" s="8" customFormat="1">
      <c r="A110" s="82" t="s">
        <v>35</v>
      </c>
      <c r="B110" s="161">
        <f t="shared" si="9"/>
        <v>20860000</v>
      </c>
      <c r="C110" s="79" t="s">
        <v>36</v>
      </c>
      <c r="D110" s="79" t="s">
        <v>862</v>
      </c>
      <c r="E110" s="79" t="s">
        <v>37</v>
      </c>
      <c r="F110" s="79" t="s">
        <v>351</v>
      </c>
      <c r="G110" s="1936" t="s">
        <v>38</v>
      </c>
      <c r="H110" s="1943" t="s">
        <v>1384</v>
      </c>
      <c r="I110" s="1041">
        <v>583</v>
      </c>
      <c r="J110" s="160">
        <v>580</v>
      </c>
      <c r="K110" s="486">
        <v>21120000</v>
      </c>
      <c r="L110" s="1682">
        <v>673</v>
      </c>
      <c r="M110" s="1592">
        <f>21120000-260000</f>
        <v>20860000</v>
      </c>
      <c r="N110" s="1682">
        <v>822</v>
      </c>
      <c r="O110" s="1704">
        <v>20860000</v>
      </c>
      <c r="P110" s="236">
        <v>460</v>
      </c>
      <c r="Q110" s="467"/>
      <c r="R110" s="467"/>
      <c r="S110" s="467"/>
      <c r="T110" s="467"/>
      <c r="U110" s="467"/>
      <c r="V110" s="467"/>
      <c r="W110" s="467"/>
      <c r="X110" s="468"/>
      <c r="Y110" s="166"/>
      <c r="Z110" s="467"/>
      <c r="AA110" s="467"/>
      <c r="AB110" s="467"/>
      <c r="AC110" s="468">
        <f t="shared" ref="AC110" si="19">SUM(Q110:AB110)</f>
        <v>0</v>
      </c>
      <c r="AD110" s="743">
        <f t="shared" ref="AD110" si="20">O110-AC110</f>
        <v>20860000</v>
      </c>
      <c r="AE110" s="1506"/>
      <c r="AF110" s="1627">
        <v>583</v>
      </c>
      <c r="AG110" s="279" t="s">
        <v>1282</v>
      </c>
      <c r="AH110" s="279" t="s">
        <v>1342</v>
      </c>
      <c r="AI110" s="517">
        <f t="shared" si="18"/>
        <v>460</v>
      </c>
      <c r="AJ110" s="1629">
        <f>21120000-260000</f>
        <v>20860000</v>
      </c>
      <c r="AK110" s="926">
        <f t="shared" si="14"/>
        <v>0</v>
      </c>
      <c r="AL110" s="973"/>
      <c r="AM110" s="314">
        <f t="shared" si="12"/>
        <v>0</v>
      </c>
    </row>
    <row r="111" spans="1:39" s="8" customFormat="1">
      <c r="A111" s="82" t="s">
        <v>35</v>
      </c>
      <c r="B111" s="161">
        <f t="shared" si="9"/>
        <v>9660000</v>
      </c>
      <c r="C111" s="79" t="s">
        <v>36</v>
      </c>
      <c r="D111" s="79" t="s">
        <v>862</v>
      </c>
      <c r="E111" s="79" t="s">
        <v>37</v>
      </c>
      <c r="F111" s="79" t="s">
        <v>351</v>
      </c>
      <c r="G111" s="1936" t="s">
        <v>38</v>
      </c>
      <c r="H111" s="1943" t="s">
        <v>1384</v>
      </c>
      <c r="I111" s="1041">
        <v>591</v>
      </c>
      <c r="J111" s="160">
        <v>620</v>
      </c>
      <c r="K111" s="486">
        <v>9660000</v>
      </c>
      <c r="L111" s="1682">
        <v>711</v>
      </c>
      <c r="M111" s="1660">
        <v>9660000</v>
      </c>
      <c r="N111" s="1682">
        <v>864</v>
      </c>
      <c r="O111" s="1704">
        <v>8280000</v>
      </c>
      <c r="P111" s="236">
        <v>468</v>
      </c>
      <c r="Q111" s="467"/>
      <c r="R111" s="467"/>
      <c r="S111" s="467"/>
      <c r="T111" s="467"/>
      <c r="U111" s="467"/>
      <c r="V111" s="467"/>
      <c r="W111" s="467"/>
      <c r="X111" s="468"/>
      <c r="Y111" s="166"/>
      <c r="Z111" s="467"/>
      <c r="AA111" s="467"/>
      <c r="AB111" s="467"/>
      <c r="AC111" s="468">
        <f t="shared" ref="AC111:AC112" si="21">SUM(Q111:AB111)</f>
        <v>0</v>
      </c>
      <c r="AD111" s="743">
        <f t="shared" ref="AD111:AD112" si="22">O111-AC111</f>
        <v>8280000</v>
      </c>
      <c r="AE111" s="1506"/>
      <c r="AF111" s="943">
        <v>591</v>
      </c>
      <c r="AG111" s="279" t="s">
        <v>1317</v>
      </c>
      <c r="AH111" s="279" t="s">
        <v>1031</v>
      </c>
      <c r="AI111" s="517">
        <f t="shared" si="18"/>
        <v>468</v>
      </c>
      <c r="AJ111" s="1046">
        <v>9660000</v>
      </c>
      <c r="AK111" s="926">
        <f t="shared" si="14"/>
        <v>1380000</v>
      </c>
      <c r="AL111" s="973"/>
      <c r="AM111" s="314">
        <f t="shared" si="12"/>
        <v>0</v>
      </c>
    </row>
    <row r="112" spans="1:39" s="8" customFormat="1">
      <c r="A112" s="82" t="s">
        <v>35</v>
      </c>
      <c r="B112" s="161">
        <f t="shared" si="9"/>
        <v>13300000</v>
      </c>
      <c r="C112" s="79" t="s">
        <v>36</v>
      </c>
      <c r="D112" s="79" t="s">
        <v>862</v>
      </c>
      <c r="E112" s="79" t="s">
        <v>37</v>
      </c>
      <c r="F112" s="79" t="s">
        <v>351</v>
      </c>
      <c r="G112" s="1936" t="s">
        <v>38</v>
      </c>
      <c r="H112" s="1943" t="s">
        <v>1384</v>
      </c>
      <c r="I112" s="1041">
        <v>592</v>
      </c>
      <c r="J112" s="160">
        <v>621</v>
      </c>
      <c r="K112" s="486">
        <v>13300000</v>
      </c>
      <c r="L112" s="1682">
        <v>710</v>
      </c>
      <c r="M112" s="1660">
        <v>13300000</v>
      </c>
      <c r="N112" s="1682">
        <v>863</v>
      </c>
      <c r="O112" s="1704">
        <v>11400000</v>
      </c>
      <c r="P112" s="236">
        <v>467</v>
      </c>
      <c r="Q112" s="467"/>
      <c r="R112" s="467"/>
      <c r="S112" s="467"/>
      <c r="T112" s="467"/>
      <c r="U112" s="467"/>
      <c r="V112" s="467"/>
      <c r="W112" s="467"/>
      <c r="X112" s="468"/>
      <c r="Y112" s="166"/>
      <c r="Z112" s="467"/>
      <c r="AA112" s="467"/>
      <c r="AB112" s="467"/>
      <c r="AC112" s="468">
        <f t="shared" si="21"/>
        <v>0</v>
      </c>
      <c r="AD112" s="743">
        <f t="shared" si="22"/>
        <v>11400000</v>
      </c>
      <c r="AE112" s="1506"/>
      <c r="AF112" s="943">
        <v>592</v>
      </c>
      <c r="AG112" s="279" t="s">
        <v>1318</v>
      </c>
      <c r="AH112" s="279" t="s">
        <v>1378</v>
      </c>
      <c r="AI112" s="517">
        <f t="shared" si="18"/>
        <v>467</v>
      </c>
      <c r="AJ112" s="1046">
        <v>13300000</v>
      </c>
      <c r="AK112" s="926">
        <f t="shared" si="14"/>
        <v>1900000</v>
      </c>
      <c r="AL112" s="973"/>
      <c r="AM112" s="314">
        <f t="shared" si="12"/>
        <v>0</v>
      </c>
    </row>
    <row r="113" spans="1:39" s="8" customFormat="1">
      <c r="A113" s="82" t="s">
        <v>35</v>
      </c>
      <c r="B113" s="161">
        <f t="shared" si="9"/>
        <v>0</v>
      </c>
      <c r="C113" s="79" t="s">
        <v>36</v>
      </c>
      <c r="D113" s="79" t="s">
        <v>862</v>
      </c>
      <c r="E113" s="79" t="s">
        <v>37</v>
      </c>
      <c r="F113" s="79" t="s">
        <v>351</v>
      </c>
      <c r="G113" s="1936" t="s">
        <v>38</v>
      </c>
      <c r="H113" s="1943" t="s">
        <v>1384</v>
      </c>
      <c r="I113" s="1041">
        <v>593</v>
      </c>
      <c r="J113" s="160"/>
      <c r="K113" s="486"/>
      <c r="L113" s="1682"/>
      <c r="M113" s="1592"/>
      <c r="N113" s="1682"/>
      <c r="O113" s="1704"/>
      <c r="P113" s="236"/>
      <c r="Q113" s="467"/>
      <c r="R113" s="467"/>
      <c r="S113" s="467"/>
      <c r="T113" s="467"/>
      <c r="U113" s="467"/>
      <c r="V113" s="467"/>
      <c r="W113" s="467"/>
      <c r="X113" s="468"/>
      <c r="Y113" s="166"/>
      <c r="Z113" s="467"/>
      <c r="AA113" s="467"/>
      <c r="AB113" s="467"/>
      <c r="AC113" s="468">
        <f t="shared" ref="AC113" si="23">SUM(Q113:AB113)</f>
        <v>0</v>
      </c>
      <c r="AD113" s="743">
        <f t="shared" ref="AD113" si="24">O113-AC113</f>
        <v>0</v>
      </c>
      <c r="AE113" s="1506"/>
      <c r="AF113" s="1627">
        <v>593</v>
      </c>
      <c r="AG113" s="279" t="s">
        <v>1375</v>
      </c>
      <c r="AH113" s="279"/>
      <c r="AI113" s="517">
        <f t="shared" si="18"/>
        <v>0</v>
      </c>
      <c r="AJ113" s="1629">
        <v>10000000</v>
      </c>
      <c r="AK113" s="926">
        <f t="shared" si="14"/>
        <v>10000000</v>
      </c>
      <c r="AL113" s="973"/>
      <c r="AM113" s="314">
        <f t="shared" si="12"/>
        <v>10000000</v>
      </c>
    </row>
    <row r="114" spans="1:39" s="8" customFormat="1">
      <c r="A114" s="82" t="s">
        <v>35</v>
      </c>
      <c r="B114" s="161">
        <f t="shared" si="9"/>
        <v>0</v>
      </c>
      <c r="C114" s="79" t="s">
        <v>36</v>
      </c>
      <c r="D114" s="79" t="s">
        <v>862</v>
      </c>
      <c r="E114" s="79" t="s">
        <v>37</v>
      </c>
      <c r="F114" s="79" t="s">
        <v>351</v>
      </c>
      <c r="G114" s="1936" t="s">
        <v>38</v>
      </c>
      <c r="H114" s="1943" t="s">
        <v>1384</v>
      </c>
      <c r="I114" s="1041" t="s">
        <v>178</v>
      </c>
      <c r="J114" s="160"/>
      <c r="K114" s="486"/>
      <c r="L114" s="1682"/>
      <c r="M114" s="1592"/>
      <c r="N114" s="1682"/>
      <c r="O114" s="1704"/>
      <c r="P114" s="236"/>
      <c r="Q114" s="467"/>
      <c r="R114" s="467"/>
      <c r="S114" s="467"/>
      <c r="T114" s="467"/>
      <c r="U114" s="467"/>
      <c r="V114" s="467"/>
      <c r="W114" s="467"/>
      <c r="X114" s="468"/>
      <c r="Y114" s="166"/>
      <c r="Z114" s="467"/>
      <c r="AA114" s="467"/>
      <c r="AB114" s="467"/>
      <c r="AC114" s="468">
        <f t="shared" si="10"/>
        <v>0</v>
      </c>
      <c r="AD114" s="743">
        <f t="shared" si="11"/>
        <v>0</v>
      </c>
      <c r="AE114" s="1506"/>
      <c r="AF114" s="1627" t="s">
        <v>349</v>
      </c>
      <c r="AG114" s="279" t="s">
        <v>520</v>
      </c>
      <c r="AH114" s="279" t="s">
        <v>178</v>
      </c>
      <c r="AI114" s="517">
        <f t="shared" si="18"/>
        <v>0</v>
      </c>
      <c r="AJ114" s="1629">
        <f>16684337-12000000+14838667+201718+23834167</f>
        <v>43558889</v>
      </c>
      <c r="AK114" s="926">
        <f t="shared" si="14"/>
        <v>43558889</v>
      </c>
      <c r="AL114" s="973"/>
      <c r="AM114" s="314">
        <f t="shared" si="12"/>
        <v>43558889</v>
      </c>
    </row>
    <row r="115" spans="1:39" s="8" customFormat="1" ht="15">
      <c r="A115" s="159" t="s">
        <v>24</v>
      </c>
      <c r="B115" s="51">
        <f>B18-SUM(B19:B114)</f>
        <v>1231337739</v>
      </c>
      <c r="C115" s="52"/>
      <c r="D115" s="52"/>
      <c r="E115" s="52"/>
      <c r="F115" s="52"/>
      <c r="G115" s="1937"/>
      <c r="H115" s="1944"/>
      <c r="I115" s="1002"/>
      <c r="J115" s="53"/>
      <c r="K115" s="483"/>
      <c r="L115" s="1683"/>
      <c r="M115" s="1661">
        <f>SUM(M19:M114)</f>
        <v>1905871089</v>
      </c>
      <c r="N115" s="1683"/>
      <c r="O115" s="1661">
        <f>SUM(O19:O114)</f>
        <v>1885354227</v>
      </c>
      <c r="P115" s="181"/>
      <c r="Q115" s="162">
        <f t="shared" ref="Q115:AD115" si="25">SUM(Q19:Q114)</f>
        <v>0</v>
      </c>
      <c r="R115" s="162">
        <f t="shared" si="25"/>
        <v>2957333</v>
      </c>
      <c r="S115" s="162">
        <f t="shared" si="25"/>
        <v>90145335</v>
      </c>
      <c r="T115" s="162">
        <f t="shared" si="25"/>
        <v>123282740</v>
      </c>
      <c r="U115" s="162">
        <f t="shared" si="25"/>
        <v>114073333</v>
      </c>
      <c r="V115" s="162">
        <f t="shared" si="25"/>
        <v>193021552</v>
      </c>
      <c r="W115" s="162">
        <f t="shared" si="25"/>
        <v>147201860</v>
      </c>
      <c r="X115" s="162">
        <f t="shared" si="25"/>
        <v>228873464</v>
      </c>
      <c r="Y115" s="162">
        <f t="shared" si="25"/>
        <v>223267472</v>
      </c>
      <c r="Z115" s="162">
        <f t="shared" si="25"/>
        <v>0</v>
      </c>
      <c r="AA115" s="162">
        <f t="shared" si="25"/>
        <v>0</v>
      </c>
      <c r="AB115" s="162">
        <f t="shared" si="25"/>
        <v>0</v>
      </c>
      <c r="AC115" s="162">
        <f t="shared" si="25"/>
        <v>1122823089</v>
      </c>
      <c r="AD115" s="162">
        <f t="shared" si="25"/>
        <v>762531138</v>
      </c>
      <c r="AE115" s="234"/>
      <c r="AF115" s="922"/>
      <c r="AG115" s="469"/>
      <c r="AH115" s="469"/>
      <c r="AI115" s="1097"/>
      <c r="AJ115" s="162">
        <f>SUM(AJ19:AJ114)</f>
        <v>3137208828</v>
      </c>
      <c r="AK115" s="162">
        <f>SUM(AK19:AK114)</f>
        <v>1251854601</v>
      </c>
      <c r="AL115" s="843">
        <f>B18-AJ115</f>
        <v>0</v>
      </c>
      <c r="AM115" s="317"/>
    </row>
    <row r="116" spans="1:39" s="8" customFormat="1" ht="31.5" customHeight="1">
      <c r="A116" s="614" t="s">
        <v>35</v>
      </c>
      <c r="B116" s="172">
        <f>340000000-100000000</f>
        <v>240000000</v>
      </c>
      <c r="C116" s="1318" t="s">
        <v>39</v>
      </c>
      <c r="D116" s="1318" t="s">
        <v>862</v>
      </c>
      <c r="E116" s="1316" t="s">
        <v>37</v>
      </c>
      <c r="F116" s="1316" t="s">
        <v>351</v>
      </c>
      <c r="G116" s="1938" t="s">
        <v>38</v>
      </c>
      <c r="H116" s="1942" t="s">
        <v>1384</v>
      </c>
      <c r="I116" s="1001"/>
      <c r="J116" s="438">
        <v>0</v>
      </c>
      <c r="K116" s="484"/>
      <c r="L116" s="1684"/>
      <c r="M116" s="1662"/>
      <c r="N116" s="1684"/>
      <c r="O116" s="1705"/>
      <c r="P116" s="378"/>
      <c r="Q116" s="440"/>
      <c r="R116" s="436"/>
      <c r="S116" s="436"/>
      <c r="T116" s="436"/>
      <c r="U116" s="436"/>
      <c r="V116" s="436"/>
      <c r="W116" s="436"/>
      <c r="X116" s="436"/>
      <c r="Y116" s="436"/>
      <c r="Z116" s="436"/>
      <c r="AA116" s="436"/>
      <c r="AB116" s="436"/>
      <c r="AC116" s="738"/>
      <c r="AD116" s="766"/>
      <c r="AE116" s="1513"/>
      <c r="AF116" s="944"/>
      <c r="AG116" s="377"/>
      <c r="AH116" s="377"/>
      <c r="AI116" s="1098"/>
      <c r="AJ116" s="437"/>
      <c r="AK116" s="733"/>
      <c r="AL116" s="843"/>
      <c r="AM116" s="317"/>
    </row>
    <row r="117" spans="1:39" s="8" customFormat="1" ht="15">
      <c r="A117" s="82" t="s">
        <v>35</v>
      </c>
      <c r="B117" s="169">
        <f>K117</f>
        <v>0</v>
      </c>
      <c r="C117" s="78" t="s">
        <v>39</v>
      </c>
      <c r="D117" s="78" t="s">
        <v>862</v>
      </c>
      <c r="E117" s="78" t="s">
        <v>37</v>
      </c>
      <c r="F117" s="78" t="s">
        <v>351</v>
      </c>
      <c r="G117" s="1935" t="s">
        <v>38</v>
      </c>
      <c r="H117" s="1943" t="s">
        <v>1384</v>
      </c>
      <c r="I117" s="1939">
        <v>36</v>
      </c>
      <c r="J117" s="160">
        <v>0</v>
      </c>
      <c r="K117" s="486"/>
      <c r="L117" s="1682"/>
      <c r="M117" s="1663"/>
      <c r="N117" s="1706"/>
      <c r="O117" s="1703"/>
      <c r="P117" s="236"/>
      <c r="Q117" s="230"/>
      <c r="R117" s="166"/>
      <c r="S117" s="166"/>
      <c r="T117" s="166"/>
      <c r="U117" s="166"/>
      <c r="V117" s="166"/>
      <c r="W117" s="166"/>
      <c r="X117" s="166"/>
      <c r="Y117" s="166"/>
      <c r="Z117" s="166"/>
      <c r="AA117" s="166"/>
      <c r="AB117" s="166"/>
      <c r="AC117" s="737">
        <f>SUM(Q117:AB117)</f>
        <v>0</v>
      </c>
      <c r="AD117" s="743">
        <f>O117-AC117</f>
        <v>0</v>
      </c>
      <c r="AE117" s="1506"/>
      <c r="AF117" s="943" t="s">
        <v>349</v>
      </c>
      <c r="AG117" s="261" t="s">
        <v>844</v>
      </c>
      <c r="AH117" s="279" t="s">
        <v>178</v>
      </c>
      <c r="AI117" s="517">
        <f>P117</f>
        <v>0</v>
      </c>
      <c r="AJ117" s="316">
        <f>340000000-200000000-100000000</f>
        <v>40000000</v>
      </c>
      <c r="AK117" s="926">
        <f>AJ117-O117</f>
        <v>40000000</v>
      </c>
      <c r="AL117" s="973"/>
      <c r="AM117" s="314">
        <f t="shared" ref="AM117:AM118" si="26">AJ117-M117</f>
        <v>40000000</v>
      </c>
    </row>
    <row r="118" spans="1:39" s="8" customFormat="1" ht="15">
      <c r="A118" s="82" t="s">
        <v>35</v>
      </c>
      <c r="B118" s="169">
        <f>K118</f>
        <v>0</v>
      </c>
      <c r="C118" s="78" t="s">
        <v>39</v>
      </c>
      <c r="D118" s="79" t="s">
        <v>862</v>
      </c>
      <c r="E118" s="79" t="s">
        <v>37</v>
      </c>
      <c r="F118" s="79" t="s">
        <v>351</v>
      </c>
      <c r="G118" s="1936" t="s">
        <v>38</v>
      </c>
      <c r="H118" s="1943" t="s">
        <v>1384</v>
      </c>
      <c r="I118" s="1939">
        <v>439</v>
      </c>
      <c r="J118" s="160">
        <v>0</v>
      </c>
      <c r="K118" s="486"/>
      <c r="L118" s="1685"/>
      <c r="M118" s="1664"/>
      <c r="N118" s="1685"/>
      <c r="O118" s="1703"/>
      <c r="P118" s="236"/>
      <c r="Q118" s="230"/>
      <c r="R118" s="166"/>
      <c r="S118" s="166"/>
      <c r="T118" s="166"/>
      <c r="U118" s="166"/>
      <c r="V118" s="166"/>
      <c r="W118" s="166"/>
      <c r="X118" s="166"/>
      <c r="Y118" s="166"/>
      <c r="Z118" s="166"/>
      <c r="AA118" s="166"/>
      <c r="AB118" s="166"/>
      <c r="AC118" s="737">
        <f>SUM(Q118:AB118)</f>
        <v>0</v>
      </c>
      <c r="AD118" s="743">
        <f>O118-AC118</f>
        <v>0</v>
      </c>
      <c r="AE118" s="1506"/>
      <c r="AF118" s="943">
        <v>439</v>
      </c>
      <c r="AG118" s="261" t="s">
        <v>342</v>
      </c>
      <c r="AH118" s="279" t="s">
        <v>178</v>
      </c>
      <c r="AI118" s="517">
        <f>P118</f>
        <v>0</v>
      </c>
      <c r="AJ118" s="316">
        <v>200000000</v>
      </c>
      <c r="AK118" s="926">
        <f>AJ118-O118</f>
        <v>200000000</v>
      </c>
      <c r="AL118" s="973"/>
      <c r="AM118" s="314">
        <f t="shared" si="26"/>
        <v>200000000</v>
      </c>
    </row>
    <row r="119" spans="1:39" s="8" customFormat="1" ht="15">
      <c r="A119" s="167" t="s">
        <v>24</v>
      </c>
      <c r="B119" s="173">
        <f>B116-SUM(B117:B118)</f>
        <v>240000000</v>
      </c>
      <c r="C119" s="83"/>
      <c r="D119" s="83"/>
      <c r="E119" s="83"/>
      <c r="F119" s="83"/>
      <c r="G119" s="1631"/>
      <c r="H119" s="1948"/>
      <c r="I119" s="1003"/>
      <c r="J119" s="53"/>
      <c r="K119" s="483"/>
      <c r="L119" s="1683"/>
      <c r="M119" s="1661">
        <f>SUM(M117:M118)</f>
        <v>0</v>
      </c>
      <c r="N119" s="1683"/>
      <c r="O119" s="1661">
        <f>SUM(O117:O118)</f>
        <v>0</v>
      </c>
      <c r="P119" s="181"/>
      <c r="Q119" s="231">
        <f>SUM(Q117:Q118)</f>
        <v>0</v>
      </c>
      <c r="R119" s="162">
        <f>SUM(R117:R118)</f>
        <v>0</v>
      </c>
      <c r="S119" s="162">
        <f t="shared" ref="S119:AC119" si="27">SUM(S117:S118)</f>
        <v>0</v>
      </c>
      <c r="T119" s="162">
        <f t="shared" si="27"/>
        <v>0</v>
      </c>
      <c r="U119" s="162">
        <f t="shared" si="27"/>
        <v>0</v>
      </c>
      <c r="V119" s="162">
        <f>SUM(V117:V118)</f>
        <v>0</v>
      </c>
      <c r="W119" s="162">
        <f>SUM(W117:W118)</f>
        <v>0</v>
      </c>
      <c r="X119" s="162">
        <f t="shared" si="27"/>
        <v>0</v>
      </c>
      <c r="Y119" s="162">
        <f t="shared" si="27"/>
        <v>0</v>
      </c>
      <c r="Z119" s="162">
        <f t="shared" si="27"/>
        <v>0</v>
      </c>
      <c r="AA119" s="162">
        <f t="shared" si="27"/>
        <v>0</v>
      </c>
      <c r="AB119" s="162">
        <f t="shared" si="27"/>
        <v>0</v>
      </c>
      <c r="AC119" s="162">
        <f t="shared" si="27"/>
        <v>0</v>
      </c>
      <c r="AD119" s="742">
        <f>SUM(AD117:AD118)</f>
        <v>0</v>
      </c>
      <c r="AE119" s="1514"/>
      <c r="AF119" s="922"/>
      <c r="AG119" s="469"/>
      <c r="AH119" s="469"/>
      <c r="AI119" s="1097"/>
      <c r="AJ119" s="54">
        <f>SUM(AJ117:AJ118)</f>
        <v>240000000</v>
      </c>
      <c r="AK119" s="181">
        <f>SUM(AK117:AK118)</f>
        <v>240000000</v>
      </c>
      <c r="AL119" s="843">
        <f>B116-AJ119</f>
        <v>0</v>
      </c>
      <c r="AM119" s="317"/>
    </row>
    <row r="120" spans="1:39" s="8" customFormat="1" ht="29.25" customHeight="1">
      <c r="A120" s="614" t="s">
        <v>35</v>
      </c>
      <c r="B120" s="172">
        <v>63000000</v>
      </c>
      <c r="C120" s="1318" t="s">
        <v>1156</v>
      </c>
      <c r="D120" s="1318" t="s">
        <v>862</v>
      </c>
      <c r="E120" s="1316" t="s">
        <v>37</v>
      </c>
      <c r="F120" s="1316" t="s">
        <v>351</v>
      </c>
      <c r="G120" s="1938" t="s">
        <v>38</v>
      </c>
      <c r="H120" s="1942" t="s">
        <v>1384</v>
      </c>
      <c r="I120" s="1329"/>
      <c r="J120" s="1330"/>
      <c r="K120" s="1331"/>
      <c r="L120" s="1686"/>
      <c r="M120" s="1665"/>
      <c r="N120" s="1686"/>
      <c r="O120" s="1665"/>
      <c r="P120" s="1334"/>
      <c r="Q120" s="1335"/>
      <c r="R120" s="1333"/>
      <c r="S120" s="1333"/>
      <c r="T120" s="1333"/>
      <c r="U120" s="1333"/>
      <c r="V120" s="1333"/>
      <c r="W120" s="1333"/>
      <c r="X120" s="1333"/>
      <c r="Y120" s="1333"/>
      <c r="Z120" s="1333"/>
      <c r="AA120" s="1333"/>
      <c r="AB120" s="1333"/>
      <c r="AC120" s="1333"/>
      <c r="AD120" s="1336"/>
      <c r="AE120" s="1514"/>
      <c r="AF120" s="1337"/>
      <c r="AG120" s="1338"/>
      <c r="AH120" s="1338"/>
      <c r="AI120" s="1339"/>
      <c r="AJ120" s="1340"/>
      <c r="AK120" s="1334"/>
      <c r="AL120" s="843"/>
      <c r="AM120" s="317"/>
    </row>
    <row r="121" spans="1:39" s="8" customFormat="1">
      <c r="A121" s="82" t="s">
        <v>35</v>
      </c>
      <c r="B121" s="1326">
        <f>M121</f>
        <v>52960000</v>
      </c>
      <c r="C121" s="1328" t="s">
        <v>1156</v>
      </c>
      <c r="D121" s="1328" t="s">
        <v>862</v>
      </c>
      <c r="E121" s="1328" t="s">
        <v>37</v>
      </c>
      <c r="F121" s="1328" t="s">
        <v>351</v>
      </c>
      <c r="G121" s="1945" t="s">
        <v>38</v>
      </c>
      <c r="H121" s="1943" t="s">
        <v>1384</v>
      </c>
      <c r="I121" s="1374">
        <v>498</v>
      </c>
      <c r="J121" s="1327"/>
      <c r="K121" s="487"/>
      <c r="L121" s="1682">
        <v>430</v>
      </c>
      <c r="M121" s="1592">
        <v>52960000</v>
      </c>
      <c r="N121" s="1682">
        <v>441</v>
      </c>
      <c r="O121" s="1592">
        <v>52960000</v>
      </c>
      <c r="P121" s="1301">
        <v>321</v>
      </c>
      <c r="Q121" s="234"/>
      <c r="R121" s="138"/>
      <c r="S121" s="138"/>
      <c r="T121" s="138"/>
      <c r="U121" s="166"/>
      <c r="V121" s="166">
        <v>7944000</v>
      </c>
      <c r="W121" s="166">
        <v>6620000</v>
      </c>
      <c r="X121" s="166">
        <v>6620000</v>
      </c>
      <c r="Y121" s="166">
        <v>6620000</v>
      </c>
      <c r="Z121" s="138"/>
      <c r="AA121" s="138"/>
      <c r="AB121" s="138"/>
      <c r="AC121" s="737">
        <f t="shared" ref="AC121" si="28">SUM(Q121:AB121)</f>
        <v>27804000</v>
      </c>
      <c r="AD121" s="743">
        <f t="shared" ref="AD121" si="29">O121-AC121</f>
        <v>25156000</v>
      </c>
      <c r="AE121" s="1506"/>
      <c r="AF121" s="946">
        <v>498</v>
      </c>
      <c r="AG121" s="261" t="s">
        <v>326</v>
      </c>
      <c r="AH121" s="261" t="s">
        <v>966</v>
      </c>
      <c r="AI121" s="517">
        <f t="shared" ref="AI121:AI122" si="30">P121</f>
        <v>321</v>
      </c>
      <c r="AJ121" s="1540">
        <v>52960000</v>
      </c>
      <c r="AK121" s="926">
        <f>AJ121-O121</f>
        <v>0</v>
      </c>
      <c r="AL121" s="843"/>
      <c r="AM121" s="314">
        <f t="shared" ref="AM121:AM122" si="31">AJ121-M121</f>
        <v>0</v>
      </c>
    </row>
    <row r="122" spans="1:39" s="8" customFormat="1">
      <c r="A122" s="82" t="s">
        <v>35</v>
      </c>
      <c r="B122" s="1326">
        <f>M122</f>
        <v>10040000</v>
      </c>
      <c r="C122" s="1328" t="s">
        <v>1156</v>
      </c>
      <c r="D122" s="1328" t="s">
        <v>862</v>
      </c>
      <c r="E122" s="1328" t="s">
        <v>37</v>
      </c>
      <c r="F122" s="1328" t="s">
        <v>351</v>
      </c>
      <c r="G122" s="1945" t="s">
        <v>38</v>
      </c>
      <c r="H122" s="1943" t="s">
        <v>1384</v>
      </c>
      <c r="I122" s="1374">
        <v>499</v>
      </c>
      <c r="J122" s="1327"/>
      <c r="K122" s="487"/>
      <c r="L122" s="1682">
        <v>442</v>
      </c>
      <c r="M122" s="1592">
        <v>10040000</v>
      </c>
      <c r="N122" s="1682">
        <v>476</v>
      </c>
      <c r="O122" s="1592">
        <v>10040000</v>
      </c>
      <c r="P122" s="1301">
        <v>344</v>
      </c>
      <c r="Q122" s="234"/>
      <c r="R122" s="138"/>
      <c r="S122" s="138"/>
      <c r="T122" s="138"/>
      <c r="U122" s="166"/>
      <c r="V122" s="166"/>
      <c r="W122" s="166"/>
      <c r="X122" s="166">
        <v>0</v>
      </c>
      <c r="Y122" s="166">
        <v>706667</v>
      </c>
      <c r="Z122" s="138"/>
      <c r="AA122" s="138"/>
      <c r="AB122" s="138"/>
      <c r="AC122" s="737">
        <f t="shared" ref="AC122" si="32">SUM(Q122:AB122)</f>
        <v>706667</v>
      </c>
      <c r="AD122" s="743">
        <f t="shared" ref="AD122" si="33">O122-AC122</f>
        <v>9333333</v>
      </c>
      <c r="AE122" s="1506"/>
      <c r="AF122" s="946">
        <v>499</v>
      </c>
      <c r="AG122" s="261" t="s">
        <v>340</v>
      </c>
      <c r="AH122" s="261" t="s">
        <v>676</v>
      </c>
      <c r="AI122" s="517">
        <f t="shared" si="30"/>
        <v>344</v>
      </c>
      <c r="AJ122" s="131">
        <v>10040000</v>
      </c>
      <c r="AK122" s="926">
        <f t="shared" ref="AK122" si="34">AJ122-O122</f>
        <v>0</v>
      </c>
      <c r="AL122" s="843"/>
      <c r="AM122" s="314">
        <f t="shared" si="31"/>
        <v>0</v>
      </c>
    </row>
    <row r="123" spans="1:39" s="8" customFormat="1" ht="15">
      <c r="A123" s="167" t="s">
        <v>24</v>
      </c>
      <c r="B123" s="173">
        <f>B120-SUM(B121:B122)</f>
        <v>0</v>
      </c>
      <c r="C123" s="83"/>
      <c r="D123" s="83"/>
      <c r="E123" s="83"/>
      <c r="F123" s="83"/>
      <c r="G123" s="1631"/>
      <c r="H123" s="1948"/>
      <c r="I123" s="1003"/>
      <c r="J123" s="53"/>
      <c r="K123" s="483"/>
      <c r="L123" s="1683"/>
      <c r="M123" s="1661">
        <f>SUM(M121:M122)</f>
        <v>63000000</v>
      </c>
      <c r="N123" s="1683"/>
      <c r="O123" s="1661">
        <f>SUM(O121:O122)</f>
        <v>63000000</v>
      </c>
      <c r="P123" s="181"/>
      <c r="Q123" s="162">
        <f>SUM(Q121:Q122)</f>
        <v>0</v>
      </c>
      <c r="R123" s="162">
        <f t="shared" ref="R123:AD123" si="35">SUM(R121:R122)</f>
        <v>0</v>
      </c>
      <c r="S123" s="162">
        <f t="shared" si="35"/>
        <v>0</v>
      </c>
      <c r="T123" s="162">
        <f t="shared" si="35"/>
        <v>0</v>
      </c>
      <c r="U123" s="162">
        <f t="shared" si="35"/>
        <v>0</v>
      </c>
      <c r="V123" s="162">
        <f>SUM(V121:V122)</f>
        <v>7944000</v>
      </c>
      <c r="W123" s="162">
        <f>SUM(W121:W122)</f>
        <v>6620000</v>
      </c>
      <c r="X123" s="162">
        <f t="shared" si="35"/>
        <v>6620000</v>
      </c>
      <c r="Y123" s="162">
        <f t="shared" si="35"/>
        <v>7326667</v>
      </c>
      <c r="Z123" s="162">
        <f t="shared" si="35"/>
        <v>0</v>
      </c>
      <c r="AA123" s="162">
        <f t="shared" si="35"/>
        <v>0</v>
      </c>
      <c r="AB123" s="162">
        <f t="shared" si="35"/>
        <v>0</v>
      </c>
      <c r="AC123" s="162">
        <f t="shared" si="35"/>
        <v>28510667</v>
      </c>
      <c r="AD123" s="162">
        <f t="shared" si="35"/>
        <v>34489333</v>
      </c>
      <c r="AE123" s="234"/>
      <c r="AF123" s="922"/>
      <c r="AG123" s="469"/>
      <c r="AH123" s="469"/>
      <c r="AI123" s="1097"/>
      <c r="AJ123" s="162">
        <f t="shared" ref="AJ123:AK123" si="36">SUM(AJ121:AJ122)</f>
        <v>63000000</v>
      </c>
      <c r="AK123" s="162">
        <f t="shared" si="36"/>
        <v>0</v>
      </c>
      <c r="AL123" s="843">
        <f>B120-AJ123</f>
        <v>0</v>
      </c>
      <c r="AM123" s="317"/>
    </row>
    <row r="124" spans="1:39" s="8" customFormat="1" ht="29.25" customHeight="1">
      <c r="A124" s="614" t="s">
        <v>35</v>
      </c>
      <c r="B124" s="172">
        <f>40000000+100000000</f>
        <v>140000000</v>
      </c>
      <c r="C124" s="1318" t="s">
        <v>872</v>
      </c>
      <c r="D124" s="1318" t="s">
        <v>862</v>
      </c>
      <c r="E124" s="1316" t="s">
        <v>37</v>
      </c>
      <c r="F124" s="1316" t="s">
        <v>351</v>
      </c>
      <c r="G124" s="1938" t="s">
        <v>38</v>
      </c>
      <c r="H124" s="1942" t="s">
        <v>1384</v>
      </c>
      <c r="I124" s="1001"/>
      <c r="J124" s="438">
        <v>0</v>
      </c>
      <c r="K124" s="1204"/>
      <c r="L124" s="1684"/>
      <c r="M124" s="1662"/>
      <c r="N124" s="1684"/>
      <c r="O124" s="1662"/>
      <c r="P124" s="1205"/>
      <c r="Q124" s="1206"/>
      <c r="R124" s="416"/>
      <c r="S124" s="416"/>
      <c r="T124" s="416"/>
      <c r="U124" s="416"/>
      <c r="V124" s="416"/>
      <c r="W124" s="416"/>
      <c r="X124" s="416"/>
      <c r="Y124" s="416"/>
      <c r="Z124" s="416"/>
      <c r="AA124" s="416"/>
      <c r="AB124" s="416"/>
      <c r="AC124" s="736">
        <f>SUM(Q124:AB124)</f>
        <v>0</v>
      </c>
      <c r="AD124" s="765">
        <f>O124-AC124</f>
        <v>0</v>
      </c>
      <c r="AE124" s="1506"/>
      <c r="AF124" s="1207"/>
      <c r="AG124" s="377"/>
      <c r="AH124" s="377"/>
      <c r="AI124" s="1098"/>
      <c r="AJ124" s="1208"/>
      <c r="AK124" s="1205"/>
      <c r="AL124" s="843"/>
    </row>
    <row r="125" spans="1:39" s="8" customFormat="1">
      <c r="A125" s="82" t="s">
        <v>35</v>
      </c>
      <c r="B125" s="161">
        <f>M125</f>
        <v>0</v>
      </c>
      <c r="C125" s="78" t="s">
        <v>872</v>
      </c>
      <c r="D125" s="78" t="s">
        <v>862</v>
      </c>
      <c r="E125" s="78" t="s">
        <v>37</v>
      </c>
      <c r="F125" s="78" t="s">
        <v>351</v>
      </c>
      <c r="G125" s="1935" t="s">
        <v>38</v>
      </c>
      <c r="H125" s="1943" t="s">
        <v>1384</v>
      </c>
      <c r="I125" s="1947" t="s">
        <v>349</v>
      </c>
      <c r="J125" s="160">
        <v>0</v>
      </c>
      <c r="K125" s="487"/>
      <c r="L125" s="1682"/>
      <c r="M125" s="1592"/>
      <c r="N125" s="1682"/>
      <c r="O125" s="1592"/>
      <c r="P125" s="1301"/>
      <c r="Q125" s="234"/>
      <c r="R125" s="138"/>
      <c r="S125" s="138"/>
      <c r="T125" s="138"/>
      <c r="U125" s="166"/>
      <c r="V125" s="138"/>
      <c r="W125" s="138"/>
      <c r="X125" s="138"/>
      <c r="Y125" s="166"/>
      <c r="Z125" s="138"/>
      <c r="AA125" s="138"/>
      <c r="AB125" s="138"/>
      <c r="AC125" s="737">
        <f>SUM(Q125:AB125)</f>
        <v>0</v>
      </c>
      <c r="AD125" s="743">
        <f>O125-AC125</f>
        <v>0</v>
      </c>
      <c r="AE125" s="1506"/>
      <c r="AF125" s="946" t="s">
        <v>349</v>
      </c>
      <c r="AG125" s="279" t="s">
        <v>350</v>
      </c>
      <c r="AH125" s="279" t="s">
        <v>178</v>
      </c>
      <c r="AI125" s="517">
        <f>P125</f>
        <v>0</v>
      </c>
      <c r="AJ125" s="105">
        <f>40000000-40000000</f>
        <v>0</v>
      </c>
      <c r="AK125" s="947">
        <f>AJ125-O125</f>
        <v>0</v>
      </c>
      <c r="AL125" s="843"/>
      <c r="AM125" s="314">
        <f t="shared" ref="AM125:AM128" si="37">AJ125-M125</f>
        <v>0</v>
      </c>
    </row>
    <row r="126" spans="1:39" s="8" customFormat="1">
      <c r="A126" s="82" t="s">
        <v>35</v>
      </c>
      <c r="B126" s="161">
        <f>M126</f>
        <v>98876000</v>
      </c>
      <c r="C126" s="78" t="s">
        <v>872</v>
      </c>
      <c r="D126" s="79" t="s">
        <v>862</v>
      </c>
      <c r="E126" s="79" t="s">
        <v>37</v>
      </c>
      <c r="F126" s="79" t="s">
        <v>351</v>
      </c>
      <c r="G126" s="1936" t="s">
        <v>38</v>
      </c>
      <c r="H126" s="1943" t="s">
        <v>1384</v>
      </c>
      <c r="I126" s="1041">
        <v>454</v>
      </c>
      <c r="J126" s="160">
        <v>0</v>
      </c>
      <c r="K126" s="487"/>
      <c r="L126" s="1682">
        <v>399</v>
      </c>
      <c r="M126" s="1592">
        <f>99186546-310546</f>
        <v>98876000</v>
      </c>
      <c r="N126" s="1682">
        <v>462</v>
      </c>
      <c r="O126" s="1592">
        <v>98876000</v>
      </c>
      <c r="P126" s="1301">
        <v>335</v>
      </c>
      <c r="Q126" s="234"/>
      <c r="R126" s="138"/>
      <c r="S126" s="138"/>
      <c r="T126" s="138"/>
      <c r="U126" s="166"/>
      <c r="V126" s="166"/>
      <c r="W126" s="138"/>
      <c r="X126" s="166">
        <v>25716000</v>
      </c>
      <c r="Y126" s="166">
        <v>65844000</v>
      </c>
      <c r="Z126" s="138"/>
      <c r="AA126" s="138"/>
      <c r="AB126" s="138"/>
      <c r="AC126" s="737">
        <f t="shared" ref="AC126:AC128" si="38">SUM(Q126:AB126)</f>
        <v>91560000</v>
      </c>
      <c r="AD126" s="743">
        <f t="shared" ref="AD126:AD128" si="39">O126-AC126</f>
        <v>7316000</v>
      </c>
      <c r="AE126" s="1506"/>
      <c r="AF126" s="946">
        <v>454</v>
      </c>
      <c r="AG126" s="279" t="s">
        <v>843</v>
      </c>
      <c r="AH126" s="279" t="s">
        <v>985</v>
      </c>
      <c r="AI126" s="517">
        <f>P126</f>
        <v>335</v>
      </c>
      <c r="AJ126" s="105">
        <f>100000000</f>
        <v>100000000</v>
      </c>
      <c r="AK126" s="947">
        <f>AJ126-O126</f>
        <v>1124000</v>
      </c>
      <c r="AL126" s="843"/>
      <c r="AM126" s="314">
        <f t="shared" si="37"/>
        <v>1124000</v>
      </c>
    </row>
    <row r="127" spans="1:39" s="8" customFormat="1">
      <c r="A127" s="82" t="s">
        <v>35</v>
      </c>
      <c r="B127" s="161">
        <f t="shared" ref="B127:B128" si="40">M127</f>
        <v>40000000</v>
      </c>
      <c r="C127" s="78" t="s">
        <v>872</v>
      </c>
      <c r="D127" s="79" t="s">
        <v>862</v>
      </c>
      <c r="E127" s="79" t="s">
        <v>37</v>
      </c>
      <c r="F127" s="79" t="s">
        <v>351</v>
      </c>
      <c r="G127" s="1936" t="s">
        <v>38</v>
      </c>
      <c r="H127" s="1943" t="s">
        <v>1384</v>
      </c>
      <c r="I127" s="1041">
        <v>497</v>
      </c>
      <c r="J127" s="160"/>
      <c r="K127" s="487"/>
      <c r="L127" s="1682">
        <v>459</v>
      </c>
      <c r="M127" s="1592">
        <v>40000000</v>
      </c>
      <c r="N127" s="1682">
        <v>484</v>
      </c>
      <c r="O127" s="1592">
        <v>40000000</v>
      </c>
      <c r="P127" s="1301">
        <v>350</v>
      </c>
      <c r="Q127" s="234"/>
      <c r="R127" s="138"/>
      <c r="S127" s="138"/>
      <c r="T127" s="138"/>
      <c r="U127" s="166"/>
      <c r="V127" s="166">
        <v>0</v>
      </c>
      <c r="W127" s="1592">
        <v>1824667</v>
      </c>
      <c r="X127" s="1592">
        <v>6620000</v>
      </c>
      <c r="Y127" s="166">
        <v>6620000</v>
      </c>
      <c r="Z127" s="138"/>
      <c r="AA127" s="138"/>
      <c r="AB127" s="138"/>
      <c r="AC127" s="737">
        <f t="shared" si="38"/>
        <v>15064667</v>
      </c>
      <c r="AD127" s="743">
        <f t="shared" si="39"/>
        <v>24935333</v>
      </c>
      <c r="AE127" s="1506"/>
      <c r="AF127" s="946">
        <v>497</v>
      </c>
      <c r="AG127" s="279" t="s">
        <v>330</v>
      </c>
      <c r="AH127" s="279" t="s">
        <v>679</v>
      </c>
      <c r="AI127" s="517">
        <f t="shared" ref="AI127:AI128" si="41">P127</f>
        <v>350</v>
      </c>
      <c r="AJ127" s="105">
        <v>40000000</v>
      </c>
      <c r="AK127" s="947">
        <f t="shared" ref="AK127:AK128" si="42">AJ127-O127</f>
        <v>0</v>
      </c>
      <c r="AL127" s="843"/>
      <c r="AM127" s="314">
        <f t="shared" si="37"/>
        <v>0</v>
      </c>
    </row>
    <row r="128" spans="1:39" s="8" customFormat="1">
      <c r="A128" s="82" t="s">
        <v>35</v>
      </c>
      <c r="B128" s="161">
        <f t="shared" si="40"/>
        <v>0</v>
      </c>
      <c r="C128" s="78" t="s">
        <v>872</v>
      </c>
      <c r="D128" s="79" t="s">
        <v>862</v>
      </c>
      <c r="E128" s="79" t="s">
        <v>37</v>
      </c>
      <c r="F128" s="79" t="s">
        <v>351</v>
      </c>
      <c r="G128" s="1936" t="s">
        <v>38</v>
      </c>
      <c r="H128" s="1943" t="s">
        <v>1384</v>
      </c>
      <c r="I128" s="1021" t="s">
        <v>178</v>
      </c>
      <c r="J128" s="160"/>
      <c r="K128" s="487"/>
      <c r="L128" s="1682"/>
      <c r="M128" s="1592"/>
      <c r="N128" s="1682"/>
      <c r="O128" s="1592"/>
      <c r="P128" s="1301"/>
      <c r="Q128" s="234"/>
      <c r="R128" s="138"/>
      <c r="S128" s="138"/>
      <c r="T128" s="138"/>
      <c r="U128" s="166"/>
      <c r="V128" s="138"/>
      <c r="W128" s="138"/>
      <c r="X128" s="138"/>
      <c r="Y128" s="166"/>
      <c r="Z128" s="138"/>
      <c r="AA128" s="138"/>
      <c r="AB128" s="138"/>
      <c r="AC128" s="737">
        <f t="shared" si="38"/>
        <v>0</v>
      </c>
      <c r="AD128" s="743">
        <f t="shared" si="39"/>
        <v>0</v>
      </c>
      <c r="AE128" s="1506"/>
      <c r="AF128" s="946" t="s">
        <v>178</v>
      </c>
      <c r="AG128" s="279"/>
      <c r="AH128" s="279"/>
      <c r="AI128" s="517">
        <f t="shared" si="41"/>
        <v>0</v>
      </c>
      <c r="AJ128" s="105"/>
      <c r="AK128" s="947">
        <f t="shared" si="42"/>
        <v>0</v>
      </c>
      <c r="AL128" s="843"/>
      <c r="AM128" s="314">
        <f t="shared" si="37"/>
        <v>0</v>
      </c>
    </row>
    <row r="129" spans="1:39" s="8" customFormat="1" ht="15">
      <c r="A129" s="167" t="s">
        <v>24</v>
      </c>
      <c r="B129" s="173">
        <f>B124-SUM(B125:B128)</f>
        <v>1124000</v>
      </c>
      <c r="C129" s="83"/>
      <c r="D129" s="83"/>
      <c r="E129" s="83"/>
      <c r="F129" s="83"/>
      <c r="G129" s="1631"/>
      <c r="H129" s="1948"/>
      <c r="I129" s="1003"/>
      <c r="J129" s="53"/>
      <c r="K129" s="483"/>
      <c r="L129" s="1683"/>
      <c r="M129" s="1661">
        <f>SUM(M125:M128)</f>
        <v>138876000</v>
      </c>
      <c r="N129" s="1683"/>
      <c r="O129" s="1661">
        <f>SUM(O125:O128)</f>
        <v>138876000</v>
      </c>
      <c r="P129" s="181"/>
      <c r="Q129" s="162">
        <f>SUM(Q125:Q128)</f>
        <v>0</v>
      </c>
      <c r="R129" s="162">
        <f t="shared" ref="R129:AD129" si="43">SUM(R125:R128)</f>
        <v>0</v>
      </c>
      <c r="S129" s="162">
        <f t="shared" si="43"/>
        <v>0</v>
      </c>
      <c r="T129" s="162">
        <f t="shared" si="43"/>
        <v>0</v>
      </c>
      <c r="U129" s="162">
        <f t="shared" si="43"/>
        <v>0</v>
      </c>
      <c r="V129" s="162">
        <f t="shared" si="43"/>
        <v>0</v>
      </c>
      <c r="W129" s="162">
        <f>SUM(W125:W128)</f>
        <v>1824667</v>
      </c>
      <c r="X129" s="162">
        <f t="shared" si="43"/>
        <v>32336000</v>
      </c>
      <c r="Y129" s="162">
        <f t="shared" si="43"/>
        <v>72464000</v>
      </c>
      <c r="Z129" s="162">
        <f t="shared" si="43"/>
        <v>0</v>
      </c>
      <c r="AA129" s="162">
        <f t="shared" si="43"/>
        <v>0</v>
      </c>
      <c r="AB129" s="162">
        <f t="shared" si="43"/>
        <v>0</v>
      </c>
      <c r="AC129" s="162">
        <f t="shared" si="43"/>
        <v>106624667</v>
      </c>
      <c r="AD129" s="162">
        <f t="shared" si="43"/>
        <v>32251333</v>
      </c>
      <c r="AE129" s="234"/>
      <c r="AF129" s="922"/>
      <c r="AG129" s="469"/>
      <c r="AH129" s="469"/>
      <c r="AI129" s="1097"/>
      <c r="AJ129" s="162">
        <f t="shared" ref="AJ129" si="44">SUM(AJ125:AJ128)</f>
        <v>140000000</v>
      </c>
      <c r="AK129" s="162">
        <f>SUM(AK125:AK128)</f>
        <v>1124000</v>
      </c>
      <c r="AL129" s="843">
        <f>B124-AJ129</f>
        <v>0</v>
      </c>
      <c r="AM129" s="317"/>
    </row>
    <row r="130" spans="1:39" s="6" customFormat="1" ht="29.25" customHeight="1">
      <c r="A130" s="731" t="s">
        <v>40</v>
      </c>
      <c r="B130" s="174">
        <f>620000000-33780000</f>
        <v>586220000</v>
      </c>
      <c r="C130" s="1322" t="s">
        <v>36</v>
      </c>
      <c r="D130" s="1323" t="s">
        <v>863</v>
      </c>
      <c r="E130" s="1321" t="s">
        <v>37</v>
      </c>
      <c r="F130" s="1321" t="s">
        <v>352</v>
      </c>
      <c r="G130" s="1946" t="s">
        <v>38</v>
      </c>
      <c r="H130" s="1955" t="s">
        <v>1385</v>
      </c>
      <c r="I130" s="1004"/>
      <c r="J130" s="445">
        <v>0</v>
      </c>
      <c r="K130" s="485"/>
      <c r="L130" s="1687"/>
      <c r="M130" s="1666"/>
      <c r="N130" s="1687"/>
      <c r="O130" s="1707"/>
      <c r="P130" s="384"/>
      <c r="Q130" s="442"/>
      <c r="R130" s="443"/>
      <c r="S130" s="443"/>
      <c r="T130" s="443"/>
      <c r="U130" s="443"/>
      <c r="V130" s="443"/>
      <c r="W130" s="443"/>
      <c r="X130" s="443"/>
      <c r="Y130" s="443"/>
      <c r="Z130" s="443"/>
      <c r="AA130" s="443"/>
      <c r="AB130" s="443"/>
      <c r="AC130" s="739"/>
      <c r="AD130" s="767"/>
      <c r="AE130" s="1515"/>
      <c r="AF130" s="948"/>
      <c r="AG130" s="444"/>
      <c r="AH130" s="444"/>
      <c r="AI130" s="526"/>
      <c r="AJ130" s="350"/>
      <c r="AK130" s="949"/>
      <c r="AL130" s="973"/>
    </row>
    <row r="131" spans="1:39" s="8" customFormat="1">
      <c r="A131" s="86" t="s">
        <v>40</v>
      </c>
      <c r="B131" s="169">
        <f>M131</f>
        <v>73645000</v>
      </c>
      <c r="C131" s="85" t="s">
        <v>36</v>
      </c>
      <c r="D131" s="85" t="s">
        <v>863</v>
      </c>
      <c r="E131" s="85" t="s">
        <v>37</v>
      </c>
      <c r="F131" s="85" t="s">
        <v>352</v>
      </c>
      <c r="G131" s="1949" t="s">
        <v>38</v>
      </c>
      <c r="H131" s="1956" t="s">
        <v>1385</v>
      </c>
      <c r="I131" s="1954">
        <v>71</v>
      </c>
      <c r="J131" s="160">
        <v>0</v>
      </c>
      <c r="K131" s="486"/>
      <c r="L131" s="1682">
        <v>81</v>
      </c>
      <c r="M131" s="1592">
        <v>73645000</v>
      </c>
      <c r="N131" s="1682">
        <v>61</v>
      </c>
      <c r="O131" s="1703">
        <v>73645000</v>
      </c>
      <c r="P131" s="236">
        <v>35</v>
      </c>
      <c r="Q131" s="230"/>
      <c r="R131" s="166"/>
      <c r="S131" s="166">
        <v>7364500</v>
      </c>
      <c r="T131" s="166">
        <v>6695000</v>
      </c>
      <c r="U131" s="166">
        <v>6695000</v>
      </c>
      <c r="V131" s="166">
        <v>6695000</v>
      </c>
      <c r="W131" s="166">
        <v>6695000</v>
      </c>
      <c r="X131" s="166">
        <v>5802333</v>
      </c>
      <c r="Y131" s="166">
        <v>6695000</v>
      </c>
      <c r="Z131" s="166"/>
      <c r="AA131" s="166"/>
      <c r="AB131" s="166"/>
      <c r="AC131" s="737">
        <f>SUM(Q131:AB131)</f>
        <v>46641833</v>
      </c>
      <c r="AD131" s="743">
        <f>O131-AC131</f>
        <v>27003167</v>
      </c>
      <c r="AE131" s="1506"/>
      <c r="AF131" s="950">
        <v>71</v>
      </c>
      <c r="AG131" s="261" t="s">
        <v>301</v>
      </c>
      <c r="AH131" s="279" t="str">
        <f>VLOOKUP(N131,[5]Hoja2!J$141:N$168,5,0)</f>
        <v>LILIANA MARCELA PAMPLONA ROMERO</v>
      </c>
      <c r="AI131" s="517">
        <f>P131</f>
        <v>35</v>
      </c>
      <c r="AJ131" s="316">
        <v>73645000</v>
      </c>
      <c r="AK131" s="926">
        <f t="shared" ref="AK131:AK188" si="45">AJ131-O131</f>
        <v>0</v>
      </c>
      <c r="AL131" s="973"/>
      <c r="AM131" s="314">
        <f t="shared" ref="AM131:AM188" si="46">AJ131-M131</f>
        <v>0</v>
      </c>
    </row>
    <row r="132" spans="1:39" s="8" customFormat="1">
      <c r="A132" s="86" t="s">
        <v>40</v>
      </c>
      <c r="B132" s="169">
        <f t="shared" ref="B132:B188" si="47">M132</f>
        <v>49000000</v>
      </c>
      <c r="C132" s="85" t="s">
        <v>36</v>
      </c>
      <c r="D132" s="85" t="s">
        <v>863</v>
      </c>
      <c r="E132" s="85" t="s">
        <v>37</v>
      </c>
      <c r="F132" s="85" t="s">
        <v>352</v>
      </c>
      <c r="G132" s="1949" t="s">
        <v>38</v>
      </c>
      <c r="H132" s="1956" t="s">
        <v>1385</v>
      </c>
      <c r="I132" s="1939">
        <v>85</v>
      </c>
      <c r="J132" s="160">
        <v>0</v>
      </c>
      <c r="K132" s="486"/>
      <c r="L132" s="1682">
        <v>230</v>
      </c>
      <c r="M132" s="1592">
        <v>49000000</v>
      </c>
      <c r="N132" s="1682">
        <v>218</v>
      </c>
      <c r="O132" s="1703">
        <v>49000000</v>
      </c>
      <c r="P132" s="236">
        <v>183</v>
      </c>
      <c r="Q132" s="230"/>
      <c r="R132" s="166"/>
      <c r="S132" s="166">
        <v>4410000</v>
      </c>
      <c r="T132" s="166">
        <v>4900000</v>
      </c>
      <c r="U132" s="166">
        <v>4900000</v>
      </c>
      <c r="V132" s="166">
        <v>4900000</v>
      </c>
      <c r="W132" s="166">
        <v>4900000</v>
      </c>
      <c r="X132" s="166">
        <v>4900000</v>
      </c>
      <c r="Y132" s="166">
        <v>4900000</v>
      </c>
      <c r="Z132" s="166"/>
      <c r="AA132" s="166"/>
      <c r="AB132" s="166"/>
      <c r="AC132" s="737">
        <f t="shared" ref="AC132:AC147" si="48">SUM(Q132:AB132)</f>
        <v>33810000</v>
      </c>
      <c r="AD132" s="743">
        <f t="shared" ref="AD132:AD147" si="49">O132-AC132</f>
        <v>15190000</v>
      </c>
      <c r="AE132" s="1506"/>
      <c r="AF132" s="942">
        <v>85</v>
      </c>
      <c r="AG132" s="261" t="s">
        <v>302</v>
      </c>
      <c r="AH132" s="279" t="s">
        <v>687</v>
      </c>
      <c r="AI132" s="517">
        <f>P132</f>
        <v>183</v>
      </c>
      <c r="AJ132" s="316">
        <f>51040000-2040000</f>
        <v>49000000</v>
      </c>
      <c r="AK132" s="926">
        <f t="shared" si="45"/>
        <v>0</v>
      </c>
      <c r="AL132" s="973"/>
      <c r="AM132" s="314">
        <f t="shared" si="46"/>
        <v>0</v>
      </c>
    </row>
    <row r="133" spans="1:39" s="8" customFormat="1">
      <c r="A133" s="86" t="s">
        <v>40</v>
      </c>
      <c r="B133" s="169">
        <f t="shared" si="47"/>
        <v>0</v>
      </c>
      <c r="C133" s="85" t="s">
        <v>36</v>
      </c>
      <c r="D133" s="85" t="s">
        <v>863</v>
      </c>
      <c r="E133" s="85" t="s">
        <v>37</v>
      </c>
      <c r="F133" s="85" t="s">
        <v>352</v>
      </c>
      <c r="G133" s="1949" t="s">
        <v>38</v>
      </c>
      <c r="H133" s="1956" t="s">
        <v>1385</v>
      </c>
      <c r="I133" s="1939"/>
      <c r="J133" s="160"/>
      <c r="K133" s="486"/>
      <c r="L133" s="1682" t="s">
        <v>178</v>
      </c>
      <c r="M133" s="1592"/>
      <c r="N133" s="1682"/>
      <c r="O133" s="1703"/>
      <c r="P133" s="236">
        <v>183</v>
      </c>
      <c r="Q133" s="230"/>
      <c r="R133" s="166"/>
      <c r="S133" s="166"/>
      <c r="T133" s="166"/>
      <c r="U133" s="166"/>
      <c r="V133" s="166"/>
      <c r="W133" s="166"/>
      <c r="X133" s="166"/>
      <c r="Y133" s="166"/>
      <c r="Z133" s="166"/>
      <c r="AA133" s="166"/>
      <c r="AB133" s="166"/>
      <c r="AC133" s="737">
        <f t="shared" ref="AC133" si="50">SUM(Q133:AB133)</f>
        <v>0</v>
      </c>
      <c r="AD133" s="743">
        <f t="shared" ref="AD133" si="51">O133-AC133</f>
        <v>0</v>
      </c>
      <c r="AE133" s="1506"/>
      <c r="AF133" s="942" t="s">
        <v>349</v>
      </c>
      <c r="AG133" s="261" t="s">
        <v>1345</v>
      </c>
      <c r="AH133" s="279" t="s">
        <v>687</v>
      </c>
      <c r="AI133" s="517">
        <f>P133</f>
        <v>183</v>
      </c>
      <c r="AJ133" s="316">
        <v>3267000</v>
      </c>
      <c r="AK133" s="926">
        <f t="shared" si="45"/>
        <v>3267000</v>
      </c>
      <c r="AL133" s="973"/>
      <c r="AM133" s="314">
        <f t="shared" si="46"/>
        <v>3267000</v>
      </c>
    </row>
    <row r="134" spans="1:39" s="8" customFormat="1">
      <c r="A134" s="86" t="s">
        <v>40</v>
      </c>
      <c r="B134" s="169">
        <f t="shared" si="47"/>
        <v>30000000</v>
      </c>
      <c r="C134" s="85" t="s">
        <v>36</v>
      </c>
      <c r="D134" s="85" t="s">
        <v>863</v>
      </c>
      <c r="E134" s="85" t="s">
        <v>37</v>
      </c>
      <c r="F134" s="85" t="s">
        <v>352</v>
      </c>
      <c r="G134" s="1949" t="s">
        <v>38</v>
      </c>
      <c r="H134" s="1956" t="s">
        <v>1385</v>
      </c>
      <c r="I134" s="1939" t="s">
        <v>150</v>
      </c>
      <c r="J134" s="160"/>
      <c r="K134" s="486"/>
      <c r="L134" s="1682">
        <v>272</v>
      </c>
      <c r="M134" s="1592">
        <v>30000000</v>
      </c>
      <c r="N134" s="1682">
        <v>584</v>
      </c>
      <c r="O134" s="1703">
        <v>30000000</v>
      </c>
      <c r="P134" s="1219" t="s">
        <v>1098</v>
      </c>
      <c r="Q134" s="230" t="s">
        <v>178</v>
      </c>
      <c r="R134" s="166"/>
      <c r="S134" s="166"/>
      <c r="T134" s="166"/>
      <c r="U134" s="166"/>
      <c r="V134" s="166">
        <v>15000000</v>
      </c>
      <c r="W134" s="166" t="s">
        <v>178</v>
      </c>
      <c r="X134" s="166"/>
      <c r="Y134" s="166">
        <v>12000000</v>
      </c>
      <c r="Z134" s="166"/>
      <c r="AA134" s="166"/>
      <c r="AB134" s="166"/>
      <c r="AC134" s="737">
        <f t="shared" si="48"/>
        <v>27000000</v>
      </c>
      <c r="AD134" s="743">
        <f t="shared" si="49"/>
        <v>3000000</v>
      </c>
      <c r="AE134" s="1506"/>
      <c r="AF134" s="942" t="s">
        <v>150</v>
      </c>
      <c r="AG134" s="261" t="s">
        <v>652</v>
      </c>
      <c r="AH134" s="279" t="s">
        <v>1099</v>
      </c>
      <c r="AI134" s="517" t="str">
        <f t="shared" ref="AI134:AI147" si="52">P134</f>
        <v>Resolución 355</v>
      </c>
      <c r="AJ134" s="316">
        <v>30000000</v>
      </c>
      <c r="AK134" s="926">
        <f t="shared" si="45"/>
        <v>0</v>
      </c>
      <c r="AL134" s="973"/>
      <c r="AM134" s="314">
        <f t="shared" si="46"/>
        <v>0</v>
      </c>
    </row>
    <row r="135" spans="1:39" s="8" customFormat="1">
      <c r="A135" s="86" t="s">
        <v>40</v>
      </c>
      <c r="B135" s="169">
        <f t="shared" si="47"/>
        <v>20000000</v>
      </c>
      <c r="C135" s="85" t="s">
        <v>36</v>
      </c>
      <c r="D135" s="85" t="s">
        <v>863</v>
      </c>
      <c r="E135" s="85" t="s">
        <v>37</v>
      </c>
      <c r="F135" s="85" t="s">
        <v>352</v>
      </c>
      <c r="G135" s="1949" t="s">
        <v>38</v>
      </c>
      <c r="H135" s="1956" t="s">
        <v>1385</v>
      </c>
      <c r="I135" s="1939" t="s">
        <v>150</v>
      </c>
      <c r="J135" s="160"/>
      <c r="K135" s="486"/>
      <c r="L135" s="1682">
        <v>276</v>
      </c>
      <c r="M135" s="1592">
        <v>20000000</v>
      </c>
      <c r="N135" s="1682">
        <v>588</v>
      </c>
      <c r="O135" s="1703">
        <v>20000000</v>
      </c>
      <c r="P135" s="1219" t="s">
        <v>1100</v>
      </c>
      <c r="Q135" s="230" t="s">
        <v>178</v>
      </c>
      <c r="R135" s="166"/>
      <c r="S135" s="166"/>
      <c r="T135" s="166"/>
      <c r="U135" s="166"/>
      <c r="V135" s="166">
        <v>10000000</v>
      </c>
      <c r="W135" s="166" t="s">
        <v>178</v>
      </c>
      <c r="X135" s="166"/>
      <c r="Y135" s="166">
        <v>8000000</v>
      </c>
      <c r="Z135" s="166"/>
      <c r="AA135" s="166"/>
      <c r="AB135" s="166"/>
      <c r="AC135" s="737">
        <f t="shared" si="48"/>
        <v>18000000</v>
      </c>
      <c r="AD135" s="743">
        <f t="shared" si="49"/>
        <v>2000000</v>
      </c>
      <c r="AE135" s="1506"/>
      <c r="AF135" s="942" t="s">
        <v>150</v>
      </c>
      <c r="AG135" s="261" t="s">
        <v>653</v>
      </c>
      <c r="AH135" s="279" t="s">
        <v>1101</v>
      </c>
      <c r="AI135" s="517" t="str">
        <f t="shared" si="52"/>
        <v>Resolución 314</v>
      </c>
      <c r="AJ135" s="316">
        <v>20000000</v>
      </c>
      <c r="AK135" s="926">
        <f t="shared" si="45"/>
        <v>0</v>
      </c>
      <c r="AL135" s="973"/>
      <c r="AM135" s="314">
        <f t="shared" si="46"/>
        <v>0</v>
      </c>
    </row>
    <row r="136" spans="1:39" s="8" customFormat="1">
      <c r="A136" s="86" t="s">
        <v>40</v>
      </c>
      <c r="B136" s="169">
        <f t="shared" si="47"/>
        <v>0</v>
      </c>
      <c r="C136" s="85" t="s">
        <v>36</v>
      </c>
      <c r="D136" s="85" t="s">
        <v>863</v>
      </c>
      <c r="E136" s="85" t="s">
        <v>37</v>
      </c>
      <c r="F136" s="85" t="s">
        <v>352</v>
      </c>
      <c r="G136" s="1949" t="s">
        <v>38</v>
      </c>
      <c r="H136" s="1956" t="s">
        <v>1385</v>
      </c>
      <c r="I136" s="1939" t="s">
        <v>150</v>
      </c>
      <c r="J136" s="160"/>
      <c r="K136" s="486"/>
      <c r="L136" s="1682">
        <v>278</v>
      </c>
      <c r="M136" s="1592">
        <f>20000000-20000000</f>
        <v>0</v>
      </c>
      <c r="N136" s="1682"/>
      <c r="O136" s="1703"/>
      <c r="P136" s="236"/>
      <c r="Q136" s="230" t="s">
        <v>178</v>
      </c>
      <c r="R136" s="166"/>
      <c r="S136" s="166"/>
      <c r="T136" s="166"/>
      <c r="U136" s="166"/>
      <c r="V136" s="166"/>
      <c r="W136" s="166" t="s">
        <v>178</v>
      </c>
      <c r="X136" s="166"/>
      <c r="Y136" s="166"/>
      <c r="Z136" s="166"/>
      <c r="AA136" s="166"/>
      <c r="AB136" s="166"/>
      <c r="AC136" s="737">
        <f t="shared" si="48"/>
        <v>0</v>
      </c>
      <c r="AD136" s="743">
        <f t="shared" si="49"/>
        <v>0</v>
      </c>
      <c r="AE136" s="1506"/>
      <c r="AF136" s="942" t="s">
        <v>150</v>
      </c>
      <c r="AG136" s="261" t="s">
        <v>654</v>
      </c>
      <c r="AH136" s="279" t="s">
        <v>178</v>
      </c>
      <c r="AI136" s="517">
        <f t="shared" si="52"/>
        <v>0</v>
      </c>
      <c r="AJ136" s="316">
        <f>20000000-20000000</f>
        <v>0</v>
      </c>
      <c r="AK136" s="926">
        <f t="shared" si="45"/>
        <v>0</v>
      </c>
      <c r="AL136" s="973"/>
      <c r="AM136" s="314">
        <f t="shared" si="46"/>
        <v>0</v>
      </c>
    </row>
    <row r="137" spans="1:39" s="8" customFormat="1">
      <c r="A137" s="86" t="s">
        <v>40</v>
      </c>
      <c r="B137" s="169">
        <f t="shared" si="47"/>
        <v>35000000</v>
      </c>
      <c r="C137" s="85" t="s">
        <v>36</v>
      </c>
      <c r="D137" s="85" t="s">
        <v>863</v>
      </c>
      <c r="E137" s="85" t="s">
        <v>37</v>
      </c>
      <c r="F137" s="85" t="s">
        <v>352</v>
      </c>
      <c r="G137" s="1949" t="s">
        <v>38</v>
      </c>
      <c r="H137" s="1956" t="s">
        <v>1385</v>
      </c>
      <c r="I137" s="1939" t="s">
        <v>150</v>
      </c>
      <c r="J137" s="160"/>
      <c r="K137" s="486"/>
      <c r="L137" s="1682">
        <v>279</v>
      </c>
      <c r="M137" s="1592">
        <v>35000000</v>
      </c>
      <c r="N137" s="1682">
        <v>601</v>
      </c>
      <c r="O137" s="1703">
        <v>35000000</v>
      </c>
      <c r="P137" s="1219" t="s">
        <v>1104</v>
      </c>
      <c r="Q137" s="230" t="s">
        <v>178</v>
      </c>
      <c r="R137" s="166"/>
      <c r="S137" s="166"/>
      <c r="T137" s="166"/>
      <c r="U137" s="166"/>
      <c r="V137" s="166">
        <v>17500000</v>
      </c>
      <c r="W137" s="166" t="s">
        <v>178</v>
      </c>
      <c r="X137" s="166"/>
      <c r="Y137" s="166">
        <v>14000000</v>
      </c>
      <c r="Z137" s="166"/>
      <c r="AA137" s="166"/>
      <c r="AB137" s="166"/>
      <c r="AC137" s="737">
        <f t="shared" si="48"/>
        <v>31500000</v>
      </c>
      <c r="AD137" s="743">
        <f t="shared" si="49"/>
        <v>3500000</v>
      </c>
      <c r="AE137" s="1506"/>
      <c r="AF137" s="942" t="s">
        <v>150</v>
      </c>
      <c r="AG137" s="261" t="s">
        <v>655</v>
      </c>
      <c r="AH137" s="279" t="s">
        <v>1105</v>
      </c>
      <c r="AI137" s="517" t="str">
        <f t="shared" si="52"/>
        <v>Resolución 341</v>
      </c>
      <c r="AJ137" s="316">
        <v>35000000</v>
      </c>
      <c r="AK137" s="926">
        <f t="shared" si="45"/>
        <v>0</v>
      </c>
      <c r="AL137" s="973"/>
      <c r="AM137" s="314">
        <f t="shared" si="46"/>
        <v>0</v>
      </c>
    </row>
    <row r="138" spans="1:39" s="8" customFormat="1">
      <c r="A138" s="86" t="s">
        <v>40</v>
      </c>
      <c r="B138" s="169">
        <f t="shared" si="47"/>
        <v>25000000</v>
      </c>
      <c r="C138" s="85" t="s">
        <v>36</v>
      </c>
      <c r="D138" s="85" t="s">
        <v>863</v>
      </c>
      <c r="E138" s="85" t="s">
        <v>37</v>
      </c>
      <c r="F138" s="85" t="s">
        <v>352</v>
      </c>
      <c r="G138" s="1949" t="s">
        <v>38</v>
      </c>
      <c r="H138" s="1956" t="s">
        <v>1385</v>
      </c>
      <c r="I138" s="1939" t="s">
        <v>150</v>
      </c>
      <c r="J138" s="160"/>
      <c r="K138" s="486"/>
      <c r="L138" s="1682">
        <v>280</v>
      </c>
      <c r="M138" s="1592">
        <v>25000000</v>
      </c>
      <c r="N138" s="1682">
        <v>581</v>
      </c>
      <c r="O138" s="1703">
        <v>25000000</v>
      </c>
      <c r="P138" s="1219" t="s">
        <v>1107</v>
      </c>
      <c r="Q138" s="230" t="s">
        <v>178</v>
      </c>
      <c r="R138" s="166"/>
      <c r="S138" s="166"/>
      <c r="T138" s="166"/>
      <c r="U138" s="166"/>
      <c r="V138" s="166">
        <f>12500000-12500000</f>
        <v>0</v>
      </c>
      <c r="W138" s="166">
        <v>12500000</v>
      </c>
      <c r="X138" s="166"/>
      <c r="Y138" s="166">
        <v>10000000</v>
      </c>
      <c r="Z138" s="166"/>
      <c r="AA138" s="166"/>
      <c r="AB138" s="166"/>
      <c r="AC138" s="737">
        <f t="shared" si="48"/>
        <v>22500000</v>
      </c>
      <c r="AD138" s="743">
        <f t="shared" si="49"/>
        <v>2500000</v>
      </c>
      <c r="AE138" s="1506"/>
      <c r="AF138" s="942" t="s">
        <v>150</v>
      </c>
      <c r="AG138" s="261" t="s">
        <v>656</v>
      </c>
      <c r="AH138" s="279" t="s">
        <v>1108</v>
      </c>
      <c r="AI138" s="517" t="str">
        <f t="shared" si="52"/>
        <v>Resolución 340</v>
      </c>
      <c r="AJ138" s="316">
        <v>25000000</v>
      </c>
      <c r="AK138" s="926">
        <f t="shared" si="45"/>
        <v>0</v>
      </c>
      <c r="AL138" s="973"/>
      <c r="AM138" s="314">
        <f t="shared" si="46"/>
        <v>0</v>
      </c>
    </row>
    <row r="139" spans="1:39" s="8" customFormat="1">
      <c r="A139" s="86" t="s">
        <v>40</v>
      </c>
      <c r="B139" s="169">
        <f t="shared" si="47"/>
        <v>30000000</v>
      </c>
      <c r="C139" s="85" t="s">
        <v>36</v>
      </c>
      <c r="D139" s="85" t="s">
        <v>863</v>
      </c>
      <c r="E139" s="85" t="s">
        <v>37</v>
      </c>
      <c r="F139" s="85" t="s">
        <v>352</v>
      </c>
      <c r="G139" s="1949" t="s">
        <v>38</v>
      </c>
      <c r="H139" s="1956" t="s">
        <v>1385</v>
      </c>
      <c r="I139" s="1939" t="s">
        <v>150</v>
      </c>
      <c r="J139" s="160"/>
      <c r="K139" s="486"/>
      <c r="L139" s="1682">
        <v>281</v>
      </c>
      <c r="M139" s="1592">
        <v>30000000</v>
      </c>
      <c r="N139" s="1682">
        <v>582</v>
      </c>
      <c r="O139" s="1703">
        <v>30000000</v>
      </c>
      <c r="P139" s="1219" t="s">
        <v>1106</v>
      </c>
      <c r="Q139" s="230" t="s">
        <v>178</v>
      </c>
      <c r="R139" s="166"/>
      <c r="S139" s="166"/>
      <c r="T139" s="166"/>
      <c r="U139" s="166"/>
      <c r="V139" s="166">
        <v>15000000</v>
      </c>
      <c r="W139" s="166" t="s">
        <v>178</v>
      </c>
      <c r="X139" s="166"/>
      <c r="Y139" s="166">
        <v>12000000</v>
      </c>
      <c r="Z139" s="166"/>
      <c r="AA139" s="166"/>
      <c r="AB139" s="166"/>
      <c r="AC139" s="737">
        <f t="shared" si="48"/>
        <v>27000000</v>
      </c>
      <c r="AD139" s="743">
        <f t="shared" si="49"/>
        <v>3000000</v>
      </c>
      <c r="AE139" s="1506"/>
      <c r="AF139" s="942" t="s">
        <v>150</v>
      </c>
      <c r="AG139" s="261" t="s">
        <v>657</v>
      </c>
      <c r="AH139" s="279" t="s">
        <v>1109</v>
      </c>
      <c r="AI139" s="517" t="str">
        <f t="shared" si="52"/>
        <v>Resolución 342</v>
      </c>
      <c r="AJ139" s="316">
        <v>30000000</v>
      </c>
      <c r="AK139" s="926">
        <f t="shared" si="45"/>
        <v>0</v>
      </c>
      <c r="AL139" s="973"/>
      <c r="AM139" s="314">
        <f t="shared" si="46"/>
        <v>0</v>
      </c>
    </row>
    <row r="140" spans="1:39" s="8" customFormat="1">
      <c r="A140" s="86" t="s">
        <v>40</v>
      </c>
      <c r="B140" s="169">
        <f t="shared" si="47"/>
        <v>20000000</v>
      </c>
      <c r="C140" s="85" t="s">
        <v>36</v>
      </c>
      <c r="D140" s="85" t="s">
        <v>863</v>
      </c>
      <c r="E140" s="85" t="s">
        <v>37</v>
      </c>
      <c r="F140" s="85" t="s">
        <v>352</v>
      </c>
      <c r="G140" s="1949" t="s">
        <v>38</v>
      </c>
      <c r="H140" s="1956" t="s">
        <v>1385</v>
      </c>
      <c r="I140" s="1939" t="s">
        <v>150</v>
      </c>
      <c r="J140" s="160"/>
      <c r="K140" s="486"/>
      <c r="L140" s="1682">
        <v>282</v>
      </c>
      <c r="M140" s="1592">
        <v>20000000</v>
      </c>
      <c r="N140" s="1682">
        <v>583</v>
      </c>
      <c r="O140" s="1703">
        <v>20000000</v>
      </c>
      <c r="P140" s="1219" t="s">
        <v>1110</v>
      </c>
      <c r="Q140" s="230" t="s">
        <v>178</v>
      </c>
      <c r="R140" s="166"/>
      <c r="S140" s="166"/>
      <c r="T140" s="166"/>
      <c r="U140" s="166"/>
      <c r="V140" s="166">
        <v>10000000</v>
      </c>
      <c r="W140" s="166" t="s">
        <v>178</v>
      </c>
      <c r="X140" s="166"/>
      <c r="Y140" s="166">
        <v>8000000</v>
      </c>
      <c r="Z140" s="166"/>
      <c r="AA140" s="166"/>
      <c r="AB140" s="166"/>
      <c r="AC140" s="737">
        <f t="shared" si="48"/>
        <v>18000000</v>
      </c>
      <c r="AD140" s="743">
        <f t="shared" si="49"/>
        <v>2000000</v>
      </c>
      <c r="AE140" s="1506"/>
      <c r="AF140" s="942" t="s">
        <v>150</v>
      </c>
      <c r="AG140" s="261" t="s">
        <v>658</v>
      </c>
      <c r="AH140" s="279" t="s">
        <v>1111</v>
      </c>
      <c r="AI140" s="517" t="str">
        <f t="shared" si="52"/>
        <v>Resolución 313</v>
      </c>
      <c r="AJ140" s="316">
        <v>20000000</v>
      </c>
      <c r="AK140" s="926">
        <f t="shared" si="45"/>
        <v>0</v>
      </c>
      <c r="AL140" s="973"/>
      <c r="AM140" s="314">
        <f t="shared" si="46"/>
        <v>0</v>
      </c>
    </row>
    <row r="141" spans="1:39" s="8" customFormat="1">
      <c r="A141" s="86" t="s">
        <v>40</v>
      </c>
      <c r="B141" s="169">
        <f t="shared" si="47"/>
        <v>15000000</v>
      </c>
      <c r="C141" s="85" t="s">
        <v>36</v>
      </c>
      <c r="D141" s="85" t="s">
        <v>863</v>
      </c>
      <c r="E141" s="85" t="s">
        <v>37</v>
      </c>
      <c r="F141" s="85" t="s">
        <v>352</v>
      </c>
      <c r="G141" s="1949" t="s">
        <v>38</v>
      </c>
      <c r="H141" s="1956" t="s">
        <v>1385</v>
      </c>
      <c r="I141" s="1939" t="s">
        <v>150</v>
      </c>
      <c r="J141" s="160"/>
      <c r="K141" s="486"/>
      <c r="L141" s="2089">
        <v>274</v>
      </c>
      <c r="M141" s="2092">
        <v>15000000</v>
      </c>
      <c r="N141" s="1682">
        <v>754</v>
      </c>
      <c r="O141" s="1703">
        <v>10000000</v>
      </c>
      <c r="P141" s="1219" t="s">
        <v>1255</v>
      </c>
      <c r="Q141" s="230" t="s">
        <v>178</v>
      </c>
      <c r="R141" s="166"/>
      <c r="S141" s="166"/>
      <c r="T141" s="166"/>
      <c r="U141" s="166"/>
      <c r="V141" s="166"/>
      <c r="W141" s="166" t="s">
        <v>178</v>
      </c>
      <c r="X141" s="166">
        <v>10000000</v>
      </c>
      <c r="Y141" s="166"/>
      <c r="Z141" s="166"/>
      <c r="AA141" s="166"/>
      <c r="AB141" s="166"/>
      <c r="AC141" s="737">
        <f t="shared" si="48"/>
        <v>10000000</v>
      </c>
      <c r="AD141" s="743">
        <f t="shared" si="49"/>
        <v>0</v>
      </c>
      <c r="AE141" s="1506"/>
      <c r="AF141" s="942" t="s">
        <v>150</v>
      </c>
      <c r="AG141" s="261" t="s">
        <v>650</v>
      </c>
      <c r="AH141" s="279" t="s">
        <v>1256</v>
      </c>
      <c r="AI141" s="517" t="str">
        <f t="shared" si="52"/>
        <v>Resolución 480</v>
      </c>
      <c r="AJ141" s="2095">
        <v>15000000</v>
      </c>
      <c r="AK141" s="2087">
        <f>AJ141-SUM(O141:O143)</f>
        <v>0</v>
      </c>
      <c r="AL141" s="973"/>
      <c r="AM141" s="314">
        <f t="shared" si="46"/>
        <v>0</v>
      </c>
    </row>
    <row r="142" spans="1:39" s="8" customFormat="1">
      <c r="A142" s="86" t="s">
        <v>40</v>
      </c>
      <c r="B142" s="169">
        <f t="shared" si="47"/>
        <v>0</v>
      </c>
      <c r="C142" s="85" t="s">
        <v>36</v>
      </c>
      <c r="D142" s="85" t="s">
        <v>863</v>
      </c>
      <c r="E142" s="85" t="s">
        <v>37</v>
      </c>
      <c r="F142" s="85" t="s">
        <v>352</v>
      </c>
      <c r="G142" s="1949" t="s">
        <v>38</v>
      </c>
      <c r="H142" s="1956" t="s">
        <v>1385</v>
      </c>
      <c r="I142" s="1939" t="s">
        <v>150</v>
      </c>
      <c r="J142" s="160"/>
      <c r="K142" s="486"/>
      <c r="L142" s="2090"/>
      <c r="M142" s="2093"/>
      <c r="N142" s="1682">
        <v>755</v>
      </c>
      <c r="O142" s="1703">
        <v>3000000</v>
      </c>
      <c r="P142" s="1219" t="s">
        <v>1255</v>
      </c>
      <c r="Q142" s="230" t="s">
        <v>178</v>
      </c>
      <c r="R142" s="166"/>
      <c r="S142" s="166"/>
      <c r="T142" s="166"/>
      <c r="U142" s="166"/>
      <c r="V142" s="166"/>
      <c r="W142" s="166" t="s">
        <v>178</v>
      </c>
      <c r="X142" s="166">
        <v>3000000</v>
      </c>
      <c r="Y142" s="166"/>
      <c r="Z142" s="166"/>
      <c r="AA142" s="166"/>
      <c r="AB142" s="166"/>
      <c r="AC142" s="737">
        <f t="shared" si="48"/>
        <v>3000000</v>
      </c>
      <c r="AD142" s="743">
        <f t="shared" si="49"/>
        <v>0</v>
      </c>
      <c r="AE142" s="1506"/>
      <c r="AF142" s="942" t="s">
        <v>150</v>
      </c>
      <c r="AG142" s="261" t="s">
        <v>650</v>
      </c>
      <c r="AH142" s="279" t="s">
        <v>1257</v>
      </c>
      <c r="AI142" s="517" t="str">
        <f t="shared" si="52"/>
        <v>Resolución 480</v>
      </c>
      <c r="AJ142" s="2096"/>
      <c r="AK142" s="2098"/>
      <c r="AL142" s="973"/>
      <c r="AM142" s="314">
        <f t="shared" si="46"/>
        <v>0</v>
      </c>
    </row>
    <row r="143" spans="1:39" s="8" customFormat="1">
      <c r="A143" s="86" t="s">
        <v>40</v>
      </c>
      <c r="B143" s="169">
        <f t="shared" si="47"/>
        <v>0</v>
      </c>
      <c r="C143" s="85" t="s">
        <v>36</v>
      </c>
      <c r="D143" s="85" t="s">
        <v>863</v>
      </c>
      <c r="E143" s="85" t="s">
        <v>37</v>
      </c>
      <c r="F143" s="85" t="s">
        <v>352</v>
      </c>
      <c r="G143" s="1949" t="s">
        <v>38</v>
      </c>
      <c r="H143" s="1956" t="s">
        <v>1385</v>
      </c>
      <c r="I143" s="1939" t="s">
        <v>150</v>
      </c>
      <c r="J143" s="160"/>
      <c r="K143" s="486"/>
      <c r="L143" s="2091"/>
      <c r="M143" s="2094"/>
      <c r="N143" s="1682">
        <v>757</v>
      </c>
      <c r="O143" s="1703">
        <v>2000000</v>
      </c>
      <c r="P143" s="1219" t="s">
        <v>1255</v>
      </c>
      <c r="Q143" s="230" t="s">
        <v>178</v>
      </c>
      <c r="R143" s="166"/>
      <c r="S143" s="166"/>
      <c r="T143" s="166"/>
      <c r="U143" s="166"/>
      <c r="V143" s="166"/>
      <c r="W143" s="166" t="s">
        <v>178</v>
      </c>
      <c r="X143" s="166">
        <v>2000000</v>
      </c>
      <c r="Y143" s="166"/>
      <c r="Z143" s="166"/>
      <c r="AA143" s="166"/>
      <c r="AB143" s="166"/>
      <c r="AC143" s="737">
        <f t="shared" si="48"/>
        <v>2000000</v>
      </c>
      <c r="AD143" s="743">
        <f t="shared" si="49"/>
        <v>0</v>
      </c>
      <c r="AE143" s="1506"/>
      <c r="AF143" s="942" t="s">
        <v>150</v>
      </c>
      <c r="AG143" s="261" t="s">
        <v>650</v>
      </c>
      <c r="AH143" s="279" t="s">
        <v>1258</v>
      </c>
      <c r="AI143" s="517" t="str">
        <f t="shared" si="52"/>
        <v>Resolución 480</v>
      </c>
      <c r="AJ143" s="2097"/>
      <c r="AK143" s="2088"/>
      <c r="AL143" s="973"/>
      <c r="AM143" s="314">
        <f t="shared" si="46"/>
        <v>0</v>
      </c>
    </row>
    <row r="144" spans="1:39" s="8" customFormat="1">
      <c r="A144" s="86" t="s">
        <v>40</v>
      </c>
      <c r="B144" s="169">
        <f t="shared" si="47"/>
        <v>26000000</v>
      </c>
      <c r="C144" s="85" t="s">
        <v>36</v>
      </c>
      <c r="D144" s="85" t="s">
        <v>863</v>
      </c>
      <c r="E144" s="85" t="s">
        <v>37</v>
      </c>
      <c r="F144" s="85" t="s">
        <v>352</v>
      </c>
      <c r="G144" s="1949" t="s">
        <v>38</v>
      </c>
      <c r="H144" s="1956" t="s">
        <v>1385</v>
      </c>
      <c r="I144" s="1939" t="s">
        <v>150</v>
      </c>
      <c r="J144" s="160"/>
      <c r="K144" s="486"/>
      <c r="L144" s="2089">
        <v>275</v>
      </c>
      <c r="M144" s="2092">
        <v>26000000</v>
      </c>
      <c r="N144" s="1682">
        <v>745</v>
      </c>
      <c r="O144" s="1703">
        <v>20000000</v>
      </c>
      <c r="P144" s="1219" t="s">
        <v>1259</v>
      </c>
      <c r="Q144" s="230" t="s">
        <v>178</v>
      </c>
      <c r="R144" s="166"/>
      <c r="S144" s="166"/>
      <c r="T144" s="166"/>
      <c r="U144" s="166"/>
      <c r="V144" s="166"/>
      <c r="W144" s="166" t="s">
        <v>178</v>
      </c>
      <c r="X144" s="166">
        <v>20000000</v>
      </c>
      <c r="Y144" s="166"/>
      <c r="Z144" s="166"/>
      <c r="AA144" s="166"/>
      <c r="AB144" s="166"/>
      <c r="AC144" s="737">
        <f t="shared" si="48"/>
        <v>20000000</v>
      </c>
      <c r="AD144" s="743">
        <f t="shared" si="49"/>
        <v>0</v>
      </c>
      <c r="AE144" s="1506"/>
      <c r="AF144" s="942" t="s">
        <v>150</v>
      </c>
      <c r="AG144" s="261" t="s">
        <v>651</v>
      </c>
      <c r="AH144" s="279" t="s">
        <v>1260</v>
      </c>
      <c r="AI144" s="517" t="str">
        <f t="shared" si="52"/>
        <v>Resolución 495</v>
      </c>
      <c r="AJ144" s="2095">
        <v>26000000</v>
      </c>
      <c r="AK144" s="2087">
        <f>AJ144-SUM(O144:O146)</f>
        <v>0</v>
      </c>
      <c r="AL144" s="973"/>
      <c r="AM144" s="314">
        <f t="shared" si="46"/>
        <v>0</v>
      </c>
    </row>
    <row r="145" spans="1:39" s="8" customFormat="1">
      <c r="A145" s="86" t="s">
        <v>40</v>
      </c>
      <c r="B145" s="169">
        <f t="shared" si="47"/>
        <v>0</v>
      </c>
      <c r="C145" s="85" t="s">
        <v>36</v>
      </c>
      <c r="D145" s="85" t="s">
        <v>863</v>
      </c>
      <c r="E145" s="85" t="s">
        <v>37</v>
      </c>
      <c r="F145" s="85" t="s">
        <v>352</v>
      </c>
      <c r="G145" s="1949" t="s">
        <v>38</v>
      </c>
      <c r="H145" s="1956" t="s">
        <v>1385</v>
      </c>
      <c r="I145" s="1939" t="s">
        <v>150</v>
      </c>
      <c r="J145" s="160"/>
      <c r="K145" s="486"/>
      <c r="L145" s="2090"/>
      <c r="M145" s="2093"/>
      <c r="N145" s="1682">
        <v>746</v>
      </c>
      <c r="O145" s="1703">
        <v>4000000</v>
      </c>
      <c r="P145" s="1219" t="s">
        <v>1259</v>
      </c>
      <c r="Q145" s="230" t="s">
        <v>178</v>
      </c>
      <c r="R145" s="166"/>
      <c r="S145" s="166"/>
      <c r="T145" s="166"/>
      <c r="U145" s="166"/>
      <c r="V145" s="166"/>
      <c r="W145" s="166" t="s">
        <v>178</v>
      </c>
      <c r="X145" s="166">
        <v>4000000</v>
      </c>
      <c r="Y145" s="166"/>
      <c r="Z145" s="166"/>
      <c r="AA145" s="166"/>
      <c r="AB145" s="166"/>
      <c r="AC145" s="737">
        <f t="shared" si="48"/>
        <v>4000000</v>
      </c>
      <c r="AD145" s="743">
        <f t="shared" si="49"/>
        <v>0</v>
      </c>
      <c r="AE145" s="1506"/>
      <c r="AF145" s="942" t="s">
        <v>150</v>
      </c>
      <c r="AG145" s="261" t="s">
        <v>651</v>
      </c>
      <c r="AH145" s="279" t="s">
        <v>1261</v>
      </c>
      <c r="AI145" s="517" t="str">
        <f t="shared" si="52"/>
        <v>Resolución 495</v>
      </c>
      <c r="AJ145" s="2096"/>
      <c r="AK145" s="2098"/>
      <c r="AL145" s="973"/>
      <c r="AM145" s="314">
        <f t="shared" si="46"/>
        <v>0</v>
      </c>
    </row>
    <row r="146" spans="1:39" s="8" customFormat="1">
      <c r="A146" s="86" t="s">
        <v>40</v>
      </c>
      <c r="B146" s="169">
        <f t="shared" si="47"/>
        <v>0</v>
      </c>
      <c r="C146" s="85" t="s">
        <v>36</v>
      </c>
      <c r="D146" s="85" t="s">
        <v>863</v>
      </c>
      <c r="E146" s="85" t="s">
        <v>37</v>
      </c>
      <c r="F146" s="85" t="s">
        <v>352</v>
      </c>
      <c r="G146" s="1949" t="s">
        <v>38</v>
      </c>
      <c r="H146" s="1956" t="s">
        <v>1385</v>
      </c>
      <c r="I146" s="1939" t="s">
        <v>150</v>
      </c>
      <c r="J146" s="160"/>
      <c r="K146" s="486"/>
      <c r="L146" s="2091"/>
      <c r="M146" s="2094"/>
      <c r="N146" s="1682">
        <v>747</v>
      </c>
      <c r="O146" s="1703">
        <v>2000000</v>
      </c>
      <c r="P146" s="1219" t="s">
        <v>1259</v>
      </c>
      <c r="Q146" s="230" t="s">
        <v>178</v>
      </c>
      <c r="R146" s="166"/>
      <c r="S146" s="166"/>
      <c r="T146" s="166"/>
      <c r="U146" s="166"/>
      <c r="V146" s="166"/>
      <c r="W146" s="166" t="s">
        <v>178</v>
      </c>
      <c r="X146" s="166">
        <v>2000000</v>
      </c>
      <c r="Y146" s="166"/>
      <c r="Z146" s="166"/>
      <c r="AA146" s="166"/>
      <c r="AB146" s="166"/>
      <c r="AC146" s="737">
        <f t="shared" si="48"/>
        <v>2000000</v>
      </c>
      <c r="AD146" s="743">
        <f t="shared" si="49"/>
        <v>0</v>
      </c>
      <c r="AE146" s="1506"/>
      <c r="AF146" s="942" t="s">
        <v>150</v>
      </c>
      <c r="AG146" s="261" t="s">
        <v>651</v>
      </c>
      <c r="AH146" s="279" t="s">
        <v>1262</v>
      </c>
      <c r="AI146" s="517" t="str">
        <f t="shared" si="52"/>
        <v>Resolución 495</v>
      </c>
      <c r="AJ146" s="2097"/>
      <c r="AK146" s="2088"/>
      <c r="AL146" s="973"/>
      <c r="AM146" s="314">
        <f t="shared" si="46"/>
        <v>0</v>
      </c>
    </row>
    <row r="147" spans="1:39" s="8" customFormat="1">
      <c r="A147" s="86" t="s">
        <v>40</v>
      </c>
      <c r="B147" s="169">
        <f t="shared" si="47"/>
        <v>20000000</v>
      </c>
      <c r="C147" s="85" t="s">
        <v>36</v>
      </c>
      <c r="D147" s="85" t="s">
        <v>863</v>
      </c>
      <c r="E147" s="85" t="s">
        <v>37</v>
      </c>
      <c r="F147" s="85" t="s">
        <v>352</v>
      </c>
      <c r="G147" s="1949" t="s">
        <v>38</v>
      </c>
      <c r="H147" s="1956" t="s">
        <v>1385</v>
      </c>
      <c r="I147" s="1939" t="s">
        <v>150</v>
      </c>
      <c r="J147" s="160">
        <v>0</v>
      </c>
      <c r="K147" s="486"/>
      <c r="L147" s="1682">
        <v>277</v>
      </c>
      <c r="M147" s="1592">
        <v>20000000</v>
      </c>
      <c r="N147" s="1682">
        <v>591</v>
      </c>
      <c r="O147" s="1703">
        <v>20000000</v>
      </c>
      <c r="P147" s="1219" t="s">
        <v>1102</v>
      </c>
      <c r="Q147" s="230" t="s">
        <v>178</v>
      </c>
      <c r="R147" s="166"/>
      <c r="S147" s="166"/>
      <c r="T147" s="166"/>
      <c r="U147" s="166"/>
      <c r="V147" s="166">
        <v>10000000</v>
      </c>
      <c r="W147" s="166" t="s">
        <v>178</v>
      </c>
      <c r="X147" s="166"/>
      <c r="Y147" s="166"/>
      <c r="Z147" s="166"/>
      <c r="AA147" s="166"/>
      <c r="AB147" s="166"/>
      <c r="AC147" s="737">
        <f t="shared" si="48"/>
        <v>10000000</v>
      </c>
      <c r="AD147" s="743">
        <f t="shared" si="49"/>
        <v>10000000</v>
      </c>
      <c r="AE147" s="1506"/>
      <c r="AF147" s="942" t="s">
        <v>150</v>
      </c>
      <c r="AG147" s="261" t="s">
        <v>303</v>
      </c>
      <c r="AH147" s="279" t="s">
        <v>1103</v>
      </c>
      <c r="AI147" s="517" t="str">
        <f t="shared" si="52"/>
        <v>Resolución 284</v>
      </c>
      <c r="AJ147" s="316">
        <f>80000000-40000000</f>
        <v>40000000</v>
      </c>
      <c r="AK147" s="926">
        <f t="shared" si="45"/>
        <v>20000000</v>
      </c>
      <c r="AL147" s="973"/>
      <c r="AM147" s="314">
        <f t="shared" si="46"/>
        <v>20000000</v>
      </c>
    </row>
    <row r="148" spans="1:39" s="8" customFormat="1">
      <c r="A148" s="86" t="s">
        <v>40</v>
      </c>
      <c r="B148" s="169">
        <f>M148</f>
        <v>73000000</v>
      </c>
      <c r="C148" s="85" t="s">
        <v>36</v>
      </c>
      <c r="D148" s="85" t="s">
        <v>863</v>
      </c>
      <c r="E148" s="85" t="s">
        <v>37</v>
      </c>
      <c r="F148" s="85" t="s">
        <v>352</v>
      </c>
      <c r="G148" s="1949" t="s">
        <v>38</v>
      </c>
      <c r="H148" s="1956" t="s">
        <v>1385</v>
      </c>
      <c r="I148" s="1939" t="s">
        <v>150</v>
      </c>
      <c r="J148" s="160">
        <v>0</v>
      </c>
      <c r="K148" s="486"/>
      <c r="L148" s="2089">
        <v>273</v>
      </c>
      <c r="M148" s="2092">
        <f>84000000-11000000</f>
        <v>73000000</v>
      </c>
      <c r="N148" s="1682">
        <v>563</v>
      </c>
      <c r="O148" s="1703">
        <v>2000000</v>
      </c>
      <c r="P148" s="1219" t="s">
        <v>1083</v>
      </c>
      <c r="Q148" s="230" t="s">
        <v>178</v>
      </c>
      <c r="R148" s="166"/>
      <c r="S148" s="166"/>
      <c r="T148" s="166"/>
      <c r="U148" s="166"/>
      <c r="V148" s="166">
        <v>2000000</v>
      </c>
      <c r="W148" s="166" t="s">
        <v>178</v>
      </c>
      <c r="X148" s="166"/>
      <c r="Y148" s="166"/>
      <c r="Z148" s="166"/>
      <c r="AA148" s="166"/>
      <c r="AB148" s="166"/>
      <c r="AC148" s="737">
        <f t="shared" ref="AC148:AC188" si="53">SUM(Q148:AB148)</f>
        <v>2000000</v>
      </c>
      <c r="AD148" s="743">
        <f t="shared" ref="AD148:AD188" si="54">O148-AC148</f>
        <v>0</v>
      </c>
      <c r="AE148" s="1506"/>
      <c r="AF148" s="942" t="s">
        <v>150</v>
      </c>
      <c r="AG148" s="261" t="s">
        <v>1055</v>
      </c>
      <c r="AH148" s="279" t="s">
        <v>1087</v>
      </c>
      <c r="AI148" s="1136" t="str">
        <f t="shared" ref="AI148:AI179" si="55">P148</f>
        <v>Resolución 283</v>
      </c>
      <c r="AJ148" s="2085">
        <f>84000000-11000000</f>
        <v>73000000</v>
      </c>
      <c r="AK148" s="2132">
        <f>AJ148-SUM(O148:O179)</f>
        <v>0</v>
      </c>
      <c r="AL148" s="973"/>
      <c r="AM148" s="2130">
        <f>AJ148-M148</f>
        <v>0</v>
      </c>
    </row>
    <row r="149" spans="1:39" s="8" customFormat="1">
      <c r="A149" s="86" t="s">
        <v>40</v>
      </c>
      <c r="B149" s="169">
        <f>M149</f>
        <v>0</v>
      </c>
      <c r="C149" s="85" t="s">
        <v>36</v>
      </c>
      <c r="D149" s="85" t="s">
        <v>863</v>
      </c>
      <c r="E149" s="85" t="s">
        <v>37</v>
      </c>
      <c r="F149" s="85" t="s">
        <v>352</v>
      </c>
      <c r="G149" s="1949" t="s">
        <v>38</v>
      </c>
      <c r="H149" s="1956" t="s">
        <v>1385</v>
      </c>
      <c r="I149" s="230" t="s">
        <v>178</v>
      </c>
      <c r="J149" s="160"/>
      <c r="K149" s="486"/>
      <c r="L149" s="2090"/>
      <c r="M149" s="2093"/>
      <c r="N149" s="1682">
        <v>564</v>
      </c>
      <c r="O149" s="1703">
        <v>2000000</v>
      </c>
      <c r="P149" s="1219" t="s">
        <v>1083</v>
      </c>
      <c r="Q149" s="230" t="s">
        <v>178</v>
      </c>
      <c r="R149" s="166"/>
      <c r="S149" s="166"/>
      <c r="T149" s="166"/>
      <c r="U149" s="166"/>
      <c r="V149" s="166">
        <v>2000000</v>
      </c>
      <c r="W149" s="166" t="s">
        <v>178</v>
      </c>
      <c r="X149" s="166"/>
      <c r="Y149" s="166"/>
      <c r="Z149" s="166"/>
      <c r="AA149" s="166"/>
      <c r="AB149" s="166"/>
      <c r="AC149" s="737">
        <f t="shared" si="53"/>
        <v>2000000</v>
      </c>
      <c r="AD149" s="743">
        <f t="shared" si="54"/>
        <v>0</v>
      </c>
      <c r="AE149" s="1506"/>
      <c r="AF149" s="942" t="s">
        <v>150</v>
      </c>
      <c r="AG149" s="261" t="s">
        <v>1056</v>
      </c>
      <c r="AH149" s="279" t="s">
        <v>1088</v>
      </c>
      <c r="AI149" s="1136" t="str">
        <f t="shared" si="55"/>
        <v>Resolución 283</v>
      </c>
      <c r="AJ149" s="2131"/>
      <c r="AK149" s="2133"/>
      <c r="AL149" s="973"/>
      <c r="AM149" s="2130"/>
    </row>
    <row r="150" spans="1:39" s="8" customFormat="1">
      <c r="A150" s="86" t="s">
        <v>40</v>
      </c>
      <c r="B150" s="169">
        <f>M150</f>
        <v>0</v>
      </c>
      <c r="C150" s="85" t="s">
        <v>36</v>
      </c>
      <c r="D150" s="85" t="s">
        <v>863</v>
      </c>
      <c r="E150" s="85" t="s">
        <v>37</v>
      </c>
      <c r="F150" s="85" t="s">
        <v>352</v>
      </c>
      <c r="G150" s="1949" t="s">
        <v>38</v>
      </c>
      <c r="H150" s="1956" t="s">
        <v>1385</v>
      </c>
      <c r="I150" s="230" t="s">
        <v>178</v>
      </c>
      <c r="J150" s="160"/>
      <c r="K150" s="486"/>
      <c r="L150" s="2090"/>
      <c r="M150" s="2093"/>
      <c r="N150" s="1682">
        <v>565</v>
      </c>
      <c r="O150" s="1703">
        <v>2000000</v>
      </c>
      <c r="P150" s="1219" t="s">
        <v>1084</v>
      </c>
      <c r="Q150" s="230" t="s">
        <v>178</v>
      </c>
      <c r="R150" s="166"/>
      <c r="S150" s="166"/>
      <c r="T150" s="166"/>
      <c r="U150" s="166"/>
      <c r="V150" s="166">
        <v>2000000</v>
      </c>
      <c r="W150" s="166" t="s">
        <v>178</v>
      </c>
      <c r="X150" s="166"/>
      <c r="Y150" s="166"/>
      <c r="Z150" s="166"/>
      <c r="AA150" s="166"/>
      <c r="AB150" s="166"/>
      <c r="AC150" s="737">
        <f t="shared" si="53"/>
        <v>2000000</v>
      </c>
      <c r="AD150" s="743">
        <f t="shared" si="54"/>
        <v>0</v>
      </c>
      <c r="AE150" s="1506"/>
      <c r="AF150" s="942" t="s">
        <v>150</v>
      </c>
      <c r="AG150" s="261" t="s">
        <v>1056</v>
      </c>
      <c r="AH150" s="279" t="s">
        <v>1089</v>
      </c>
      <c r="AI150" s="1136" t="str">
        <f t="shared" si="55"/>
        <v>Resolución 263</v>
      </c>
      <c r="AJ150" s="2131"/>
      <c r="AK150" s="2133"/>
      <c r="AL150" s="973"/>
      <c r="AM150" s="2130"/>
    </row>
    <row r="151" spans="1:39" s="8" customFormat="1">
      <c r="A151" s="86" t="s">
        <v>40</v>
      </c>
      <c r="B151" s="169">
        <f>M151</f>
        <v>0</v>
      </c>
      <c r="C151" s="85" t="s">
        <v>36</v>
      </c>
      <c r="D151" s="85" t="s">
        <v>863</v>
      </c>
      <c r="E151" s="85" t="s">
        <v>37</v>
      </c>
      <c r="F151" s="85" t="s">
        <v>352</v>
      </c>
      <c r="G151" s="1949" t="s">
        <v>38</v>
      </c>
      <c r="H151" s="1956" t="s">
        <v>1385</v>
      </c>
      <c r="I151" s="230" t="s">
        <v>178</v>
      </c>
      <c r="J151" s="160"/>
      <c r="K151" s="486"/>
      <c r="L151" s="2090"/>
      <c r="M151" s="2093"/>
      <c r="N151" s="1682">
        <v>566</v>
      </c>
      <c r="O151" s="1703">
        <v>2000000</v>
      </c>
      <c r="P151" s="1219" t="s">
        <v>1084</v>
      </c>
      <c r="Q151" s="230" t="s">
        <v>178</v>
      </c>
      <c r="R151" s="166"/>
      <c r="S151" s="166"/>
      <c r="T151" s="166"/>
      <c r="U151" s="166"/>
      <c r="V151" s="166">
        <v>2000000</v>
      </c>
      <c r="W151" s="166" t="s">
        <v>178</v>
      </c>
      <c r="X151" s="166"/>
      <c r="Y151" s="166"/>
      <c r="Z151" s="166"/>
      <c r="AA151" s="166"/>
      <c r="AB151" s="166"/>
      <c r="AC151" s="737">
        <f t="shared" si="53"/>
        <v>2000000</v>
      </c>
      <c r="AD151" s="743">
        <f t="shared" si="54"/>
        <v>0</v>
      </c>
      <c r="AE151" s="1506"/>
      <c r="AF151" s="942" t="s">
        <v>150</v>
      </c>
      <c r="AG151" s="261" t="s">
        <v>1057</v>
      </c>
      <c r="AH151" s="279" t="s">
        <v>1090</v>
      </c>
      <c r="AI151" s="1136" t="str">
        <f t="shared" si="55"/>
        <v>Resolución 263</v>
      </c>
      <c r="AJ151" s="2131"/>
      <c r="AK151" s="2133"/>
      <c r="AL151" s="973"/>
      <c r="AM151" s="2130"/>
    </row>
    <row r="152" spans="1:39" s="8" customFormat="1">
      <c r="A152" s="86" t="s">
        <v>40</v>
      </c>
      <c r="B152" s="169">
        <f t="shared" si="47"/>
        <v>0</v>
      </c>
      <c r="C152" s="85" t="s">
        <v>36</v>
      </c>
      <c r="D152" s="85" t="s">
        <v>863</v>
      </c>
      <c r="E152" s="85" t="s">
        <v>37</v>
      </c>
      <c r="F152" s="85" t="s">
        <v>352</v>
      </c>
      <c r="G152" s="1949" t="s">
        <v>38</v>
      </c>
      <c r="H152" s="1956" t="s">
        <v>1385</v>
      </c>
      <c r="I152" s="230" t="s">
        <v>178</v>
      </c>
      <c r="J152" s="160"/>
      <c r="K152" s="486"/>
      <c r="L152" s="2090"/>
      <c r="M152" s="2093"/>
      <c r="N152" s="1682">
        <v>567</v>
      </c>
      <c r="O152" s="1703">
        <v>4000000</v>
      </c>
      <c r="P152" s="1219" t="s">
        <v>1085</v>
      </c>
      <c r="Q152" s="230" t="s">
        <v>178</v>
      </c>
      <c r="R152" s="166"/>
      <c r="S152" s="166"/>
      <c r="T152" s="166"/>
      <c r="U152" s="166"/>
      <c r="V152" s="166">
        <f>4000000-4000000</f>
        <v>0</v>
      </c>
      <c r="W152" s="166">
        <v>4000000</v>
      </c>
      <c r="X152" s="166"/>
      <c r="Y152" s="166"/>
      <c r="Z152" s="166"/>
      <c r="AA152" s="166"/>
      <c r="AB152" s="166"/>
      <c r="AC152" s="737">
        <f t="shared" si="53"/>
        <v>4000000</v>
      </c>
      <c r="AD152" s="743">
        <f t="shared" si="54"/>
        <v>0</v>
      </c>
      <c r="AE152" s="1506"/>
      <c r="AF152" s="942" t="s">
        <v>150</v>
      </c>
      <c r="AG152" s="261" t="s">
        <v>1055</v>
      </c>
      <c r="AH152" s="279" t="s">
        <v>1091</v>
      </c>
      <c r="AI152" s="1136" t="str">
        <f t="shared" si="55"/>
        <v>Resolución 239</v>
      </c>
      <c r="AJ152" s="2131"/>
      <c r="AK152" s="2133"/>
      <c r="AL152" s="973"/>
      <c r="AM152" s="2130"/>
    </row>
    <row r="153" spans="1:39" s="8" customFormat="1">
      <c r="A153" s="86" t="s">
        <v>40</v>
      </c>
      <c r="B153" s="169">
        <f t="shared" si="47"/>
        <v>0</v>
      </c>
      <c r="C153" s="85" t="s">
        <v>36</v>
      </c>
      <c r="D153" s="85" t="s">
        <v>863</v>
      </c>
      <c r="E153" s="85" t="s">
        <v>37</v>
      </c>
      <c r="F153" s="85" t="s">
        <v>352</v>
      </c>
      <c r="G153" s="1949" t="s">
        <v>38</v>
      </c>
      <c r="H153" s="1956" t="s">
        <v>1385</v>
      </c>
      <c r="I153" s="230" t="s">
        <v>178</v>
      </c>
      <c r="J153" s="160"/>
      <c r="K153" s="486"/>
      <c r="L153" s="2090"/>
      <c r="M153" s="2093"/>
      <c r="N153" s="1682">
        <v>568</v>
      </c>
      <c r="O153" s="1703">
        <v>4000000</v>
      </c>
      <c r="P153" s="1219" t="s">
        <v>1086</v>
      </c>
      <c r="Q153" s="230" t="s">
        <v>178</v>
      </c>
      <c r="R153" s="166"/>
      <c r="S153" s="166"/>
      <c r="T153" s="166"/>
      <c r="U153" s="166"/>
      <c r="V153" s="166">
        <v>4000000</v>
      </c>
      <c r="W153" s="166" t="s">
        <v>178</v>
      </c>
      <c r="X153" s="166"/>
      <c r="Y153" s="166"/>
      <c r="Z153" s="166"/>
      <c r="AA153" s="166"/>
      <c r="AB153" s="166"/>
      <c r="AC153" s="737">
        <f t="shared" si="53"/>
        <v>4000000</v>
      </c>
      <c r="AD153" s="743">
        <f t="shared" si="54"/>
        <v>0</v>
      </c>
      <c r="AE153" s="1506"/>
      <c r="AF153" s="942" t="s">
        <v>150</v>
      </c>
      <c r="AG153" s="261" t="s">
        <v>1055</v>
      </c>
      <c r="AH153" s="279" t="s">
        <v>1092</v>
      </c>
      <c r="AI153" s="1136" t="str">
        <f t="shared" si="55"/>
        <v>Resolución 231</v>
      </c>
      <c r="AJ153" s="2131"/>
      <c r="AK153" s="2133"/>
      <c r="AL153" s="973"/>
      <c r="AM153" s="2130"/>
    </row>
    <row r="154" spans="1:39" s="8" customFormat="1">
      <c r="A154" s="86" t="s">
        <v>40</v>
      </c>
      <c r="B154" s="169">
        <f t="shared" si="47"/>
        <v>0</v>
      </c>
      <c r="C154" s="85" t="s">
        <v>36</v>
      </c>
      <c r="D154" s="85" t="s">
        <v>863</v>
      </c>
      <c r="E154" s="85" t="s">
        <v>37</v>
      </c>
      <c r="F154" s="85" t="s">
        <v>352</v>
      </c>
      <c r="G154" s="1949" t="s">
        <v>38</v>
      </c>
      <c r="H154" s="1956" t="s">
        <v>1385</v>
      </c>
      <c r="I154" s="230" t="s">
        <v>178</v>
      </c>
      <c r="J154" s="160"/>
      <c r="K154" s="486"/>
      <c r="L154" s="2090"/>
      <c r="M154" s="2093"/>
      <c r="N154" s="1682">
        <v>532</v>
      </c>
      <c r="O154" s="1703">
        <v>2000000</v>
      </c>
      <c r="P154" s="1219" t="s">
        <v>1046</v>
      </c>
      <c r="Q154" s="230" t="s">
        <v>178</v>
      </c>
      <c r="R154" s="166"/>
      <c r="S154" s="166"/>
      <c r="T154" s="166"/>
      <c r="U154" s="166"/>
      <c r="V154" s="166">
        <v>2000000</v>
      </c>
      <c r="W154" s="166" t="s">
        <v>178</v>
      </c>
      <c r="X154" s="166"/>
      <c r="Y154" s="166"/>
      <c r="Z154" s="166"/>
      <c r="AA154" s="166"/>
      <c r="AB154" s="166"/>
      <c r="AC154" s="737">
        <f t="shared" si="53"/>
        <v>2000000</v>
      </c>
      <c r="AD154" s="743">
        <f t="shared" si="54"/>
        <v>0</v>
      </c>
      <c r="AE154" s="1506"/>
      <c r="AF154" s="942" t="s">
        <v>150</v>
      </c>
      <c r="AG154" s="261" t="s">
        <v>1058</v>
      </c>
      <c r="AH154" s="279" t="s">
        <v>1047</v>
      </c>
      <c r="AI154" s="1136" t="str">
        <f t="shared" si="55"/>
        <v>Resolución 228</v>
      </c>
      <c r="AJ154" s="2131"/>
      <c r="AK154" s="2133"/>
      <c r="AL154" s="973"/>
      <c r="AM154" s="2130"/>
    </row>
    <row r="155" spans="1:39" s="8" customFormat="1">
      <c r="A155" s="86" t="s">
        <v>40</v>
      </c>
      <c r="B155" s="169">
        <f t="shared" si="47"/>
        <v>0</v>
      </c>
      <c r="C155" s="85" t="s">
        <v>36</v>
      </c>
      <c r="D155" s="85" t="s">
        <v>863</v>
      </c>
      <c r="E155" s="85" t="s">
        <v>37</v>
      </c>
      <c r="F155" s="85" t="s">
        <v>352</v>
      </c>
      <c r="G155" s="1949" t="s">
        <v>38</v>
      </c>
      <c r="H155" s="1956" t="s">
        <v>1385</v>
      </c>
      <c r="I155" s="230" t="s">
        <v>178</v>
      </c>
      <c r="J155" s="160"/>
      <c r="K155" s="486"/>
      <c r="L155" s="2090"/>
      <c r="M155" s="2093"/>
      <c r="N155" s="1682">
        <v>533</v>
      </c>
      <c r="O155" s="1703">
        <v>2000000</v>
      </c>
      <c r="P155" s="1219" t="s">
        <v>1046</v>
      </c>
      <c r="Q155" s="230" t="s">
        <v>178</v>
      </c>
      <c r="R155" s="166"/>
      <c r="S155" s="166"/>
      <c r="T155" s="166"/>
      <c r="U155" s="166"/>
      <c r="V155" s="166">
        <v>2000000</v>
      </c>
      <c r="W155" s="166" t="s">
        <v>178</v>
      </c>
      <c r="X155" s="166"/>
      <c r="Y155" s="166"/>
      <c r="Z155" s="166"/>
      <c r="AA155" s="166"/>
      <c r="AB155" s="166"/>
      <c r="AC155" s="737">
        <f t="shared" si="53"/>
        <v>2000000</v>
      </c>
      <c r="AD155" s="743">
        <f t="shared" si="54"/>
        <v>0</v>
      </c>
      <c r="AE155" s="1506"/>
      <c r="AF155" s="942" t="s">
        <v>150</v>
      </c>
      <c r="AG155" s="261" t="s">
        <v>1059</v>
      </c>
      <c r="AH155" s="279" t="s">
        <v>1048</v>
      </c>
      <c r="AI155" s="1136" t="str">
        <f t="shared" si="55"/>
        <v>Resolución 228</v>
      </c>
      <c r="AJ155" s="2131"/>
      <c r="AK155" s="2133"/>
      <c r="AL155" s="973"/>
      <c r="AM155" s="2130"/>
    </row>
    <row r="156" spans="1:39" s="8" customFormat="1">
      <c r="A156" s="86" t="s">
        <v>40</v>
      </c>
      <c r="B156" s="169">
        <f t="shared" si="47"/>
        <v>0</v>
      </c>
      <c r="C156" s="85" t="s">
        <v>36</v>
      </c>
      <c r="D156" s="85" t="s">
        <v>863</v>
      </c>
      <c r="E156" s="85" t="s">
        <v>37</v>
      </c>
      <c r="F156" s="85" t="s">
        <v>352</v>
      </c>
      <c r="G156" s="1949" t="s">
        <v>38</v>
      </c>
      <c r="H156" s="1956" t="s">
        <v>1385</v>
      </c>
      <c r="I156" s="230" t="s">
        <v>178</v>
      </c>
      <c r="J156" s="160"/>
      <c r="K156" s="486"/>
      <c r="L156" s="2090"/>
      <c r="M156" s="2093"/>
      <c r="N156" s="1682">
        <v>534</v>
      </c>
      <c r="O156" s="1703">
        <v>2000000</v>
      </c>
      <c r="P156" s="1219" t="s">
        <v>1046</v>
      </c>
      <c r="Q156" s="230" t="s">
        <v>178</v>
      </c>
      <c r="R156" s="166"/>
      <c r="S156" s="166"/>
      <c r="T156" s="166"/>
      <c r="U156" s="166"/>
      <c r="V156" s="166">
        <v>2000000</v>
      </c>
      <c r="W156" s="166" t="s">
        <v>178</v>
      </c>
      <c r="X156" s="166"/>
      <c r="Y156" s="166"/>
      <c r="Z156" s="166"/>
      <c r="AA156" s="166"/>
      <c r="AB156" s="166"/>
      <c r="AC156" s="737">
        <f t="shared" si="53"/>
        <v>2000000</v>
      </c>
      <c r="AD156" s="743">
        <f t="shared" si="54"/>
        <v>0</v>
      </c>
      <c r="AE156" s="1506"/>
      <c r="AF156" s="942" t="s">
        <v>150</v>
      </c>
      <c r="AG156" s="261" t="s">
        <v>1060</v>
      </c>
      <c r="AH156" s="279" t="s">
        <v>1049</v>
      </c>
      <c r="AI156" s="1136" t="str">
        <f t="shared" si="55"/>
        <v>Resolución 228</v>
      </c>
      <c r="AJ156" s="2131"/>
      <c r="AK156" s="2133"/>
      <c r="AL156" s="973"/>
      <c r="AM156" s="2130"/>
    </row>
    <row r="157" spans="1:39" s="8" customFormat="1">
      <c r="A157" s="86" t="s">
        <v>40</v>
      </c>
      <c r="B157" s="169">
        <f t="shared" si="47"/>
        <v>0</v>
      </c>
      <c r="C157" s="85" t="s">
        <v>36</v>
      </c>
      <c r="D157" s="85" t="s">
        <v>863</v>
      </c>
      <c r="E157" s="85" t="s">
        <v>37</v>
      </c>
      <c r="F157" s="85" t="s">
        <v>352</v>
      </c>
      <c r="G157" s="1949" t="s">
        <v>38</v>
      </c>
      <c r="H157" s="1956" t="s">
        <v>1385</v>
      </c>
      <c r="I157" s="230" t="s">
        <v>178</v>
      </c>
      <c r="J157" s="160"/>
      <c r="K157" s="486"/>
      <c r="L157" s="2090"/>
      <c r="M157" s="2093"/>
      <c r="N157" s="1682">
        <v>535</v>
      </c>
      <c r="O157" s="1703">
        <v>2000000</v>
      </c>
      <c r="P157" s="1219" t="s">
        <v>1046</v>
      </c>
      <c r="Q157" s="230" t="s">
        <v>178</v>
      </c>
      <c r="R157" s="166"/>
      <c r="S157" s="166"/>
      <c r="T157" s="166"/>
      <c r="U157" s="166"/>
      <c r="V157" s="166">
        <v>2000000</v>
      </c>
      <c r="W157" s="166" t="s">
        <v>178</v>
      </c>
      <c r="X157" s="166"/>
      <c r="Y157" s="166"/>
      <c r="Z157" s="166"/>
      <c r="AA157" s="166"/>
      <c r="AB157" s="166"/>
      <c r="AC157" s="737">
        <f t="shared" si="53"/>
        <v>2000000</v>
      </c>
      <c r="AD157" s="743">
        <f t="shared" si="54"/>
        <v>0</v>
      </c>
      <c r="AE157" s="1506"/>
      <c r="AF157" s="942" t="s">
        <v>150</v>
      </c>
      <c r="AG157" s="261" t="s">
        <v>1065</v>
      </c>
      <c r="AH157" s="279" t="s">
        <v>1050</v>
      </c>
      <c r="AI157" s="1136" t="str">
        <f t="shared" si="55"/>
        <v>Resolución 228</v>
      </c>
      <c r="AJ157" s="2131"/>
      <c r="AK157" s="2133"/>
      <c r="AL157" s="973"/>
      <c r="AM157" s="2130"/>
    </row>
    <row r="158" spans="1:39" s="8" customFormat="1">
      <c r="A158" s="86" t="s">
        <v>40</v>
      </c>
      <c r="B158" s="169">
        <f t="shared" si="47"/>
        <v>0</v>
      </c>
      <c r="C158" s="85" t="s">
        <v>36</v>
      </c>
      <c r="D158" s="85" t="s">
        <v>863</v>
      </c>
      <c r="E158" s="85" t="s">
        <v>37</v>
      </c>
      <c r="F158" s="85" t="s">
        <v>352</v>
      </c>
      <c r="G158" s="1949" t="s">
        <v>38</v>
      </c>
      <c r="H158" s="1956" t="s">
        <v>1385</v>
      </c>
      <c r="I158" s="230" t="s">
        <v>178</v>
      </c>
      <c r="J158" s="160"/>
      <c r="K158" s="486"/>
      <c r="L158" s="2090"/>
      <c r="M158" s="2093"/>
      <c r="N158" s="1682">
        <v>536</v>
      </c>
      <c r="O158" s="1703">
        <v>2000000</v>
      </c>
      <c r="P158" s="1219" t="s">
        <v>1046</v>
      </c>
      <c r="Q158" s="230" t="s">
        <v>178</v>
      </c>
      <c r="R158" s="166"/>
      <c r="S158" s="166"/>
      <c r="T158" s="166"/>
      <c r="U158" s="166"/>
      <c r="V158" s="166">
        <v>2000000</v>
      </c>
      <c r="W158" s="166" t="s">
        <v>178</v>
      </c>
      <c r="X158" s="166"/>
      <c r="Y158" s="166"/>
      <c r="Z158" s="166"/>
      <c r="AA158" s="166"/>
      <c r="AB158" s="166"/>
      <c r="AC158" s="737">
        <f t="shared" si="53"/>
        <v>2000000</v>
      </c>
      <c r="AD158" s="743">
        <f t="shared" si="54"/>
        <v>0</v>
      </c>
      <c r="AE158" s="1506"/>
      <c r="AF158" s="942" t="s">
        <v>150</v>
      </c>
      <c r="AG158" s="261" t="s">
        <v>1065</v>
      </c>
      <c r="AH158" s="279" t="s">
        <v>1051</v>
      </c>
      <c r="AI158" s="1136" t="str">
        <f t="shared" si="55"/>
        <v>Resolución 228</v>
      </c>
      <c r="AJ158" s="2131"/>
      <c r="AK158" s="2133"/>
      <c r="AL158" s="973"/>
      <c r="AM158" s="2130"/>
    </row>
    <row r="159" spans="1:39" s="8" customFormat="1">
      <c r="A159" s="86" t="s">
        <v>40</v>
      </c>
      <c r="B159" s="169">
        <f t="shared" si="47"/>
        <v>0</v>
      </c>
      <c r="C159" s="85" t="s">
        <v>36</v>
      </c>
      <c r="D159" s="85" t="s">
        <v>863</v>
      </c>
      <c r="E159" s="85" t="s">
        <v>37</v>
      </c>
      <c r="F159" s="85" t="s">
        <v>352</v>
      </c>
      <c r="G159" s="1949" t="s">
        <v>38</v>
      </c>
      <c r="H159" s="1956" t="s">
        <v>1385</v>
      </c>
      <c r="I159" s="230" t="s">
        <v>178</v>
      </c>
      <c r="J159" s="160"/>
      <c r="K159" s="486"/>
      <c r="L159" s="2090"/>
      <c r="M159" s="2093"/>
      <c r="N159" s="1682">
        <v>537</v>
      </c>
      <c r="O159" s="1703">
        <v>2000000</v>
      </c>
      <c r="P159" s="1219" t="s">
        <v>1046</v>
      </c>
      <c r="Q159" s="230" t="s">
        <v>178</v>
      </c>
      <c r="R159" s="166"/>
      <c r="S159" s="166"/>
      <c r="T159" s="166"/>
      <c r="U159" s="166"/>
      <c r="V159" s="166">
        <v>2000000</v>
      </c>
      <c r="W159" s="166" t="s">
        <v>178</v>
      </c>
      <c r="X159" s="166"/>
      <c r="Y159" s="166"/>
      <c r="Z159" s="166"/>
      <c r="AA159" s="166"/>
      <c r="AB159" s="166"/>
      <c r="AC159" s="737">
        <f t="shared" si="53"/>
        <v>2000000</v>
      </c>
      <c r="AD159" s="743">
        <f t="shared" si="54"/>
        <v>0</v>
      </c>
      <c r="AE159" s="1506"/>
      <c r="AF159" s="942" t="s">
        <v>150</v>
      </c>
      <c r="AG159" s="261" t="s">
        <v>1065</v>
      </c>
      <c r="AH159" s="279" t="s">
        <v>1052</v>
      </c>
      <c r="AI159" s="1136" t="str">
        <f t="shared" si="55"/>
        <v>Resolución 228</v>
      </c>
      <c r="AJ159" s="2131"/>
      <c r="AK159" s="2133"/>
      <c r="AL159" s="973"/>
      <c r="AM159" s="2130"/>
    </row>
    <row r="160" spans="1:39" s="8" customFormat="1">
      <c r="A160" s="86" t="s">
        <v>40</v>
      </c>
      <c r="B160" s="169">
        <f t="shared" si="47"/>
        <v>0</v>
      </c>
      <c r="C160" s="85" t="s">
        <v>36</v>
      </c>
      <c r="D160" s="85" t="s">
        <v>863</v>
      </c>
      <c r="E160" s="85" t="s">
        <v>37</v>
      </c>
      <c r="F160" s="85" t="s">
        <v>352</v>
      </c>
      <c r="G160" s="1949" t="s">
        <v>38</v>
      </c>
      <c r="H160" s="1956" t="s">
        <v>1385</v>
      </c>
      <c r="I160" s="230" t="s">
        <v>178</v>
      </c>
      <c r="J160" s="160"/>
      <c r="K160" s="486"/>
      <c r="L160" s="2090"/>
      <c r="M160" s="2093"/>
      <c r="N160" s="1682">
        <v>538</v>
      </c>
      <c r="O160" s="1703">
        <v>4000000</v>
      </c>
      <c r="P160" s="1219" t="s">
        <v>1086</v>
      </c>
      <c r="Q160" s="230" t="s">
        <v>178</v>
      </c>
      <c r="R160" s="166"/>
      <c r="S160" s="166"/>
      <c r="T160" s="166"/>
      <c r="U160" s="166"/>
      <c r="V160" s="166">
        <v>4000000</v>
      </c>
      <c r="W160" s="166" t="s">
        <v>178</v>
      </c>
      <c r="X160" s="166"/>
      <c r="Y160" s="166"/>
      <c r="Z160" s="166"/>
      <c r="AA160" s="166"/>
      <c r="AB160" s="166"/>
      <c r="AC160" s="737">
        <f t="shared" si="53"/>
        <v>4000000</v>
      </c>
      <c r="AD160" s="743">
        <f t="shared" si="54"/>
        <v>0</v>
      </c>
      <c r="AE160" s="1506"/>
      <c r="AF160" s="942" t="s">
        <v>150</v>
      </c>
      <c r="AG160" s="261" t="s">
        <v>1066</v>
      </c>
      <c r="AH160" s="279" t="s">
        <v>1053</v>
      </c>
      <c r="AI160" s="1136" t="str">
        <f t="shared" si="55"/>
        <v>Resolución 231</v>
      </c>
      <c r="AJ160" s="2131"/>
      <c r="AK160" s="2133"/>
      <c r="AL160" s="973"/>
      <c r="AM160" s="2130"/>
    </row>
    <row r="161" spans="1:39" s="8" customFormat="1">
      <c r="A161" s="86" t="s">
        <v>40</v>
      </c>
      <c r="B161" s="169">
        <f t="shared" si="47"/>
        <v>0</v>
      </c>
      <c r="C161" s="85" t="s">
        <v>36</v>
      </c>
      <c r="D161" s="85" t="s">
        <v>863</v>
      </c>
      <c r="E161" s="85" t="s">
        <v>37</v>
      </c>
      <c r="F161" s="85" t="s">
        <v>352</v>
      </c>
      <c r="G161" s="1949" t="s">
        <v>38</v>
      </c>
      <c r="H161" s="1956" t="s">
        <v>1385</v>
      </c>
      <c r="I161" s="230" t="s">
        <v>178</v>
      </c>
      <c r="J161" s="160"/>
      <c r="K161" s="486"/>
      <c r="L161" s="2090"/>
      <c r="M161" s="2093"/>
      <c r="N161" s="1682">
        <v>539</v>
      </c>
      <c r="O161" s="1703">
        <v>2000000</v>
      </c>
      <c r="P161" s="1219" t="s">
        <v>1114</v>
      </c>
      <c r="Q161" s="230" t="s">
        <v>178</v>
      </c>
      <c r="R161" s="166"/>
      <c r="S161" s="166"/>
      <c r="T161" s="166"/>
      <c r="U161" s="166"/>
      <c r="V161" s="166">
        <v>2000000</v>
      </c>
      <c r="W161" s="166" t="s">
        <v>178</v>
      </c>
      <c r="X161" s="166"/>
      <c r="Y161" s="166"/>
      <c r="Z161" s="166"/>
      <c r="AA161" s="166"/>
      <c r="AB161" s="166"/>
      <c r="AC161" s="737">
        <f t="shared" si="53"/>
        <v>2000000</v>
      </c>
      <c r="AD161" s="743">
        <f t="shared" si="54"/>
        <v>0</v>
      </c>
      <c r="AE161" s="1506"/>
      <c r="AF161" s="942" t="s">
        <v>150</v>
      </c>
      <c r="AG161" s="261" t="s">
        <v>1066</v>
      </c>
      <c r="AH161" s="279" t="s">
        <v>1054</v>
      </c>
      <c r="AI161" s="1136" t="str">
        <f t="shared" si="55"/>
        <v>Resolución 230</v>
      </c>
      <c r="AJ161" s="2131"/>
      <c r="AK161" s="2133"/>
      <c r="AL161" s="973"/>
      <c r="AM161" s="2130"/>
    </row>
    <row r="162" spans="1:39" s="8" customFormat="1">
      <c r="A162" s="86" t="s">
        <v>40</v>
      </c>
      <c r="B162" s="169">
        <f t="shared" si="47"/>
        <v>0</v>
      </c>
      <c r="C162" s="85" t="s">
        <v>36</v>
      </c>
      <c r="D162" s="85" t="s">
        <v>863</v>
      </c>
      <c r="E162" s="85" t="s">
        <v>37</v>
      </c>
      <c r="F162" s="85" t="s">
        <v>352</v>
      </c>
      <c r="G162" s="1949" t="s">
        <v>38</v>
      </c>
      <c r="H162" s="1956" t="s">
        <v>1385</v>
      </c>
      <c r="I162" s="230" t="s">
        <v>178</v>
      </c>
      <c r="J162" s="160"/>
      <c r="K162" s="486"/>
      <c r="L162" s="2090"/>
      <c r="M162" s="2093"/>
      <c r="N162" s="1682">
        <v>540</v>
      </c>
      <c r="O162" s="1703">
        <v>2000000</v>
      </c>
      <c r="P162" s="1219" t="s">
        <v>1114</v>
      </c>
      <c r="Q162" s="230" t="s">
        <v>178</v>
      </c>
      <c r="R162" s="166"/>
      <c r="S162" s="166"/>
      <c r="T162" s="166"/>
      <c r="U162" s="166"/>
      <c r="V162" s="166">
        <v>2000000</v>
      </c>
      <c r="W162" s="166" t="s">
        <v>178</v>
      </c>
      <c r="X162" s="166"/>
      <c r="Y162" s="166"/>
      <c r="Z162" s="166"/>
      <c r="AA162" s="166"/>
      <c r="AB162" s="166"/>
      <c r="AC162" s="737">
        <f t="shared" si="53"/>
        <v>2000000</v>
      </c>
      <c r="AD162" s="743">
        <f t="shared" si="54"/>
        <v>0</v>
      </c>
      <c r="AE162" s="1506"/>
      <c r="AF162" s="942" t="s">
        <v>150</v>
      </c>
      <c r="AG162" s="261" t="s">
        <v>1067</v>
      </c>
      <c r="AH162" s="279" t="s">
        <v>1061</v>
      </c>
      <c r="AI162" s="1136" t="str">
        <f t="shared" si="55"/>
        <v>Resolución 230</v>
      </c>
      <c r="AJ162" s="2131"/>
      <c r="AK162" s="2133"/>
      <c r="AL162" s="973"/>
      <c r="AM162" s="2130"/>
    </row>
    <row r="163" spans="1:39" s="8" customFormat="1">
      <c r="A163" s="86" t="s">
        <v>40</v>
      </c>
      <c r="B163" s="169">
        <f t="shared" si="47"/>
        <v>0</v>
      </c>
      <c r="C163" s="85" t="s">
        <v>36</v>
      </c>
      <c r="D163" s="85" t="s">
        <v>863</v>
      </c>
      <c r="E163" s="85" t="s">
        <v>37</v>
      </c>
      <c r="F163" s="85" t="s">
        <v>352</v>
      </c>
      <c r="G163" s="1949" t="s">
        <v>38</v>
      </c>
      <c r="H163" s="1956" t="s">
        <v>1385</v>
      </c>
      <c r="I163" s="230" t="s">
        <v>178</v>
      </c>
      <c r="J163" s="160"/>
      <c r="K163" s="486"/>
      <c r="L163" s="2090"/>
      <c r="M163" s="2093"/>
      <c r="N163" s="1682">
        <v>541</v>
      </c>
      <c r="O163" s="1703">
        <v>2000000</v>
      </c>
      <c r="P163" s="1219" t="s">
        <v>1114</v>
      </c>
      <c r="Q163" s="230" t="s">
        <v>178</v>
      </c>
      <c r="R163" s="166"/>
      <c r="S163" s="166"/>
      <c r="T163" s="166"/>
      <c r="U163" s="166"/>
      <c r="V163" s="166">
        <v>2000000</v>
      </c>
      <c r="W163" s="166" t="s">
        <v>178</v>
      </c>
      <c r="X163" s="166"/>
      <c r="Y163" s="166"/>
      <c r="Z163" s="166"/>
      <c r="AA163" s="166"/>
      <c r="AB163" s="166"/>
      <c r="AC163" s="737">
        <f t="shared" si="53"/>
        <v>2000000</v>
      </c>
      <c r="AD163" s="743">
        <f t="shared" si="54"/>
        <v>0</v>
      </c>
      <c r="AE163" s="1506"/>
      <c r="AF163" s="942" t="s">
        <v>150</v>
      </c>
      <c r="AG163" s="261" t="s">
        <v>1068</v>
      </c>
      <c r="AH163" s="279" t="s">
        <v>1062</v>
      </c>
      <c r="AI163" s="1136" t="str">
        <f t="shared" si="55"/>
        <v>Resolución 230</v>
      </c>
      <c r="AJ163" s="2131"/>
      <c r="AK163" s="2133"/>
      <c r="AL163" s="973"/>
      <c r="AM163" s="2130"/>
    </row>
    <row r="164" spans="1:39" s="8" customFormat="1">
      <c r="A164" s="86" t="s">
        <v>40</v>
      </c>
      <c r="B164" s="169">
        <f t="shared" si="47"/>
        <v>0</v>
      </c>
      <c r="C164" s="85" t="s">
        <v>36</v>
      </c>
      <c r="D164" s="85" t="s">
        <v>863</v>
      </c>
      <c r="E164" s="85" t="s">
        <v>37</v>
      </c>
      <c r="F164" s="85" t="s">
        <v>352</v>
      </c>
      <c r="G164" s="1949" t="s">
        <v>38</v>
      </c>
      <c r="H164" s="1956" t="s">
        <v>1385</v>
      </c>
      <c r="I164" s="230" t="s">
        <v>178</v>
      </c>
      <c r="J164" s="160"/>
      <c r="K164" s="486"/>
      <c r="L164" s="2090"/>
      <c r="M164" s="2093"/>
      <c r="N164" s="1682">
        <v>542</v>
      </c>
      <c r="O164" s="1703">
        <v>2000000</v>
      </c>
      <c r="P164" s="1219" t="s">
        <v>1114</v>
      </c>
      <c r="Q164" s="230" t="s">
        <v>178</v>
      </c>
      <c r="R164" s="166"/>
      <c r="S164" s="166"/>
      <c r="T164" s="166"/>
      <c r="U164" s="166"/>
      <c r="V164" s="166">
        <v>2000000</v>
      </c>
      <c r="W164" s="166" t="s">
        <v>178</v>
      </c>
      <c r="X164" s="166"/>
      <c r="Y164" s="166"/>
      <c r="Z164" s="166"/>
      <c r="AA164" s="166"/>
      <c r="AB164" s="166"/>
      <c r="AC164" s="737">
        <f t="shared" si="53"/>
        <v>2000000</v>
      </c>
      <c r="AD164" s="743">
        <f t="shared" si="54"/>
        <v>0</v>
      </c>
      <c r="AE164" s="1506"/>
      <c r="AF164" s="942" t="s">
        <v>150</v>
      </c>
      <c r="AG164" s="261" t="s">
        <v>1069</v>
      </c>
      <c r="AH164" s="279" t="s">
        <v>1063</v>
      </c>
      <c r="AI164" s="1136" t="str">
        <f t="shared" si="55"/>
        <v>Resolución 230</v>
      </c>
      <c r="AJ164" s="2131"/>
      <c r="AK164" s="2133"/>
      <c r="AL164" s="973"/>
      <c r="AM164" s="2130"/>
    </row>
    <row r="165" spans="1:39" s="8" customFormat="1">
      <c r="A165" s="86" t="s">
        <v>40</v>
      </c>
      <c r="B165" s="169">
        <f t="shared" si="47"/>
        <v>0</v>
      </c>
      <c r="C165" s="85" t="s">
        <v>36</v>
      </c>
      <c r="D165" s="85" t="s">
        <v>863</v>
      </c>
      <c r="E165" s="85" t="s">
        <v>37</v>
      </c>
      <c r="F165" s="85" t="s">
        <v>352</v>
      </c>
      <c r="G165" s="1949" t="s">
        <v>38</v>
      </c>
      <c r="H165" s="1956" t="s">
        <v>1385</v>
      </c>
      <c r="I165" s="230" t="s">
        <v>178</v>
      </c>
      <c r="J165" s="160"/>
      <c r="K165" s="486"/>
      <c r="L165" s="2090"/>
      <c r="M165" s="2093"/>
      <c r="N165" s="1682">
        <v>543</v>
      </c>
      <c r="O165" s="1703">
        <v>2000000</v>
      </c>
      <c r="P165" s="1219" t="s">
        <v>1114</v>
      </c>
      <c r="Q165" s="230" t="s">
        <v>178</v>
      </c>
      <c r="R165" s="166"/>
      <c r="S165" s="166"/>
      <c r="T165" s="166"/>
      <c r="U165" s="166"/>
      <c r="V165" s="166">
        <v>2000000</v>
      </c>
      <c r="W165" s="166" t="s">
        <v>178</v>
      </c>
      <c r="X165" s="166"/>
      <c r="Y165" s="166"/>
      <c r="Z165" s="166"/>
      <c r="AA165" s="166"/>
      <c r="AB165" s="166"/>
      <c r="AC165" s="737">
        <f t="shared" si="53"/>
        <v>2000000</v>
      </c>
      <c r="AD165" s="743">
        <f t="shared" si="54"/>
        <v>0</v>
      </c>
      <c r="AE165" s="1506"/>
      <c r="AF165" s="942" t="s">
        <v>150</v>
      </c>
      <c r="AG165" s="261" t="s">
        <v>1069</v>
      </c>
      <c r="AH165" s="279" t="s">
        <v>1064</v>
      </c>
      <c r="AI165" s="1136" t="str">
        <f t="shared" si="55"/>
        <v>Resolución 230</v>
      </c>
      <c r="AJ165" s="2131"/>
      <c r="AK165" s="2133"/>
      <c r="AL165" s="973"/>
      <c r="AM165" s="2130"/>
    </row>
    <row r="166" spans="1:39" s="8" customFormat="1">
      <c r="A166" s="86" t="s">
        <v>40</v>
      </c>
      <c r="B166" s="169">
        <f t="shared" si="47"/>
        <v>0</v>
      </c>
      <c r="C166" s="85" t="s">
        <v>36</v>
      </c>
      <c r="D166" s="85" t="s">
        <v>863</v>
      </c>
      <c r="E166" s="85" t="s">
        <v>37</v>
      </c>
      <c r="F166" s="85" t="s">
        <v>352</v>
      </c>
      <c r="G166" s="1949" t="s">
        <v>38</v>
      </c>
      <c r="H166" s="1956" t="s">
        <v>1385</v>
      </c>
      <c r="I166" s="230" t="s">
        <v>178</v>
      </c>
      <c r="J166" s="160"/>
      <c r="K166" s="486"/>
      <c r="L166" s="2090"/>
      <c r="M166" s="2093"/>
      <c r="N166" s="1682">
        <v>586</v>
      </c>
      <c r="O166" s="1703">
        <v>2000000</v>
      </c>
      <c r="P166" s="1219" t="s">
        <v>1115</v>
      </c>
      <c r="Q166" s="230" t="s">
        <v>178</v>
      </c>
      <c r="R166" s="166"/>
      <c r="S166" s="166"/>
      <c r="T166" s="166"/>
      <c r="U166" s="166"/>
      <c r="V166" s="166">
        <v>2000000</v>
      </c>
      <c r="W166" s="166" t="s">
        <v>178</v>
      </c>
      <c r="X166" s="166"/>
      <c r="Y166" s="166"/>
      <c r="Z166" s="166"/>
      <c r="AA166" s="166"/>
      <c r="AB166" s="166"/>
      <c r="AC166" s="737">
        <f t="shared" si="53"/>
        <v>2000000</v>
      </c>
      <c r="AD166" s="743">
        <f t="shared" si="54"/>
        <v>0</v>
      </c>
      <c r="AE166" s="1506"/>
      <c r="AF166" s="942" t="s">
        <v>150</v>
      </c>
      <c r="AG166" s="261" t="s">
        <v>1069</v>
      </c>
      <c r="AH166" s="279" t="s">
        <v>1116</v>
      </c>
      <c r="AI166" s="1136" t="str">
        <f t="shared" si="55"/>
        <v>Resolución 281</v>
      </c>
      <c r="AJ166" s="2131"/>
      <c r="AK166" s="2133"/>
      <c r="AL166" s="973"/>
      <c r="AM166" s="2130"/>
    </row>
    <row r="167" spans="1:39" s="8" customFormat="1">
      <c r="A167" s="86" t="s">
        <v>40</v>
      </c>
      <c r="B167" s="169">
        <f t="shared" si="47"/>
        <v>0</v>
      </c>
      <c r="C167" s="85" t="s">
        <v>36</v>
      </c>
      <c r="D167" s="85" t="s">
        <v>863</v>
      </c>
      <c r="E167" s="85" t="s">
        <v>37</v>
      </c>
      <c r="F167" s="85" t="s">
        <v>352</v>
      </c>
      <c r="G167" s="1949" t="s">
        <v>38</v>
      </c>
      <c r="H167" s="1956" t="s">
        <v>1385</v>
      </c>
      <c r="I167" s="230" t="s">
        <v>178</v>
      </c>
      <c r="J167" s="160"/>
      <c r="K167" s="486"/>
      <c r="L167" s="2090"/>
      <c r="M167" s="2093"/>
      <c r="N167" s="1682">
        <v>587</v>
      </c>
      <c r="O167" s="1703">
        <v>2000000</v>
      </c>
      <c r="P167" s="1219" t="s">
        <v>1115</v>
      </c>
      <c r="Q167" s="230" t="s">
        <v>178</v>
      </c>
      <c r="R167" s="166"/>
      <c r="S167" s="166"/>
      <c r="T167" s="166"/>
      <c r="U167" s="166"/>
      <c r="V167" s="166">
        <v>2000000</v>
      </c>
      <c r="W167" s="166" t="s">
        <v>178</v>
      </c>
      <c r="X167" s="166"/>
      <c r="Y167" s="166"/>
      <c r="Z167" s="166"/>
      <c r="AA167" s="166"/>
      <c r="AB167" s="166"/>
      <c r="AC167" s="737">
        <f t="shared" si="53"/>
        <v>2000000</v>
      </c>
      <c r="AD167" s="743">
        <f t="shared" si="54"/>
        <v>0</v>
      </c>
      <c r="AE167" s="1506"/>
      <c r="AF167" s="942" t="s">
        <v>150</v>
      </c>
      <c r="AG167" s="261" t="s">
        <v>1070</v>
      </c>
      <c r="AH167" s="279" t="s">
        <v>1117</v>
      </c>
      <c r="AI167" s="1136" t="str">
        <f t="shared" si="55"/>
        <v>Resolución 281</v>
      </c>
      <c r="AJ167" s="2131"/>
      <c r="AK167" s="2133"/>
      <c r="AL167" s="973"/>
      <c r="AM167" s="2130"/>
    </row>
    <row r="168" spans="1:39" s="8" customFormat="1">
      <c r="A168" s="86" t="s">
        <v>40</v>
      </c>
      <c r="B168" s="169">
        <f t="shared" si="47"/>
        <v>0</v>
      </c>
      <c r="C168" s="85" t="s">
        <v>36</v>
      </c>
      <c r="D168" s="85" t="s">
        <v>863</v>
      </c>
      <c r="E168" s="85" t="s">
        <v>37</v>
      </c>
      <c r="F168" s="85" t="s">
        <v>352</v>
      </c>
      <c r="G168" s="1949" t="s">
        <v>38</v>
      </c>
      <c r="H168" s="1956" t="s">
        <v>1385</v>
      </c>
      <c r="I168" s="230" t="s">
        <v>178</v>
      </c>
      <c r="J168" s="160"/>
      <c r="K168" s="486"/>
      <c r="L168" s="2090"/>
      <c r="M168" s="2093"/>
      <c r="N168" s="1682">
        <v>589</v>
      </c>
      <c r="O168" s="1703">
        <v>2000000</v>
      </c>
      <c r="P168" s="1219" t="s">
        <v>1115</v>
      </c>
      <c r="Q168" s="230" t="s">
        <v>178</v>
      </c>
      <c r="R168" s="166"/>
      <c r="S168" s="166"/>
      <c r="T168" s="166"/>
      <c r="U168" s="166"/>
      <c r="V168" s="166">
        <v>2000000</v>
      </c>
      <c r="W168" s="166" t="s">
        <v>178</v>
      </c>
      <c r="X168" s="166"/>
      <c r="Y168" s="166"/>
      <c r="Z168" s="166"/>
      <c r="AA168" s="166"/>
      <c r="AB168" s="166"/>
      <c r="AC168" s="737">
        <f t="shared" si="53"/>
        <v>2000000</v>
      </c>
      <c r="AD168" s="743">
        <f t="shared" si="54"/>
        <v>0</v>
      </c>
      <c r="AE168" s="1506"/>
      <c r="AF168" s="942" t="s">
        <v>150</v>
      </c>
      <c r="AG168" s="261" t="s">
        <v>1093</v>
      </c>
      <c r="AH168" s="279" t="s">
        <v>1118</v>
      </c>
      <c r="AI168" s="1136" t="str">
        <f t="shared" si="55"/>
        <v>Resolución 281</v>
      </c>
      <c r="AJ168" s="2131"/>
      <c r="AK168" s="2133"/>
      <c r="AL168" s="973"/>
      <c r="AM168" s="2130"/>
    </row>
    <row r="169" spans="1:39" s="8" customFormat="1">
      <c r="A169" s="86" t="s">
        <v>40</v>
      </c>
      <c r="B169" s="169">
        <f t="shared" si="47"/>
        <v>0</v>
      </c>
      <c r="C169" s="85" t="s">
        <v>36</v>
      </c>
      <c r="D169" s="85" t="s">
        <v>863</v>
      </c>
      <c r="E169" s="85" t="s">
        <v>37</v>
      </c>
      <c r="F169" s="85" t="s">
        <v>352</v>
      </c>
      <c r="G169" s="1949" t="s">
        <v>38</v>
      </c>
      <c r="H169" s="1956" t="s">
        <v>1385</v>
      </c>
      <c r="I169" s="230" t="s">
        <v>178</v>
      </c>
      <c r="J169" s="160"/>
      <c r="K169" s="486"/>
      <c r="L169" s="2090"/>
      <c r="M169" s="2093"/>
      <c r="N169" s="1682">
        <v>590</v>
      </c>
      <c r="O169" s="1703">
        <v>2000000</v>
      </c>
      <c r="P169" s="1219" t="s">
        <v>1083</v>
      </c>
      <c r="Q169" s="230" t="s">
        <v>178</v>
      </c>
      <c r="R169" s="166"/>
      <c r="S169" s="166"/>
      <c r="T169" s="166"/>
      <c r="U169" s="166"/>
      <c r="V169" s="166">
        <f>2000000-2000000</f>
        <v>0</v>
      </c>
      <c r="W169" s="166">
        <v>2000000</v>
      </c>
      <c r="X169" s="166"/>
      <c r="Y169" s="166"/>
      <c r="Z169" s="166"/>
      <c r="AA169" s="166"/>
      <c r="AB169" s="166"/>
      <c r="AC169" s="737">
        <f t="shared" si="53"/>
        <v>2000000</v>
      </c>
      <c r="AD169" s="743">
        <f t="shared" si="54"/>
        <v>0</v>
      </c>
      <c r="AE169" s="1506"/>
      <c r="AF169" s="942" t="s">
        <v>150</v>
      </c>
      <c r="AG169" s="261" t="s">
        <v>1093</v>
      </c>
      <c r="AH169" s="279" t="s">
        <v>1119</v>
      </c>
      <c r="AI169" s="1136" t="str">
        <f t="shared" si="55"/>
        <v>Resolución 283</v>
      </c>
      <c r="AJ169" s="2131"/>
      <c r="AK169" s="2133"/>
      <c r="AL169" s="973"/>
      <c r="AM169" s="2130"/>
    </row>
    <row r="170" spans="1:39" s="8" customFormat="1">
      <c r="A170" s="86" t="s">
        <v>40</v>
      </c>
      <c r="B170" s="169">
        <f t="shared" si="47"/>
        <v>0</v>
      </c>
      <c r="C170" s="85" t="s">
        <v>36</v>
      </c>
      <c r="D170" s="85" t="s">
        <v>863</v>
      </c>
      <c r="E170" s="85" t="s">
        <v>37</v>
      </c>
      <c r="F170" s="85" t="s">
        <v>352</v>
      </c>
      <c r="G170" s="1949" t="s">
        <v>38</v>
      </c>
      <c r="H170" s="1956" t="s">
        <v>1385</v>
      </c>
      <c r="I170" s="230" t="s">
        <v>178</v>
      </c>
      <c r="J170" s="160"/>
      <c r="K170" s="486"/>
      <c r="L170" s="2090"/>
      <c r="M170" s="2093"/>
      <c r="N170" s="1682">
        <v>656</v>
      </c>
      <c r="O170" s="1703">
        <v>2000000</v>
      </c>
      <c r="P170" s="1219" t="s">
        <v>1084</v>
      </c>
      <c r="Q170" s="230" t="s">
        <v>178</v>
      </c>
      <c r="R170" s="166"/>
      <c r="S170" s="166"/>
      <c r="T170" s="166"/>
      <c r="U170" s="166"/>
      <c r="V170" s="166"/>
      <c r="W170" s="166">
        <v>2000000</v>
      </c>
      <c r="X170" s="166"/>
      <c r="Y170" s="166"/>
      <c r="Z170" s="166"/>
      <c r="AA170" s="166"/>
      <c r="AB170" s="166"/>
      <c r="AC170" s="737">
        <f t="shared" si="53"/>
        <v>2000000</v>
      </c>
      <c r="AD170" s="743">
        <f t="shared" si="54"/>
        <v>0</v>
      </c>
      <c r="AE170" s="1506"/>
      <c r="AF170" s="942" t="s">
        <v>150</v>
      </c>
      <c r="AG170" s="261" t="s">
        <v>1094</v>
      </c>
      <c r="AH170" s="279" t="s">
        <v>1172</v>
      </c>
      <c r="AI170" s="1136" t="str">
        <f t="shared" si="55"/>
        <v>Resolución 263</v>
      </c>
      <c r="AJ170" s="2131"/>
      <c r="AK170" s="2133"/>
      <c r="AL170" s="973"/>
      <c r="AM170" s="2130"/>
    </row>
    <row r="171" spans="1:39" s="8" customFormat="1">
      <c r="A171" s="86" t="s">
        <v>40</v>
      </c>
      <c r="B171" s="169">
        <f t="shared" si="47"/>
        <v>0</v>
      </c>
      <c r="C171" s="85" t="s">
        <v>36</v>
      </c>
      <c r="D171" s="85" t="s">
        <v>863</v>
      </c>
      <c r="E171" s="85" t="s">
        <v>37</v>
      </c>
      <c r="F171" s="85" t="s">
        <v>352</v>
      </c>
      <c r="G171" s="1949" t="s">
        <v>38</v>
      </c>
      <c r="H171" s="1956" t="s">
        <v>1385</v>
      </c>
      <c r="I171" s="230" t="s">
        <v>178</v>
      </c>
      <c r="J171" s="160"/>
      <c r="K171" s="486"/>
      <c r="L171" s="2090"/>
      <c r="M171" s="2093"/>
      <c r="N171" s="1682">
        <v>748</v>
      </c>
      <c r="O171" s="1703">
        <v>3000000</v>
      </c>
      <c r="P171" s="1219" t="s">
        <v>1247</v>
      </c>
      <c r="Q171" s="230" t="s">
        <v>178</v>
      </c>
      <c r="R171" s="166"/>
      <c r="S171" s="166"/>
      <c r="T171" s="166"/>
      <c r="U171" s="166"/>
      <c r="V171" s="166"/>
      <c r="W171" s="166" t="s">
        <v>178</v>
      </c>
      <c r="X171" s="166">
        <v>3000000</v>
      </c>
      <c r="Y171" s="166"/>
      <c r="Z171" s="166"/>
      <c r="AA171" s="166"/>
      <c r="AB171" s="166"/>
      <c r="AC171" s="737">
        <f t="shared" ref="AC171:AC187" si="56">SUM(Q171:AB171)</f>
        <v>3000000</v>
      </c>
      <c r="AD171" s="743">
        <f t="shared" ref="AD171:AD187" si="57">O171-AC171</f>
        <v>0</v>
      </c>
      <c r="AE171" s="1506"/>
      <c r="AF171" s="942" t="s">
        <v>150</v>
      </c>
      <c r="AG171" s="261" t="s">
        <v>1094</v>
      </c>
      <c r="AH171" s="279" t="s">
        <v>1249</v>
      </c>
      <c r="AI171" s="1136" t="str">
        <f t="shared" si="55"/>
        <v>Resolución 362</v>
      </c>
      <c r="AJ171" s="2131"/>
      <c r="AK171" s="2133"/>
      <c r="AL171" s="973"/>
      <c r="AM171" s="2130"/>
    </row>
    <row r="172" spans="1:39" s="8" customFormat="1">
      <c r="A172" s="86" t="s">
        <v>40</v>
      </c>
      <c r="B172" s="169">
        <f t="shared" si="47"/>
        <v>0</v>
      </c>
      <c r="C172" s="85" t="s">
        <v>36</v>
      </c>
      <c r="D172" s="85" t="s">
        <v>863</v>
      </c>
      <c r="E172" s="85" t="s">
        <v>37</v>
      </c>
      <c r="F172" s="85" t="s">
        <v>352</v>
      </c>
      <c r="G172" s="1949" t="s">
        <v>38</v>
      </c>
      <c r="H172" s="1956" t="s">
        <v>1385</v>
      </c>
      <c r="I172" s="230" t="s">
        <v>178</v>
      </c>
      <c r="J172" s="160"/>
      <c r="K172" s="486"/>
      <c r="L172" s="2090"/>
      <c r="M172" s="2093"/>
      <c r="N172" s="1682">
        <v>749</v>
      </c>
      <c r="O172" s="1703">
        <v>3000000</v>
      </c>
      <c r="P172" s="1219" t="s">
        <v>1247</v>
      </c>
      <c r="Q172" s="230" t="s">
        <v>178</v>
      </c>
      <c r="R172" s="166"/>
      <c r="S172" s="166"/>
      <c r="T172" s="166"/>
      <c r="U172" s="166"/>
      <c r="V172" s="166"/>
      <c r="W172" s="166" t="s">
        <v>178</v>
      </c>
      <c r="X172" s="166">
        <v>3000000</v>
      </c>
      <c r="Y172" s="166"/>
      <c r="Z172" s="166"/>
      <c r="AA172" s="166"/>
      <c r="AB172" s="166"/>
      <c r="AC172" s="737">
        <f t="shared" si="56"/>
        <v>3000000</v>
      </c>
      <c r="AD172" s="743">
        <f t="shared" si="57"/>
        <v>0</v>
      </c>
      <c r="AE172" s="1506"/>
      <c r="AF172" s="942" t="s">
        <v>150</v>
      </c>
      <c r="AG172" s="261" t="s">
        <v>1094</v>
      </c>
      <c r="AH172" s="279" t="s">
        <v>1250</v>
      </c>
      <c r="AI172" s="1136"/>
      <c r="AJ172" s="2131"/>
      <c r="AK172" s="2133"/>
      <c r="AL172" s="973"/>
      <c r="AM172" s="2130"/>
    </row>
    <row r="173" spans="1:39" s="8" customFormat="1">
      <c r="A173" s="86" t="s">
        <v>40</v>
      </c>
      <c r="B173" s="169">
        <f t="shared" si="47"/>
        <v>0</v>
      </c>
      <c r="C173" s="85" t="s">
        <v>36</v>
      </c>
      <c r="D173" s="85" t="s">
        <v>863</v>
      </c>
      <c r="E173" s="85" t="s">
        <v>37</v>
      </c>
      <c r="F173" s="85" t="s">
        <v>352</v>
      </c>
      <c r="G173" s="1949" t="s">
        <v>38</v>
      </c>
      <c r="H173" s="1956" t="s">
        <v>1385</v>
      </c>
      <c r="I173" s="230" t="s">
        <v>178</v>
      </c>
      <c r="J173" s="160"/>
      <c r="K173" s="486"/>
      <c r="L173" s="2090"/>
      <c r="M173" s="2093"/>
      <c r="N173" s="1682">
        <v>750</v>
      </c>
      <c r="O173" s="1703">
        <v>3000000</v>
      </c>
      <c r="P173" s="1219" t="s">
        <v>1247</v>
      </c>
      <c r="Q173" s="230" t="s">
        <v>178</v>
      </c>
      <c r="R173" s="166"/>
      <c r="S173" s="166"/>
      <c r="T173" s="166"/>
      <c r="U173" s="166"/>
      <c r="V173" s="166"/>
      <c r="W173" s="166" t="s">
        <v>178</v>
      </c>
      <c r="X173" s="166">
        <v>3000000</v>
      </c>
      <c r="Y173" s="166"/>
      <c r="Z173" s="166"/>
      <c r="AA173" s="166"/>
      <c r="AB173" s="166"/>
      <c r="AC173" s="737">
        <f t="shared" si="56"/>
        <v>3000000</v>
      </c>
      <c r="AD173" s="743">
        <f t="shared" si="57"/>
        <v>0</v>
      </c>
      <c r="AE173" s="1506"/>
      <c r="AF173" s="942" t="s">
        <v>150</v>
      </c>
      <c r="AG173" s="261" t="s">
        <v>1094</v>
      </c>
      <c r="AH173" s="279" t="s">
        <v>1251</v>
      </c>
      <c r="AI173" s="1136"/>
      <c r="AJ173" s="2131"/>
      <c r="AK173" s="2133"/>
      <c r="AL173" s="973"/>
      <c r="AM173" s="2130"/>
    </row>
    <row r="174" spans="1:39" s="8" customFormat="1">
      <c r="A174" s="86" t="s">
        <v>40</v>
      </c>
      <c r="B174" s="169">
        <f t="shared" si="47"/>
        <v>0</v>
      </c>
      <c r="C174" s="85" t="s">
        <v>36</v>
      </c>
      <c r="D174" s="85" t="s">
        <v>863</v>
      </c>
      <c r="E174" s="85" t="s">
        <v>37</v>
      </c>
      <c r="F174" s="85" t="s">
        <v>352</v>
      </c>
      <c r="G174" s="1949" t="s">
        <v>38</v>
      </c>
      <c r="H174" s="1956" t="s">
        <v>1385</v>
      </c>
      <c r="I174" s="230" t="s">
        <v>178</v>
      </c>
      <c r="J174" s="160"/>
      <c r="K174" s="486"/>
      <c r="L174" s="2090"/>
      <c r="M174" s="2093"/>
      <c r="N174" s="1682">
        <v>751</v>
      </c>
      <c r="O174" s="1703">
        <v>3000000</v>
      </c>
      <c r="P174" s="1219" t="s">
        <v>1248</v>
      </c>
      <c r="Q174" s="230" t="s">
        <v>178</v>
      </c>
      <c r="R174" s="166"/>
      <c r="S174" s="166"/>
      <c r="T174" s="166"/>
      <c r="U174" s="166"/>
      <c r="V174" s="166"/>
      <c r="W174" s="166" t="s">
        <v>178</v>
      </c>
      <c r="X174" s="166">
        <v>3000000</v>
      </c>
      <c r="Y174" s="166"/>
      <c r="Z174" s="166"/>
      <c r="AA174" s="166"/>
      <c r="AB174" s="166"/>
      <c r="AC174" s="737">
        <f t="shared" si="56"/>
        <v>3000000</v>
      </c>
      <c r="AD174" s="743">
        <f t="shared" si="57"/>
        <v>0</v>
      </c>
      <c r="AE174" s="1506"/>
      <c r="AF174" s="942" t="s">
        <v>150</v>
      </c>
      <c r="AG174" s="261" t="s">
        <v>1094</v>
      </c>
      <c r="AH174" s="279" t="s">
        <v>1252</v>
      </c>
      <c r="AI174" s="1136" t="str">
        <f t="shared" si="55"/>
        <v>Resolución 382</v>
      </c>
      <c r="AJ174" s="2131"/>
      <c r="AK174" s="2133"/>
      <c r="AL174" s="973"/>
      <c r="AM174" s="2130"/>
    </row>
    <row r="175" spans="1:39" s="8" customFormat="1">
      <c r="A175" s="86" t="s">
        <v>40</v>
      </c>
      <c r="B175" s="169">
        <f t="shared" si="47"/>
        <v>0</v>
      </c>
      <c r="C175" s="85" t="s">
        <v>36</v>
      </c>
      <c r="D175" s="85" t="s">
        <v>863</v>
      </c>
      <c r="E175" s="85" t="s">
        <v>37</v>
      </c>
      <c r="F175" s="85" t="s">
        <v>352</v>
      </c>
      <c r="G175" s="1949" t="s">
        <v>38</v>
      </c>
      <c r="H175" s="1956" t="s">
        <v>1385</v>
      </c>
      <c r="I175" s="230" t="s">
        <v>178</v>
      </c>
      <c r="J175" s="160"/>
      <c r="K175" s="486"/>
      <c r="L175" s="2090"/>
      <c r="M175" s="2093"/>
      <c r="N175" s="1682">
        <v>752</v>
      </c>
      <c r="O175" s="1703">
        <v>3000000</v>
      </c>
      <c r="P175" s="1219" t="s">
        <v>1248</v>
      </c>
      <c r="Q175" s="230" t="s">
        <v>178</v>
      </c>
      <c r="R175" s="166"/>
      <c r="S175" s="166"/>
      <c r="T175" s="166"/>
      <c r="U175" s="166"/>
      <c r="V175" s="166"/>
      <c r="W175" s="166" t="s">
        <v>178</v>
      </c>
      <c r="X175" s="166">
        <v>3000000</v>
      </c>
      <c r="Y175" s="166"/>
      <c r="Z175" s="166"/>
      <c r="AA175" s="166"/>
      <c r="AB175" s="166"/>
      <c r="AC175" s="737">
        <f t="shared" si="56"/>
        <v>3000000</v>
      </c>
      <c r="AD175" s="743">
        <f t="shared" si="57"/>
        <v>0</v>
      </c>
      <c r="AE175" s="1506"/>
      <c r="AF175" s="942" t="s">
        <v>150</v>
      </c>
      <c r="AG175" s="261" t="s">
        <v>1095</v>
      </c>
      <c r="AH175" s="279" t="s">
        <v>1253</v>
      </c>
      <c r="AI175" s="1136" t="str">
        <f t="shared" si="55"/>
        <v>Resolución 382</v>
      </c>
      <c r="AJ175" s="2131"/>
      <c r="AK175" s="2133"/>
      <c r="AL175" s="973"/>
      <c r="AM175" s="2130"/>
    </row>
    <row r="176" spans="1:39" s="8" customFormat="1">
      <c r="A176" s="86" t="s">
        <v>40</v>
      </c>
      <c r="B176" s="169">
        <f t="shared" si="47"/>
        <v>0</v>
      </c>
      <c r="C176" s="85" t="s">
        <v>36</v>
      </c>
      <c r="D176" s="85" t="s">
        <v>863</v>
      </c>
      <c r="E176" s="85" t="s">
        <v>37</v>
      </c>
      <c r="F176" s="85" t="s">
        <v>352</v>
      </c>
      <c r="G176" s="1949" t="s">
        <v>38</v>
      </c>
      <c r="H176" s="1956" t="s">
        <v>1385</v>
      </c>
      <c r="I176" s="230" t="s">
        <v>178</v>
      </c>
      <c r="J176" s="160"/>
      <c r="K176" s="486"/>
      <c r="L176" s="2090"/>
      <c r="M176" s="2093"/>
      <c r="N176" s="1682">
        <v>753</v>
      </c>
      <c r="O176" s="1703">
        <v>3000000</v>
      </c>
      <c r="P176" s="1219" t="s">
        <v>1248</v>
      </c>
      <c r="Q176" s="230" t="s">
        <v>178</v>
      </c>
      <c r="R176" s="166"/>
      <c r="S176" s="166"/>
      <c r="T176" s="166"/>
      <c r="U176" s="166"/>
      <c r="V176" s="166"/>
      <c r="W176" s="166" t="s">
        <v>178</v>
      </c>
      <c r="X176" s="166">
        <v>3000000</v>
      </c>
      <c r="Y176" s="166"/>
      <c r="Z176" s="166"/>
      <c r="AA176" s="166"/>
      <c r="AB176" s="166"/>
      <c r="AC176" s="737">
        <f t="shared" si="56"/>
        <v>3000000</v>
      </c>
      <c r="AD176" s="743">
        <f t="shared" si="57"/>
        <v>0</v>
      </c>
      <c r="AE176" s="1506"/>
      <c r="AF176" s="942" t="s">
        <v>150</v>
      </c>
      <c r="AG176" s="261" t="s">
        <v>1096</v>
      </c>
      <c r="AH176" s="279" t="s">
        <v>1254</v>
      </c>
      <c r="AI176" s="1136" t="str">
        <f t="shared" si="55"/>
        <v>Resolución 382</v>
      </c>
      <c r="AJ176" s="2131"/>
      <c r="AK176" s="2133"/>
      <c r="AL176" s="973"/>
      <c r="AM176" s="2130"/>
    </row>
    <row r="177" spans="1:39" s="8" customFormat="1">
      <c r="A177" s="86" t="s">
        <v>40</v>
      </c>
      <c r="B177" s="169">
        <f t="shared" si="47"/>
        <v>0</v>
      </c>
      <c r="C177" s="85" t="s">
        <v>36</v>
      </c>
      <c r="D177" s="85" t="s">
        <v>863</v>
      </c>
      <c r="E177" s="85" t="s">
        <v>37</v>
      </c>
      <c r="F177" s="85" t="s">
        <v>352</v>
      </c>
      <c r="G177" s="1949" t="s">
        <v>38</v>
      </c>
      <c r="H177" s="1956" t="s">
        <v>1385</v>
      </c>
      <c r="I177" s="230" t="s">
        <v>178</v>
      </c>
      <c r="J177" s="160"/>
      <c r="K177" s="486"/>
      <c r="L177" s="2090"/>
      <c r="M177" s="2093"/>
      <c r="N177" s="1682">
        <v>758</v>
      </c>
      <c r="O177" s="1703">
        <v>1000000</v>
      </c>
      <c r="P177" s="1219" t="s">
        <v>1248</v>
      </c>
      <c r="Q177" s="230" t="s">
        <v>178</v>
      </c>
      <c r="R177" s="166"/>
      <c r="S177" s="166"/>
      <c r="T177" s="166"/>
      <c r="U177" s="166"/>
      <c r="V177" s="166"/>
      <c r="W177" s="166" t="s">
        <v>178</v>
      </c>
      <c r="X177" s="166">
        <v>1000000</v>
      </c>
      <c r="Y177" s="166"/>
      <c r="Z177" s="166"/>
      <c r="AA177" s="166"/>
      <c r="AB177" s="166"/>
      <c r="AC177" s="737">
        <f t="shared" si="56"/>
        <v>1000000</v>
      </c>
      <c r="AD177" s="743">
        <f t="shared" si="57"/>
        <v>0</v>
      </c>
      <c r="AE177" s="1506"/>
      <c r="AF177" s="942" t="s">
        <v>150</v>
      </c>
      <c r="AG177" s="261" t="s">
        <v>1096</v>
      </c>
      <c r="AH177" s="279" t="s">
        <v>1252</v>
      </c>
      <c r="AI177" s="1136" t="str">
        <f t="shared" si="55"/>
        <v>Resolución 382</v>
      </c>
      <c r="AJ177" s="2131"/>
      <c r="AK177" s="2133"/>
      <c r="AL177" s="973"/>
      <c r="AM177" s="2130"/>
    </row>
    <row r="178" spans="1:39" s="8" customFormat="1">
      <c r="A178" s="86" t="s">
        <v>40</v>
      </c>
      <c r="B178" s="169">
        <f t="shared" si="47"/>
        <v>0</v>
      </c>
      <c r="C178" s="85" t="s">
        <v>36</v>
      </c>
      <c r="D178" s="85" t="s">
        <v>863</v>
      </c>
      <c r="E178" s="85" t="s">
        <v>37</v>
      </c>
      <c r="F178" s="85" t="s">
        <v>352</v>
      </c>
      <c r="G178" s="1949" t="s">
        <v>38</v>
      </c>
      <c r="H178" s="1956" t="s">
        <v>1385</v>
      </c>
      <c r="I178" s="230" t="s">
        <v>178</v>
      </c>
      <c r="J178" s="160"/>
      <c r="K178" s="486"/>
      <c r="L178" s="2090"/>
      <c r="M178" s="2093"/>
      <c r="N178" s="1682">
        <v>759</v>
      </c>
      <c r="O178" s="1703">
        <v>1000000</v>
      </c>
      <c r="P178" s="1219" t="s">
        <v>1248</v>
      </c>
      <c r="Q178" s="230" t="s">
        <v>178</v>
      </c>
      <c r="R178" s="166"/>
      <c r="S178" s="166"/>
      <c r="T178" s="166"/>
      <c r="U178" s="166"/>
      <c r="V178" s="166"/>
      <c r="W178" s="166" t="s">
        <v>178</v>
      </c>
      <c r="X178" s="166">
        <v>1000000</v>
      </c>
      <c r="Y178" s="166"/>
      <c r="Z178" s="166"/>
      <c r="AA178" s="166"/>
      <c r="AB178" s="166"/>
      <c r="AC178" s="737">
        <f t="shared" si="56"/>
        <v>1000000</v>
      </c>
      <c r="AD178" s="743">
        <f t="shared" si="57"/>
        <v>0</v>
      </c>
      <c r="AE178" s="1506"/>
      <c r="AF178" s="942" t="s">
        <v>150</v>
      </c>
      <c r="AG178" s="261" t="s">
        <v>1096</v>
      </c>
      <c r="AH178" s="279" t="s">
        <v>1253</v>
      </c>
      <c r="AI178" s="1136" t="str">
        <f t="shared" si="55"/>
        <v>Resolución 382</v>
      </c>
      <c r="AJ178" s="2131"/>
      <c r="AK178" s="2133"/>
      <c r="AL178" s="973"/>
      <c r="AM178" s="2130"/>
    </row>
    <row r="179" spans="1:39" s="8" customFormat="1">
      <c r="A179" s="86" t="s">
        <v>40</v>
      </c>
      <c r="B179" s="169">
        <f t="shared" si="47"/>
        <v>0</v>
      </c>
      <c r="C179" s="85" t="s">
        <v>36</v>
      </c>
      <c r="D179" s="85" t="s">
        <v>863</v>
      </c>
      <c r="E179" s="85" t="s">
        <v>37</v>
      </c>
      <c r="F179" s="85" t="s">
        <v>352</v>
      </c>
      <c r="G179" s="1949" t="s">
        <v>38</v>
      </c>
      <c r="H179" s="1956" t="s">
        <v>1385</v>
      </c>
      <c r="I179" s="230" t="s">
        <v>178</v>
      </c>
      <c r="J179" s="160"/>
      <c r="K179" s="486"/>
      <c r="L179" s="2091"/>
      <c r="M179" s="2094"/>
      <c r="N179" s="1682">
        <v>760</v>
      </c>
      <c r="O179" s="1703">
        <v>1000000</v>
      </c>
      <c r="P179" s="1219" t="s">
        <v>1248</v>
      </c>
      <c r="Q179" s="230" t="s">
        <v>178</v>
      </c>
      <c r="R179" s="166"/>
      <c r="S179" s="166"/>
      <c r="T179" s="166"/>
      <c r="U179" s="166"/>
      <c r="V179" s="166"/>
      <c r="W179" s="166" t="s">
        <v>178</v>
      </c>
      <c r="X179" s="166">
        <v>1000000</v>
      </c>
      <c r="Y179" s="166"/>
      <c r="Z179" s="166"/>
      <c r="AA179" s="166"/>
      <c r="AB179" s="166"/>
      <c r="AC179" s="737">
        <f t="shared" si="56"/>
        <v>1000000</v>
      </c>
      <c r="AD179" s="743">
        <f t="shared" si="57"/>
        <v>0</v>
      </c>
      <c r="AE179" s="1506"/>
      <c r="AF179" s="942" t="s">
        <v>150</v>
      </c>
      <c r="AG179" s="261" t="s">
        <v>1096</v>
      </c>
      <c r="AH179" s="279" t="s">
        <v>1254</v>
      </c>
      <c r="AI179" s="1136" t="str">
        <f t="shared" si="55"/>
        <v>Resolución 382</v>
      </c>
      <c r="AJ179" s="2086"/>
      <c r="AK179" s="2134"/>
      <c r="AL179" s="973"/>
      <c r="AM179" s="2130"/>
    </row>
    <row r="180" spans="1:39" s="8" customFormat="1">
      <c r="A180" s="86" t="s">
        <v>40</v>
      </c>
      <c r="B180" s="169">
        <f t="shared" si="47"/>
        <v>0</v>
      </c>
      <c r="C180" s="85" t="s">
        <v>36</v>
      </c>
      <c r="D180" s="85" t="s">
        <v>863</v>
      </c>
      <c r="E180" s="85" t="s">
        <v>37</v>
      </c>
      <c r="F180" s="85" t="s">
        <v>352</v>
      </c>
      <c r="G180" s="1949" t="s">
        <v>38</v>
      </c>
      <c r="H180" s="1956" t="s">
        <v>1385</v>
      </c>
      <c r="I180" s="1939" t="s">
        <v>150</v>
      </c>
      <c r="J180" s="160">
        <v>0</v>
      </c>
      <c r="K180" s="486"/>
      <c r="L180" s="1682"/>
      <c r="M180" s="1592"/>
      <c r="N180" s="1682"/>
      <c r="O180" s="1703"/>
      <c r="P180" s="1423"/>
      <c r="Q180" s="230" t="s">
        <v>178</v>
      </c>
      <c r="R180" s="166"/>
      <c r="S180" s="166"/>
      <c r="T180" s="166"/>
      <c r="U180" s="166"/>
      <c r="V180" s="166"/>
      <c r="W180" s="166"/>
      <c r="X180" s="166"/>
      <c r="Y180" s="166"/>
      <c r="Z180" s="166"/>
      <c r="AA180" s="166"/>
      <c r="AB180" s="166"/>
      <c r="AC180" s="737">
        <f t="shared" si="56"/>
        <v>0</v>
      </c>
      <c r="AD180" s="743">
        <f t="shared" si="57"/>
        <v>0</v>
      </c>
      <c r="AE180" s="1506"/>
      <c r="AF180" s="942" t="s">
        <v>150</v>
      </c>
      <c r="AG180" s="261" t="s">
        <v>304</v>
      </c>
      <c r="AH180" s="279" t="s">
        <v>178</v>
      </c>
      <c r="AI180" s="517">
        <f>P180</f>
        <v>0</v>
      </c>
      <c r="AJ180" s="316">
        <f>105995000-101988000-4007000</f>
        <v>0</v>
      </c>
      <c r="AK180" s="926">
        <f t="shared" si="45"/>
        <v>0</v>
      </c>
      <c r="AL180" s="973"/>
      <c r="AM180" s="314">
        <f t="shared" si="46"/>
        <v>0</v>
      </c>
    </row>
    <row r="181" spans="1:39" s="8" customFormat="1">
      <c r="A181" s="86" t="s">
        <v>40</v>
      </c>
      <c r="B181" s="169">
        <f t="shared" si="47"/>
        <v>4320000</v>
      </c>
      <c r="C181" s="81" t="s">
        <v>36</v>
      </c>
      <c r="D181" s="85" t="s">
        <v>863</v>
      </c>
      <c r="E181" s="81" t="s">
        <v>37</v>
      </c>
      <c r="F181" s="81" t="s">
        <v>352</v>
      </c>
      <c r="G181" s="1950" t="s">
        <v>38</v>
      </c>
      <c r="H181" s="1956" t="s">
        <v>1385</v>
      </c>
      <c r="I181" s="1041">
        <v>441</v>
      </c>
      <c r="J181" s="160">
        <v>0</v>
      </c>
      <c r="K181" s="486"/>
      <c r="L181" s="1682">
        <v>372</v>
      </c>
      <c r="M181" s="1592">
        <v>4320000</v>
      </c>
      <c r="N181" s="1384">
        <v>389</v>
      </c>
      <c r="O181" s="1704">
        <v>4320000</v>
      </c>
      <c r="P181" s="236">
        <v>305</v>
      </c>
      <c r="Q181" s="467"/>
      <c r="R181" s="468"/>
      <c r="S181" s="468"/>
      <c r="T181" s="166"/>
      <c r="U181" s="166">
        <v>4320000</v>
      </c>
      <c r="V181" s="166"/>
      <c r="W181" s="166"/>
      <c r="X181" s="166"/>
      <c r="Y181" s="166"/>
      <c r="Z181" s="468"/>
      <c r="AA181" s="468"/>
      <c r="AB181" s="468"/>
      <c r="AC181" s="737">
        <f t="shared" si="56"/>
        <v>4320000</v>
      </c>
      <c r="AD181" s="743">
        <f t="shared" si="57"/>
        <v>0</v>
      </c>
      <c r="AE181" s="1506"/>
      <c r="AF181" s="942">
        <v>441</v>
      </c>
      <c r="AG181" s="951" t="s">
        <v>308</v>
      </c>
      <c r="AH181" s="279" t="s">
        <v>851</v>
      </c>
      <c r="AI181" s="517">
        <f>P181</f>
        <v>305</v>
      </c>
      <c r="AJ181" s="316">
        <v>4320000</v>
      </c>
      <c r="AK181" s="926">
        <f t="shared" si="45"/>
        <v>0</v>
      </c>
      <c r="AL181" s="973"/>
      <c r="AM181" s="314">
        <f t="shared" si="46"/>
        <v>0</v>
      </c>
    </row>
    <row r="182" spans="1:39" s="8" customFormat="1">
      <c r="A182" s="86" t="s">
        <v>40</v>
      </c>
      <c r="B182" s="169">
        <f>M182</f>
        <v>51988000</v>
      </c>
      <c r="C182" s="81" t="s">
        <v>36</v>
      </c>
      <c r="D182" s="85" t="s">
        <v>863</v>
      </c>
      <c r="E182" s="81" t="s">
        <v>37</v>
      </c>
      <c r="F182" s="81" t="s">
        <v>352</v>
      </c>
      <c r="G182" s="1950" t="s">
        <v>38</v>
      </c>
      <c r="H182" s="1956" t="s">
        <v>1385</v>
      </c>
      <c r="I182" s="1939">
        <v>451</v>
      </c>
      <c r="J182" s="160"/>
      <c r="K182" s="486"/>
      <c r="L182" s="1682">
        <v>469</v>
      </c>
      <c r="M182" s="1592">
        <v>51988000</v>
      </c>
      <c r="N182" s="1384">
        <v>517</v>
      </c>
      <c r="O182" s="1704">
        <v>51988000</v>
      </c>
      <c r="P182" s="236">
        <v>364</v>
      </c>
      <c r="Q182" s="467"/>
      <c r="R182" s="468"/>
      <c r="S182" s="468"/>
      <c r="T182" s="166"/>
      <c r="U182" s="166"/>
      <c r="V182" s="166">
        <v>20795200</v>
      </c>
      <c r="W182" s="166"/>
      <c r="X182" s="166"/>
      <c r="Y182" s="166">
        <v>23394600</v>
      </c>
      <c r="Z182" s="468"/>
      <c r="AA182" s="468"/>
      <c r="AB182" s="468"/>
      <c r="AC182" s="737">
        <f t="shared" si="56"/>
        <v>44189800</v>
      </c>
      <c r="AD182" s="743">
        <f t="shared" si="57"/>
        <v>7798200</v>
      </c>
      <c r="AE182" s="1506"/>
      <c r="AF182" s="942">
        <v>451</v>
      </c>
      <c r="AG182" s="951" t="s">
        <v>820</v>
      </c>
      <c r="AH182" s="279" t="s">
        <v>1042</v>
      </c>
      <c r="AI182" s="517">
        <f t="shared" ref="AI182:AI188" si="58">P182</f>
        <v>364</v>
      </c>
      <c r="AJ182" s="316">
        <v>51988000</v>
      </c>
      <c r="AK182" s="926">
        <f t="shared" si="45"/>
        <v>0</v>
      </c>
      <c r="AL182" s="973"/>
      <c r="AM182" s="314">
        <f t="shared" si="46"/>
        <v>0</v>
      </c>
    </row>
    <row r="183" spans="1:39" s="8" customFormat="1">
      <c r="A183" s="86" t="s">
        <v>40</v>
      </c>
      <c r="B183" s="169">
        <f t="shared" si="47"/>
        <v>50000000</v>
      </c>
      <c r="C183" s="81" t="s">
        <v>36</v>
      </c>
      <c r="D183" s="85" t="s">
        <v>863</v>
      </c>
      <c r="E183" s="81" t="s">
        <v>37</v>
      </c>
      <c r="F183" s="81" t="s">
        <v>352</v>
      </c>
      <c r="G183" s="1950" t="s">
        <v>38</v>
      </c>
      <c r="H183" s="1956" t="s">
        <v>1385</v>
      </c>
      <c r="I183" s="1939">
        <v>452</v>
      </c>
      <c r="J183" s="160"/>
      <c r="K183" s="486"/>
      <c r="L183" s="1682">
        <v>398</v>
      </c>
      <c r="M183" s="1592">
        <v>50000000</v>
      </c>
      <c r="N183" s="1384">
        <v>406</v>
      </c>
      <c r="O183" s="1704">
        <v>50000000</v>
      </c>
      <c r="P183" s="236">
        <v>311</v>
      </c>
      <c r="Q183" s="467"/>
      <c r="R183" s="468"/>
      <c r="S183" s="468"/>
      <c r="T183" s="166">
        <f>VLOOKUP(N183,[4]Hoja2!N$66:T$128,7,0)</f>
        <v>25000000</v>
      </c>
      <c r="U183" s="166"/>
      <c r="V183" s="166"/>
      <c r="W183" s="166">
        <v>15000000</v>
      </c>
      <c r="X183" s="166"/>
      <c r="Y183" s="166"/>
      <c r="Z183" s="468"/>
      <c r="AA183" s="468"/>
      <c r="AB183" s="468"/>
      <c r="AC183" s="737">
        <f t="shared" si="56"/>
        <v>40000000</v>
      </c>
      <c r="AD183" s="743">
        <f t="shared" si="57"/>
        <v>10000000</v>
      </c>
      <c r="AE183" s="1506"/>
      <c r="AF183" s="942">
        <v>452</v>
      </c>
      <c r="AG183" s="951" t="s">
        <v>821</v>
      </c>
      <c r="AH183" s="279" t="s">
        <v>955</v>
      </c>
      <c r="AI183" s="517">
        <f t="shared" si="58"/>
        <v>311</v>
      </c>
      <c r="AJ183" s="316">
        <v>50000000</v>
      </c>
      <c r="AK183" s="926">
        <f t="shared" si="45"/>
        <v>0</v>
      </c>
      <c r="AL183" s="973"/>
      <c r="AM183" s="314">
        <f t="shared" si="46"/>
        <v>0</v>
      </c>
    </row>
    <row r="184" spans="1:39" s="8" customFormat="1">
      <c r="A184" s="86" t="s">
        <v>40</v>
      </c>
      <c r="B184" s="169">
        <f t="shared" si="47"/>
        <v>20000000</v>
      </c>
      <c r="C184" s="81" t="s">
        <v>36</v>
      </c>
      <c r="D184" s="85" t="s">
        <v>863</v>
      </c>
      <c r="E184" s="81" t="s">
        <v>37</v>
      </c>
      <c r="F184" s="81" t="s">
        <v>352</v>
      </c>
      <c r="G184" s="1950" t="s">
        <v>38</v>
      </c>
      <c r="H184" s="1956" t="s">
        <v>1385</v>
      </c>
      <c r="I184" s="1939">
        <v>534</v>
      </c>
      <c r="J184" s="160"/>
      <c r="K184" s="486"/>
      <c r="L184" s="1682">
        <v>553</v>
      </c>
      <c r="M184" s="1592">
        <v>20000000</v>
      </c>
      <c r="N184" s="1384">
        <v>647</v>
      </c>
      <c r="O184" s="1704">
        <v>20000000</v>
      </c>
      <c r="P184" s="236">
        <v>401</v>
      </c>
      <c r="Q184" s="467"/>
      <c r="R184" s="468"/>
      <c r="S184" s="468"/>
      <c r="T184" s="468"/>
      <c r="U184" s="166"/>
      <c r="V184" s="468"/>
      <c r="W184" s="166"/>
      <c r="X184" s="166">
        <v>8000000</v>
      </c>
      <c r="Y184" s="166">
        <v>9000000</v>
      </c>
      <c r="Z184" s="468"/>
      <c r="AA184" s="468"/>
      <c r="AB184" s="468"/>
      <c r="AC184" s="737">
        <f t="shared" si="56"/>
        <v>17000000</v>
      </c>
      <c r="AD184" s="743">
        <f t="shared" si="57"/>
        <v>3000000</v>
      </c>
      <c r="AE184" s="1506"/>
      <c r="AF184" s="942">
        <v>534</v>
      </c>
      <c r="AG184" s="951" t="s">
        <v>1025</v>
      </c>
      <c r="AH184" s="279" t="s">
        <v>1171</v>
      </c>
      <c r="AI184" s="517">
        <f t="shared" si="58"/>
        <v>401</v>
      </c>
      <c r="AJ184" s="316">
        <v>20000000</v>
      </c>
      <c r="AK184" s="926">
        <f t="shared" si="45"/>
        <v>0</v>
      </c>
      <c r="AL184" s="973"/>
      <c r="AM184" s="314">
        <f t="shared" si="46"/>
        <v>0</v>
      </c>
    </row>
    <row r="185" spans="1:39" s="8" customFormat="1">
      <c r="A185" s="86" t="s">
        <v>40</v>
      </c>
      <c r="B185" s="169">
        <f t="shared" si="47"/>
        <v>10000000</v>
      </c>
      <c r="C185" s="81" t="s">
        <v>36</v>
      </c>
      <c r="D185" s="85" t="s">
        <v>863</v>
      </c>
      <c r="E185" s="81" t="s">
        <v>37</v>
      </c>
      <c r="F185" s="81" t="s">
        <v>352</v>
      </c>
      <c r="G185" s="1950" t="s">
        <v>38</v>
      </c>
      <c r="H185" s="1956" t="s">
        <v>1385</v>
      </c>
      <c r="I185" s="1939">
        <v>535</v>
      </c>
      <c r="J185" s="160"/>
      <c r="K185" s="486"/>
      <c r="L185" s="1682">
        <v>548</v>
      </c>
      <c r="M185" s="1592">
        <v>10000000</v>
      </c>
      <c r="N185" s="1384">
        <v>648</v>
      </c>
      <c r="O185" s="1704">
        <v>10000000</v>
      </c>
      <c r="P185" s="236">
        <v>400</v>
      </c>
      <c r="Q185" s="467"/>
      <c r="R185" s="468"/>
      <c r="S185" s="468"/>
      <c r="T185" s="468"/>
      <c r="U185" s="166"/>
      <c r="V185" s="468"/>
      <c r="W185" s="166"/>
      <c r="X185" s="166">
        <v>4000000</v>
      </c>
      <c r="Y185" s="166"/>
      <c r="Z185" s="468"/>
      <c r="AA185" s="468"/>
      <c r="AB185" s="468"/>
      <c r="AC185" s="737">
        <f t="shared" si="56"/>
        <v>4000000</v>
      </c>
      <c r="AD185" s="743">
        <f t="shared" si="57"/>
        <v>6000000</v>
      </c>
      <c r="AE185" s="1506"/>
      <c r="AF185" s="942">
        <v>535</v>
      </c>
      <c r="AG185" s="951" t="s">
        <v>1026</v>
      </c>
      <c r="AH185" s="279" t="s">
        <v>1169</v>
      </c>
      <c r="AI185" s="517">
        <f t="shared" si="58"/>
        <v>400</v>
      </c>
      <c r="AJ185" s="316">
        <v>10000000</v>
      </c>
      <c r="AK185" s="926">
        <f t="shared" si="45"/>
        <v>0</v>
      </c>
      <c r="AL185" s="973"/>
      <c r="AM185" s="314">
        <f t="shared" si="46"/>
        <v>0</v>
      </c>
    </row>
    <row r="186" spans="1:39" s="8" customFormat="1">
      <c r="A186" s="86" t="s">
        <v>40</v>
      </c>
      <c r="B186" s="169">
        <f t="shared" si="47"/>
        <v>10000000</v>
      </c>
      <c r="C186" s="81" t="s">
        <v>36</v>
      </c>
      <c r="D186" s="85" t="s">
        <v>863</v>
      </c>
      <c r="E186" s="81" t="s">
        <v>37</v>
      </c>
      <c r="F186" s="81" t="s">
        <v>352</v>
      </c>
      <c r="G186" s="1950" t="s">
        <v>38</v>
      </c>
      <c r="H186" s="1956" t="s">
        <v>1385</v>
      </c>
      <c r="I186" s="1939">
        <v>536</v>
      </c>
      <c r="J186" s="160"/>
      <c r="K186" s="486"/>
      <c r="L186" s="1682">
        <v>549</v>
      </c>
      <c r="M186" s="1592">
        <v>10000000</v>
      </c>
      <c r="N186" s="1384">
        <v>667</v>
      </c>
      <c r="O186" s="1704">
        <v>10000000</v>
      </c>
      <c r="P186" s="236">
        <v>396</v>
      </c>
      <c r="Q186" s="467"/>
      <c r="R186" s="468"/>
      <c r="S186" s="468"/>
      <c r="T186" s="468"/>
      <c r="U186" s="166"/>
      <c r="V186" s="468"/>
      <c r="W186" s="166"/>
      <c r="X186" s="166">
        <v>4000000</v>
      </c>
      <c r="Y186" s="166"/>
      <c r="Z186" s="468"/>
      <c r="AA186" s="468"/>
      <c r="AB186" s="468"/>
      <c r="AC186" s="737">
        <f t="shared" si="56"/>
        <v>4000000</v>
      </c>
      <c r="AD186" s="743">
        <f t="shared" si="57"/>
        <v>6000000</v>
      </c>
      <c r="AE186" s="1506"/>
      <c r="AF186" s="942">
        <v>536</v>
      </c>
      <c r="AG186" s="951" t="s">
        <v>1027</v>
      </c>
      <c r="AH186" s="279" t="s">
        <v>1170</v>
      </c>
      <c r="AI186" s="517">
        <f t="shared" si="58"/>
        <v>396</v>
      </c>
      <c r="AJ186" s="316">
        <v>10000000</v>
      </c>
      <c r="AK186" s="926">
        <f t="shared" si="45"/>
        <v>0</v>
      </c>
      <c r="AL186" s="973"/>
      <c r="AM186" s="314">
        <f t="shared" si="46"/>
        <v>0</v>
      </c>
    </row>
    <row r="187" spans="1:39" s="8" customFormat="1">
      <c r="A187" s="86" t="s">
        <v>40</v>
      </c>
      <c r="B187" s="169">
        <f t="shared" si="47"/>
        <v>0</v>
      </c>
      <c r="C187" s="81" t="s">
        <v>36</v>
      </c>
      <c r="D187" s="85" t="s">
        <v>863</v>
      </c>
      <c r="E187" s="81" t="s">
        <v>37</v>
      </c>
      <c r="F187" s="81" t="s">
        <v>352</v>
      </c>
      <c r="G187" s="1950" t="s">
        <v>38</v>
      </c>
      <c r="H187" s="1956" t="s">
        <v>1385</v>
      </c>
      <c r="I187" s="1939" t="s">
        <v>178</v>
      </c>
      <c r="J187" s="160"/>
      <c r="K187" s="486"/>
      <c r="L187" s="1682"/>
      <c r="M187" s="1592"/>
      <c r="N187" s="1384"/>
      <c r="O187" s="1704"/>
      <c r="P187" s="236"/>
      <c r="Q187" s="467"/>
      <c r="R187" s="468"/>
      <c r="S187" s="468"/>
      <c r="T187" s="468"/>
      <c r="U187" s="166"/>
      <c r="V187" s="468"/>
      <c r="W187" s="468"/>
      <c r="X187" s="468"/>
      <c r="Y187" s="166"/>
      <c r="Z187" s="468"/>
      <c r="AA187" s="468"/>
      <c r="AB187" s="468"/>
      <c r="AC187" s="737">
        <f t="shared" si="56"/>
        <v>0</v>
      </c>
      <c r="AD187" s="743">
        <f t="shared" si="57"/>
        <v>0</v>
      </c>
      <c r="AE187" s="1506"/>
      <c r="AF187" s="942" t="s">
        <v>178</v>
      </c>
      <c r="AG187" s="951"/>
      <c r="AH187" s="279" t="s">
        <v>178</v>
      </c>
      <c r="AI187" s="517">
        <f t="shared" si="58"/>
        <v>0</v>
      </c>
      <c r="AJ187" s="316"/>
      <c r="AK187" s="926">
        <f t="shared" si="45"/>
        <v>0</v>
      </c>
      <c r="AL187" s="973"/>
      <c r="AM187" s="314">
        <f t="shared" si="46"/>
        <v>0</v>
      </c>
    </row>
    <row r="188" spans="1:39" s="8" customFormat="1">
      <c r="A188" s="86" t="s">
        <v>40</v>
      </c>
      <c r="B188" s="169">
        <f t="shared" si="47"/>
        <v>0</v>
      </c>
      <c r="C188" s="81" t="s">
        <v>36</v>
      </c>
      <c r="D188" s="85" t="s">
        <v>863</v>
      </c>
      <c r="E188" s="81" t="s">
        <v>37</v>
      </c>
      <c r="F188" s="81" t="s">
        <v>352</v>
      </c>
      <c r="G188" s="1950" t="s">
        <v>38</v>
      </c>
      <c r="H188" s="1956" t="s">
        <v>1385</v>
      </c>
      <c r="I188" s="1939" t="s">
        <v>150</v>
      </c>
      <c r="J188" s="160"/>
      <c r="K188" s="486"/>
      <c r="L188" s="1682"/>
      <c r="M188" s="1592"/>
      <c r="N188" s="1384"/>
      <c r="O188" s="1704"/>
      <c r="P188" s="236"/>
      <c r="Q188" s="467"/>
      <c r="R188" s="468"/>
      <c r="S188" s="468"/>
      <c r="T188" s="468"/>
      <c r="U188" s="166"/>
      <c r="V188" s="468"/>
      <c r="W188" s="468"/>
      <c r="X188" s="468"/>
      <c r="Y188" s="166"/>
      <c r="Z188" s="468"/>
      <c r="AA188" s="468"/>
      <c r="AB188" s="468"/>
      <c r="AC188" s="737">
        <f t="shared" si="53"/>
        <v>0</v>
      </c>
      <c r="AD188" s="743">
        <f t="shared" si="54"/>
        <v>0</v>
      </c>
      <c r="AE188" s="1506"/>
      <c r="AF188" s="942" t="s">
        <v>178</v>
      </c>
      <c r="AG188" s="951"/>
      <c r="AH188" s="279" t="s">
        <v>178</v>
      </c>
      <c r="AI188" s="517">
        <f t="shared" si="58"/>
        <v>0</v>
      </c>
      <c r="AJ188" s="316"/>
      <c r="AK188" s="926">
        <f t="shared" si="45"/>
        <v>0</v>
      </c>
      <c r="AL188" s="973"/>
      <c r="AM188" s="314">
        <f t="shared" si="46"/>
        <v>0</v>
      </c>
    </row>
    <row r="189" spans="1:39" s="8" customFormat="1" ht="15">
      <c r="A189" s="168" t="s">
        <v>24</v>
      </c>
      <c r="B189" s="170">
        <f>B130-SUM(B131:B188)</f>
        <v>23267000</v>
      </c>
      <c r="C189" s="84"/>
      <c r="D189" s="84"/>
      <c r="E189" s="84"/>
      <c r="F189" s="84"/>
      <c r="G189" s="1951"/>
      <c r="H189" s="1957"/>
      <c r="I189" s="1006"/>
      <c r="J189" s="55"/>
      <c r="K189" s="289"/>
      <c r="L189" s="1688"/>
      <c r="M189" s="1667">
        <f>SUM(M131:M188)</f>
        <v>562953000</v>
      </c>
      <c r="N189" s="1688"/>
      <c r="O189" s="1667">
        <f>SUM(O131:O188)</f>
        <v>562953000</v>
      </c>
      <c r="P189" s="182"/>
      <c r="Q189" s="142">
        <f t="shared" ref="Q189:AD189" si="59">SUM(Q131:Q188)</f>
        <v>0</v>
      </c>
      <c r="R189" s="142">
        <f t="shared" si="59"/>
        <v>0</v>
      </c>
      <c r="S189" s="142">
        <f t="shared" si="59"/>
        <v>11774500</v>
      </c>
      <c r="T189" s="142">
        <f t="shared" si="59"/>
        <v>36595000</v>
      </c>
      <c r="U189" s="142">
        <f t="shared" si="59"/>
        <v>15915000</v>
      </c>
      <c r="V189" s="142">
        <f>SUM(V131:V188)</f>
        <v>153890200</v>
      </c>
      <c r="W189" s="142">
        <f>SUM(W131:W188)</f>
        <v>47095000</v>
      </c>
      <c r="X189" s="142">
        <f t="shared" si="59"/>
        <v>88702333</v>
      </c>
      <c r="Y189" s="142">
        <f t="shared" si="59"/>
        <v>107989600</v>
      </c>
      <c r="Z189" s="142">
        <f t="shared" si="59"/>
        <v>0</v>
      </c>
      <c r="AA189" s="142">
        <f t="shared" si="59"/>
        <v>0</v>
      </c>
      <c r="AB189" s="142">
        <f t="shared" si="59"/>
        <v>0</v>
      </c>
      <c r="AC189" s="142">
        <f t="shared" si="59"/>
        <v>461961633</v>
      </c>
      <c r="AD189" s="142">
        <f t="shared" si="59"/>
        <v>100991367</v>
      </c>
      <c r="AE189" s="234"/>
      <c r="AF189" s="907"/>
      <c r="AG189" s="313"/>
      <c r="AH189" s="313"/>
      <c r="AI189" s="525"/>
      <c r="AJ189" s="142">
        <f>SUM(AJ131:AJ188)</f>
        <v>586220000</v>
      </c>
      <c r="AK189" s="142">
        <f>SUM(AK131:AK188)</f>
        <v>23267000</v>
      </c>
      <c r="AL189" s="843">
        <f>B130-AJ189</f>
        <v>0</v>
      </c>
      <c r="AM189" s="142">
        <f>SUM(AM131:AM188)</f>
        <v>23267000</v>
      </c>
    </row>
    <row r="190" spans="1:39" s="6" customFormat="1" ht="23.25" customHeight="1">
      <c r="A190" s="729" t="s">
        <v>41</v>
      </c>
      <c r="B190" s="174">
        <f>B191+B259</f>
        <v>2771571172</v>
      </c>
      <c r="C190" s="623"/>
      <c r="D190" s="623"/>
      <c r="E190" s="623"/>
      <c r="F190" s="623"/>
      <c r="G190" s="1952"/>
      <c r="H190" s="1958"/>
      <c r="I190" s="1007"/>
      <c r="J190" s="454"/>
      <c r="K190" s="493"/>
      <c r="L190" s="1689"/>
      <c r="M190" s="1668"/>
      <c r="N190" s="1689"/>
      <c r="O190" s="1708"/>
      <c r="P190" s="446"/>
      <c r="Q190" s="447"/>
      <c r="R190" s="448"/>
      <c r="S190" s="448"/>
      <c r="T190" s="448"/>
      <c r="U190" s="448"/>
      <c r="V190" s="448"/>
      <c r="W190" s="448"/>
      <c r="X190" s="448"/>
      <c r="Y190" s="448"/>
      <c r="Z190" s="448"/>
      <c r="AA190" s="448"/>
      <c r="AB190" s="448"/>
      <c r="AC190" s="740"/>
      <c r="AD190" s="768"/>
      <c r="AE190" s="1515"/>
      <c r="AF190" s="952"/>
      <c r="AG190" s="449"/>
      <c r="AH190" s="449"/>
      <c r="AI190" s="1099"/>
      <c r="AJ190" s="450"/>
      <c r="AK190" s="953"/>
      <c r="AL190" s="973"/>
    </row>
    <row r="191" spans="1:39" s="8" customFormat="1" ht="30" customHeight="1">
      <c r="A191" s="730" t="s">
        <v>41</v>
      </c>
      <c r="B191" s="172">
        <f>2527953557+20680000+88000000+150000000-48842385+33780000</f>
        <v>2771571172</v>
      </c>
      <c r="C191" s="1319" t="s">
        <v>36</v>
      </c>
      <c r="D191" s="1320" t="s">
        <v>862</v>
      </c>
      <c r="E191" s="1611" t="s">
        <v>37</v>
      </c>
      <c r="F191" s="1612" t="s">
        <v>353</v>
      </c>
      <c r="G191" s="1953" t="s">
        <v>38</v>
      </c>
      <c r="H191" s="1959" t="s">
        <v>1386</v>
      </c>
      <c r="I191" s="1008"/>
      <c r="J191" s="734"/>
      <c r="K191" s="455"/>
      <c r="L191" s="1690"/>
      <c r="M191" s="1669"/>
      <c r="N191" s="1690"/>
      <c r="O191" s="1669"/>
      <c r="P191" s="451"/>
      <c r="Q191" s="447"/>
      <c r="R191" s="448"/>
      <c r="S191" s="448"/>
      <c r="T191" s="448"/>
      <c r="U191" s="448"/>
      <c r="V191" s="448"/>
      <c r="W191" s="448"/>
      <c r="X191" s="448"/>
      <c r="Y191" s="448"/>
      <c r="Z191" s="448"/>
      <c r="AA191" s="448"/>
      <c r="AB191" s="448"/>
      <c r="AC191" s="740">
        <f>SUM(Q191:AB191)</f>
        <v>0</v>
      </c>
      <c r="AD191" s="769"/>
      <c r="AE191" s="1506"/>
      <c r="AF191" s="954"/>
      <c r="AG191" s="452"/>
      <c r="AH191" s="452"/>
      <c r="AI191" s="1023"/>
      <c r="AJ191" s="453"/>
      <c r="AK191" s="955"/>
      <c r="AL191" s="973"/>
    </row>
    <row r="192" spans="1:39" s="8" customFormat="1">
      <c r="A192" s="88" t="s">
        <v>41</v>
      </c>
      <c r="B192" s="169">
        <f t="shared" ref="B192:B257" si="60">M192</f>
        <v>0</v>
      </c>
      <c r="C192" s="89" t="s">
        <v>36</v>
      </c>
      <c r="D192" s="89" t="s">
        <v>862</v>
      </c>
      <c r="E192" s="89" t="s">
        <v>37</v>
      </c>
      <c r="F192" s="87" t="s">
        <v>353</v>
      </c>
      <c r="G192" s="1932" t="s">
        <v>38</v>
      </c>
      <c r="H192" s="1960" t="s">
        <v>1386</v>
      </c>
      <c r="I192" s="1939">
        <v>21</v>
      </c>
      <c r="J192" s="160">
        <v>0</v>
      </c>
      <c r="K192" s="486"/>
      <c r="L192" s="1682"/>
      <c r="M192" s="1592"/>
      <c r="N192" s="1682"/>
      <c r="O192" s="1709"/>
      <c r="P192" s="237"/>
      <c r="Q192" s="230"/>
      <c r="R192" s="166"/>
      <c r="S192" s="166"/>
      <c r="T192" s="166"/>
      <c r="U192" s="166"/>
      <c r="V192" s="166"/>
      <c r="W192" s="166"/>
      <c r="X192" s="166"/>
      <c r="Y192" s="166"/>
      <c r="Z192" s="166"/>
      <c r="AA192" s="166"/>
      <c r="AB192" s="166"/>
      <c r="AC192" s="737">
        <f>SUM(Q192:AB192)</f>
        <v>0</v>
      </c>
      <c r="AD192" s="743">
        <f>O192-AC192</f>
        <v>0</v>
      </c>
      <c r="AE192" s="1506"/>
      <c r="AF192" s="942">
        <v>21</v>
      </c>
      <c r="AG192" s="322" t="s">
        <v>256</v>
      </c>
      <c r="AH192" s="328" t="s">
        <v>178</v>
      </c>
      <c r="AI192" s="517">
        <f t="shared" ref="AI192:AI257" si="61">P192</f>
        <v>0</v>
      </c>
      <c r="AJ192" s="316">
        <f>7000000-7000000</f>
        <v>0</v>
      </c>
      <c r="AK192" s="926">
        <f t="shared" ref="AK192:AK257" si="62">AJ192-O192</f>
        <v>0</v>
      </c>
      <c r="AL192" s="973"/>
      <c r="AM192" s="314">
        <f t="shared" ref="AM192:AM257" si="63">AJ192-M192</f>
        <v>0</v>
      </c>
    </row>
    <row r="193" spans="1:39" s="8" customFormat="1">
      <c r="A193" s="88" t="s">
        <v>41</v>
      </c>
      <c r="B193" s="169">
        <f t="shared" si="60"/>
        <v>61380000</v>
      </c>
      <c r="C193" s="89" t="s">
        <v>36</v>
      </c>
      <c r="D193" s="89" t="s">
        <v>862</v>
      </c>
      <c r="E193" s="89" t="s">
        <v>37</v>
      </c>
      <c r="F193" s="87" t="s">
        <v>353</v>
      </c>
      <c r="G193" s="1932" t="s">
        <v>38</v>
      </c>
      <c r="H193" s="1960" t="s">
        <v>1386</v>
      </c>
      <c r="I193" s="1939">
        <v>22</v>
      </c>
      <c r="J193" s="160">
        <v>0</v>
      </c>
      <c r="K193" s="486"/>
      <c r="L193" s="1682">
        <v>221</v>
      </c>
      <c r="M193" s="1592">
        <v>61380000</v>
      </c>
      <c r="N193" s="1682">
        <v>191</v>
      </c>
      <c r="O193" s="1703">
        <v>61380000</v>
      </c>
      <c r="P193" s="236">
        <v>188</v>
      </c>
      <c r="Q193" s="230"/>
      <c r="R193" s="166"/>
      <c r="S193" s="166">
        <v>5580000</v>
      </c>
      <c r="T193" s="166">
        <f>VLOOKUP(N193,[4]Hoja2!N$66:T$128,7,0)</f>
        <v>5580000</v>
      </c>
      <c r="U193" s="166">
        <v>5580000</v>
      </c>
      <c r="V193" s="166">
        <v>5580000</v>
      </c>
      <c r="W193" s="166">
        <v>5580000</v>
      </c>
      <c r="X193" s="166">
        <v>5580000</v>
      </c>
      <c r="Y193" s="166">
        <v>5580000</v>
      </c>
      <c r="Z193" s="166"/>
      <c r="AA193" s="166"/>
      <c r="AB193" s="166"/>
      <c r="AC193" s="737">
        <f t="shared" ref="AC193:AC257" si="64">SUM(Q193:AB193)</f>
        <v>39060000</v>
      </c>
      <c r="AD193" s="743">
        <f t="shared" ref="AD193:AD257" si="65">O193-AC193</f>
        <v>22320000</v>
      </c>
      <c r="AE193" s="1506"/>
      <c r="AF193" s="942">
        <v>22</v>
      </c>
      <c r="AG193" s="322" t="s">
        <v>257</v>
      </c>
      <c r="AH193" s="279" t="str">
        <f>VLOOKUP(N193,[5]Hoja2!J$141:N$168,5,0)</f>
        <v>MARIA ALEJANDRA TORO VESGA</v>
      </c>
      <c r="AI193" s="517">
        <f t="shared" si="61"/>
        <v>188</v>
      </c>
      <c r="AJ193" s="316">
        <v>61380000</v>
      </c>
      <c r="AK193" s="926">
        <f t="shared" si="62"/>
        <v>0</v>
      </c>
      <c r="AL193" s="973"/>
      <c r="AM193" s="314">
        <f t="shared" si="63"/>
        <v>0</v>
      </c>
    </row>
    <row r="194" spans="1:39" s="8" customFormat="1">
      <c r="A194" s="88" t="s">
        <v>41</v>
      </c>
      <c r="B194" s="169">
        <f t="shared" si="60"/>
        <v>36303381</v>
      </c>
      <c r="C194" s="89" t="s">
        <v>36</v>
      </c>
      <c r="D194" s="89" t="s">
        <v>862</v>
      </c>
      <c r="E194" s="89" t="s">
        <v>37</v>
      </c>
      <c r="F194" s="87" t="s">
        <v>353</v>
      </c>
      <c r="G194" s="1932" t="s">
        <v>38</v>
      </c>
      <c r="H194" s="1960" t="s">
        <v>1386</v>
      </c>
      <c r="I194" s="1939">
        <v>24</v>
      </c>
      <c r="J194" s="160">
        <v>0</v>
      </c>
      <c r="K194" s="486"/>
      <c r="L194" s="1682">
        <v>262</v>
      </c>
      <c r="M194" s="1592">
        <v>36303381</v>
      </c>
      <c r="N194" s="1682">
        <f>VLOOKUP(L194,[6]RP!I$194:J$247,2,0)</f>
        <v>271</v>
      </c>
      <c r="O194" s="1592">
        <v>36303381</v>
      </c>
      <c r="P194" s="237">
        <v>240</v>
      </c>
      <c r="Q194" s="230"/>
      <c r="R194" s="841"/>
      <c r="S194" s="166">
        <v>2090000</v>
      </c>
      <c r="T194" s="166">
        <v>3135000</v>
      </c>
      <c r="U194" s="166">
        <v>3135000</v>
      </c>
      <c r="V194" s="166">
        <v>3135000</v>
      </c>
      <c r="W194" s="166">
        <v>3135000</v>
      </c>
      <c r="X194" s="166">
        <v>2926000</v>
      </c>
      <c r="Y194" s="166">
        <v>3140000</v>
      </c>
      <c r="Z194" s="166"/>
      <c r="AA194" s="166"/>
      <c r="AB194" s="166"/>
      <c r="AC194" s="737">
        <f t="shared" si="64"/>
        <v>20696000</v>
      </c>
      <c r="AD194" s="743">
        <f t="shared" si="65"/>
        <v>15607381</v>
      </c>
      <c r="AE194" s="1506"/>
      <c r="AF194" s="942">
        <v>24</v>
      </c>
      <c r="AG194" s="322" t="s">
        <v>258</v>
      </c>
      <c r="AH194" s="328" t="s">
        <v>661</v>
      </c>
      <c r="AI194" s="517">
        <f t="shared" si="61"/>
        <v>240</v>
      </c>
      <c r="AJ194" s="316">
        <v>36303381</v>
      </c>
      <c r="AK194" s="926">
        <f t="shared" si="62"/>
        <v>0</v>
      </c>
      <c r="AL194" s="973"/>
      <c r="AM194" s="314">
        <f t="shared" si="63"/>
        <v>0</v>
      </c>
    </row>
    <row r="195" spans="1:39" s="8" customFormat="1">
      <c r="A195" s="88" t="s">
        <v>41</v>
      </c>
      <c r="B195" s="169">
        <f t="shared" si="60"/>
        <v>20000000</v>
      </c>
      <c r="C195" s="89" t="s">
        <v>36</v>
      </c>
      <c r="D195" s="89" t="s">
        <v>862</v>
      </c>
      <c r="E195" s="89" t="s">
        <v>37</v>
      </c>
      <c r="F195" s="87" t="s">
        <v>353</v>
      </c>
      <c r="G195" s="1932" t="s">
        <v>38</v>
      </c>
      <c r="H195" s="1960" t="s">
        <v>1386</v>
      </c>
      <c r="I195" s="1939">
        <v>26</v>
      </c>
      <c r="J195" s="160">
        <v>0</v>
      </c>
      <c r="K195" s="486"/>
      <c r="L195" s="1682">
        <v>284</v>
      </c>
      <c r="M195" s="1592">
        <v>20000000</v>
      </c>
      <c r="N195" s="1682">
        <v>300</v>
      </c>
      <c r="O195" s="1709">
        <v>20000000</v>
      </c>
      <c r="P195" s="237">
        <v>249</v>
      </c>
      <c r="Q195" s="230"/>
      <c r="R195" s="841"/>
      <c r="S195" s="166"/>
      <c r="T195" s="166"/>
      <c r="U195" s="841">
        <v>2736000</v>
      </c>
      <c r="V195" s="166">
        <v>2774000</v>
      </c>
      <c r="W195" s="166"/>
      <c r="X195" s="166">
        <v>4579000</v>
      </c>
      <c r="Y195" s="166">
        <v>1862000</v>
      </c>
      <c r="Z195" s="166"/>
      <c r="AA195" s="166"/>
      <c r="AB195" s="166"/>
      <c r="AC195" s="737">
        <f t="shared" si="64"/>
        <v>11951000</v>
      </c>
      <c r="AD195" s="743">
        <f t="shared" si="65"/>
        <v>8049000</v>
      </c>
      <c r="AE195" s="1506"/>
      <c r="AF195" s="942">
        <v>26</v>
      </c>
      <c r="AG195" s="322" t="s">
        <v>259</v>
      </c>
      <c r="AH195" s="328" t="s">
        <v>660</v>
      </c>
      <c r="AI195" s="517">
        <f t="shared" si="61"/>
        <v>249</v>
      </c>
      <c r="AJ195" s="316">
        <v>20000000</v>
      </c>
      <c r="AK195" s="926">
        <f t="shared" si="62"/>
        <v>0</v>
      </c>
      <c r="AL195" s="973"/>
      <c r="AM195" s="314">
        <f t="shared" si="63"/>
        <v>0</v>
      </c>
    </row>
    <row r="196" spans="1:39" s="8" customFormat="1">
      <c r="A196" s="88" t="s">
        <v>41</v>
      </c>
      <c r="B196" s="169">
        <f t="shared" si="60"/>
        <v>0</v>
      </c>
      <c r="C196" s="89" t="s">
        <v>36</v>
      </c>
      <c r="D196" s="89" t="s">
        <v>862</v>
      </c>
      <c r="E196" s="89" t="s">
        <v>37</v>
      </c>
      <c r="F196" s="87" t="s">
        <v>353</v>
      </c>
      <c r="G196" s="1932" t="s">
        <v>38</v>
      </c>
      <c r="H196" s="1960" t="s">
        <v>1386</v>
      </c>
      <c r="I196" s="230" t="s">
        <v>178</v>
      </c>
      <c r="J196" s="160"/>
      <c r="K196" s="486"/>
      <c r="L196" s="1682"/>
      <c r="M196" s="1592"/>
      <c r="N196" s="1682"/>
      <c r="O196" s="1709"/>
      <c r="P196" s="237">
        <v>249</v>
      </c>
      <c r="Q196" s="230"/>
      <c r="R196" s="841"/>
      <c r="S196" s="166"/>
      <c r="T196" s="166"/>
      <c r="U196" s="841"/>
      <c r="V196" s="166"/>
      <c r="W196" s="166"/>
      <c r="X196" s="166"/>
      <c r="Y196" s="166"/>
      <c r="Z196" s="166"/>
      <c r="AA196" s="166"/>
      <c r="AB196" s="166"/>
      <c r="AC196" s="737">
        <f t="shared" ref="AC196" si="66">SUM(Q196:AB196)</f>
        <v>0</v>
      </c>
      <c r="AD196" s="743">
        <f t="shared" ref="AD196" si="67">O196-AC196</f>
        <v>0</v>
      </c>
      <c r="AE196" s="1506"/>
      <c r="AF196" s="1630" t="s">
        <v>349</v>
      </c>
      <c r="AG196" s="322" t="s">
        <v>1374</v>
      </c>
      <c r="AH196" s="328" t="s">
        <v>660</v>
      </c>
      <c r="AI196" s="517">
        <f t="shared" si="61"/>
        <v>249</v>
      </c>
      <c r="AJ196" s="1628">
        <v>3000000</v>
      </c>
      <c r="AK196" s="926">
        <f t="shared" si="62"/>
        <v>3000000</v>
      </c>
      <c r="AL196" s="973"/>
      <c r="AM196" s="314"/>
    </row>
    <row r="197" spans="1:39" s="8" customFormat="1">
      <c r="A197" s="88" t="s">
        <v>41</v>
      </c>
      <c r="B197" s="169">
        <f t="shared" si="60"/>
        <v>66880000</v>
      </c>
      <c r="C197" s="89" t="s">
        <v>36</v>
      </c>
      <c r="D197" s="89" t="s">
        <v>862</v>
      </c>
      <c r="E197" s="89" t="s">
        <v>37</v>
      </c>
      <c r="F197" s="87" t="s">
        <v>353</v>
      </c>
      <c r="G197" s="1932" t="s">
        <v>38</v>
      </c>
      <c r="H197" s="1960" t="s">
        <v>1386</v>
      </c>
      <c r="I197" s="1939">
        <v>30</v>
      </c>
      <c r="J197" s="160">
        <v>0</v>
      </c>
      <c r="K197" s="486"/>
      <c r="L197" s="1682">
        <v>156</v>
      </c>
      <c r="M197" s="1592">
        <v>66880000</v>
      </c>
      <c r="N197" s="1682">
        <v>168</v>
      </c>
      <c r="O197" s="1703">
        <v>66880000</v>
      </c>
      <c r="P197" s="236">
        <v>154</v>
      </c>
      <c r="Q197" s="230"/>
      <c r="R197" s="166"/>
      <c r="S197" s="166">
        <v>6282667</v>
      </c>
      <c r="T197" s="166">
        <f>VLOOKUP(N197,[4]Hoja2!N$66:T$128,7,0)</f>
        <v>6080000</v>
      </c>
      <c r="U197" s="841">
        <v>6080000</v>
      </c>
      <c r="V197" s="166">
        <v>6080000</v>
      </c>
      <c r="W197" s="166">
        <v>6080000</v>
      </c>
      <c r="X197" s="166">
        <v>6080000</v>
      </c>
      <c r="Y197" s="166">
        <v>6080000</v>
      </c>
      <c r="Z197" s="166"/>
      <c r="AA197" s="166"/>
      <c r="AB197" s="166"/>
      <c r="AC197" s="737">
        <f t="shared" si="64"/>
        <v>42762667</v>
      </c>
      <c r="AD197" s="743">
        <f t="shared" si="65"/>
        <v>24117333</v>
      </c>
      <c r="AE197" s="1506"/>
      <c r="AF197" s="942">
        <v>30</v>
      </c>
      <c r="AG197" s="322" t="s">
        <v>260</v>
      </c>
      <c r="AH197" s="279" t="str">
        <f>VLOOKUP(N197,[5]Hoja2!J$141:N$168,5,0)</f>
        <v>CARLOS  LEMA POSADA</v>
      </c>
      <c r="AI197" s="517">
        <f t="shared" si="61"/>
        <v>154</v>
      </c>
      <c r="AJ197" s="316">
        <v>66880000</v>
      </c>
      <c r="AK197" s="926">
        <f t="shared" si="62"/>
        <v>0</v>
      </c>
      <c r="AL197" s="973"/>
      <c r="AM197" s="314">
        <f t="shared" si="63"/>
        <v>0</v>
      </c>
    </row>
    <row r="198" spans="1:39" s="8" customFormat="1">
      <c r="A198" s="88" t="s">
        <v>41</v>
      </c>
      <c r="B198" s="169">
        <f t="shared" si="60"/>
        <v>95260000</v>
      </c>
      <c r="C198" s="89" t="s">
        <v>36</v>
      </c>
      <c r="D198" s="89" t="s">
        <v>862</v>
      </c>
      <c r="E198" s="89" t="s">
        <v>37</v>
      </c>
      <c r="F198" s="87" t="s">
        <v>353</v>
      </c>
      <c r="G198" s="1932" t="s">
        <v>38</v>
      </c>
      <c r="H198" s="1960" t="s">
        <v>1386</v>
      </c>
      <c r="I198" s="1939">
        <v>31</v>
      </c>
      <c r="J198" s="160">
        <v>0</v>
      </c>
      <c r="K198" s="486"/>
      <c r="L198" s="1682">
        <v>103</v>
      </c>
      <c r="M198" s="1592">
        <v>95260000</v>
      </c>
      <c r="N198" s="1682">
        <v>115</v>
      </c>
      <c r="O198" s="1703">
        <v>95260000</v>
      </c>
      <c r="P198" s="236">
        <v>106</v>
      </c>
      <c r="Q198" s="230"/>
      <c r="R198" s="166">
        <v>2309333</v>
      </c>
      <c r="S198" s="166">
        <v>8660000</v>
      </c>
      <c r="T198" s="166">
        <f>VLOOKUP(N198,[4]Hoja2!N$66:T$128,7,0)</f>
        <v>8660000</v>
      </c>
      <c r="U198" s="166">
        <v>8660000</v>
      </c>
      <c r="V198" s="166">
        <v>8660000</v>
      </c>
      <c r="W198" s="166">
        <v>8660000</v>
      </c>
      <c r="X198" s="166">
        <v>8660000</v>
      </c>
      <c r="Y198" s="166">
        <v>8660000</v>
      </c>
      <c r="Z198" s="166"/>
      <c r="AA198" s="166"/>
      <c r="AB198" s="166"/>
      <c r="AC198" s="737">
        <f t="shared" si="64"/>
        <v>62929333</v>
      </c>
      <c r="AD198" s="743">
        <f t="shared" si="65"/>
        <v>32330667</v>
      </c>
      <c r="AE198" s="1506"/>
      <c r="AF198" s="942">
        <v>31</v>
      </c>
      <c r="AG198" s="322" t="s">
        <v>261</v>
      </c>
      <c r="AH198" s="279" t="str">
        <f>VLOOKUP(N198,[5]Hoja2!J$141:N$168,5,0)</f>
        <v>CAROLINA DEL PILAR MARTINEZ PEÑA</v>
      </c>
      <c r="AI198" s="517">
        <f t="shared" si="61"/>
        <v>106</v>
      </c>
      <c r="AJ198" s="316">
        <v>95260000</v>
      </c>
      <c r="AK198" s="926">
        <f t="shared" si="62"/>
        <v>0</v>
      </c>
      <c r="AL198" s="973"/>
      <c r="AM198" s="314">
        <f t="shared" si="63"/>
        <v>0</v>
      </c>
    </row>
    <row r="199" spans="1:39" s="8" customFormat="1">
      <c r="A199" s="88" t="s">
        <v>41</v>
      </c>
      <c r="B199" s="169">
        <f t="shared" si="60"/>
        <v>72820000</v>
      </c>
      <c r="C199" s="89" t="s">
        <v>36</v>
      </c>
      <c r="D199" s="89" t="s">
        <v>862</v>
      </c>
      <c r="E199" s="89" t="s">
        <v>37</v>
      </c>
      <c r="F199" s="87" t="s">
        <v>353</v>
      </c>
      <c r="G199" s="1932" t="s">
        <v>38</v>
      </c>
      <c r="H199" s="1960" t="s">
        <v>1386</v>
      </c>
      <c r="I199" s="1939">
        <v>32</v>
      </c>
      <c r="J199" s="160">
        <v>0</v>
      </c>
      <c r="K199" s="486"/>
      <c r="L199" s="1682">
        <v>79</v>
      </c>
      <c r="M199" s="1592">
        <v>72820000</v>
      </c>
      <c r="N199" s="1682">
        <v>129</v>
      </c>
      <c r="O199" s="1703">
        <v>72820000</v>
      </c>
      <c r="P199" s="236">
        <v>41</v>
      </c>
      <c r="Q199" s="230"/>
      <c r="R199" s="166">
        <v>1986000</v>
      </c>
      <c r="S199" s="166">
        <v>6620000</v>
      </c>
      <c r="T199" s="166">
        <f>VLOOKUP(N199,[4]Hoja2!N$66:T$128,7,0)</f>
        <v>6620000</v>
      </c>
      <c r="U199" s="166">
        <v>6620000</v>
      </c>
      <c r="V199" s="166">
        <v>6620000</v>
      </c>
      <c r="W199" s="166">
        <v>6620000</v>
      </c>
      <c r="X199" s="166"/>
      <c r="Y199" s="166">
        <v>3310000</v>
      </c>
      <c r="Z199" s="166"/>
      <c r="AA199" s="166"/>
      <c r="AB199" s="166"/>
      <c r="AC199" s="737">
        <f t="shared" si="64"/>
        <v>38396000</v>
      </c>
      <c r="AD199" s="743">
        <f t="shared" si="65"/>
        <v>34424000</v>
      </c>
      <c r="AE199" s="1506"/>
      <c r="AF199" s="942">
        <v>32</v>
      </c>
      <c r="AG199" s="322" t="s">
        <v>262</v>
      </c>
      <c r="AH199" s="279" t="str">
        <f>VLOOKUP(N199,[5]Hoja2!J$141:N$168,5,0)</f>
        <v>CATALINA  CAVELIER ADARVE</v>
      </c>
      <c r="AI199" s="517">
        <f t="shared" si="61"/>
        <v>41</v>
      </c>
      <c r="AJ199" s="316">
        <v>72820000</v>
      </c>
      <c r="AK199" s="926">
        <f t="shared" si="62"/>
        <v>0</v>
      </c>
      <c r="AL199" s="973"/>
      <c r="AM199" s="314">
        <f t="shared" si="63"/>
        <v>0</v>
      </c>
    </row>
    <row r="200" spans="1:39" s="8" customFormat="1">
      <c r="A200" s="88" t="s">
        <v>41</v>
      </c>
      <c r="B200" s="169">
        <f t="shared" si="60"/>
        <v>16740000</v>
      </c>
      <c r="C200" s="89" t="s">
        <v>36</v>
      </c>
      <c r="D200" s="89" t="s">
        <v>862</v>
      </c>
      <c r="E200" s="89" t="s">
        <v>37</v>
      </c>
      <c r="F200" s="87" t="s">
        <v>353</v>
      </c>
      <c r="G200" s="1932" t="s">
        <v>38</v>
      </c>
      <c r="H200" s="1960" t="s">
        <v>1386</v>
      </c>
      <c r="I200" s="1939">
        <v>33</v>
      </c>
      <c r="J200" s="160">
        <v>0</v>
      </c>
      <c r="K200" s="486"/>
      <c r="L200" s="1682">
        <v>247</v>
      </c>
      <c r="M200" s="1592">
        <v>16740000</v>
      </c>
      <c r="N200" s="1682">
        <f>VLOOKUP(L200,[6]RP!I$194:J$247,2,0)</f>
        <v>277</v>
      </c>
      <c r="O200" s="1703">
        <f>VLOOKUP(N200,[6]RP!J$194:V$247,13,0)</f>
        <v>16740000</v>
      </c>
      <c r="P200" s="237">
        <v>237</v>
      </c>
      <c r="Q200" s="230"/>
      <c r="R200" s="841"/>
      <c r="S200" s="166">
        <v>3534000</v>
      </c>
      <c r="T200" s="166">
        <f>VLOOKUP(N200,[4]Hoja2!N$66:T$128,7,0)</f>
        <v>5580000</v>
      </c>
      <c r="U200" s="166">
        <v>5580000</v>
      </c>
      <c r="V200" s="166">
        <v>2046000</v>
      </c>
      <c r="W200" s="166"/>
      <c r="X200" s="166"/>
      <c r="Y200" s="166"/>
      <c r="Z200" s="166"/>
      <c r="AA200" s="166"/>
      <c r="AB200" s="166"/>
      <c r="AC200" s="737">
        <f t="shared" si="64"/>
        <v>16740000</v>
      </c>
      <c r="AD200" s="743">
        <f t="shared" si="65"/>
        <v>0</v>
      </c>
      <c r="AE200" s="1506"/>
      <c r="AF200" s="942">
        <v>33</v>
      </c>
      <c r="AG200" s="322" t="s">
        <v>263</v>
      </c>
      <c r="AH200" s="328" t="s">
        <v>673</v>
      </c>
      <c r="AI200" s="517">
        <f t="shared" si="61"/>
        <v>237</v>
      </c>
      <c r="AJ200" s="316">
        <f>61380000-44640000</f>
        <v>16740000</v>
      </c>
      <c r="AK200" s="926">
        <f t="shared" si="62"/>
        <v>0</v>
      </c>
      <c r="AL200" s="973"/>
      <c r="AM200" s="314">
        <f t="shared" si="63"/>
        <v>0</v>
      </c>
    </row>
    <row r="201" spans="1:39" s="8" customFormat="1">
      <c r="A201" s="88" t="s">
        <v>41</v>
      </c>
      <c r="B201" s="169">
        <f t="shared" si="60"/>
        <v>8153864</v>
      </c>
      <c r="C201" s="89" t="s">
        <v>36</v>
      </c>
      <c r="D201" s="89" t="s">
        <v>862</v>
      </c>
      <c r="E201" s="89" t="s">
        <v>37</v>
      </c>
      <c r="F201" s="87" t="s">
        <v>353</v>
      </c>
      <c r="G201" s="1932" t="s">
        <v>38</v>
      </c>
      <c r="H201" s="1960" t="s">
        <v>1386</v>
      </c>
      <c r="I201" s="1939">
        <v>34</v>
      </c>
      <c r="J201" s="160">
        <v>0</v>
      </c>
      <c r="K201" s="486"/>
      <c r="L201" s="1682">
        <v>409</v>
      </c>
      <c r="M201" s="1592">
        <f>12000000-3846136</f>
        <v>8153864</v>
      </c>
      <c r="N201" s="1682">
        <v>577</v>
      </c>
      <c r="O201" s="1709">
        <v>8153864</v>
      </c>
      <c r="P201" s="237">
        <v>371</v>
      </c>
      <c r="Q201" s="230"/>
      <c r="R201" s="841"/>
      <c r="S201" s="166"/>
      <c r="T201" s="166"/>
      <c r="U201" s="166"/>
      <c r="V201" s="166"/>
      <c r="W201" s="166"/>
      <c r="X201" s="166">
        <v>8153864</v>
      </c>
      <c r="Y201" s="166"/>
      <c r="Z201" s="166"/>
      <c r="AA201" s="166"/>
      <c r="AB201" s="166"/>
      <c r="AC201" s="737">
        <f t="shared" si="64"/>
        <v>8153864</v>
      </c>
      <c r="AD201" s="743">
        <f t="shared" si="65"/>
        <v>0</v>
      </c>
      <c r="AE201" s="1506"/>
      <c r="AF201" s="942">
        <v>34</v>
      </c>
      <c r="AG201" s="322" t="s">
        <v>264</v>
      </c>
      <c r="AH201" s="328" t="s">
        <v>852</v>
      </c>
      <c r="AI201" s="517">
        <f t="shared" si="61"/>
        <v>371</v>
      </c>
      <c r="AJ201" s="316">
        <f>12000000-3846136</f>
        <v>8153864</v>
      </c>
      <c r="AK201" s="926">
        <f t="shared" si="62"/>
        <v>0</v>
      </c>
      <c r="AL201" s="973"/>
      <c r="AM201" s="314">
        <f t="shared" si="63"/>
        <v>0</v>
      </c>
    </row>
    <row r="202" spans="1:39" s="8" customFormat="1">
      <c r="A202" s="88" t="s">
        <v>41</v>
      </c>
      <c r="B202" s="169">
        <f t="shared" si="60"/>
        <v>4778776</v>
      </c>
      <c r="C202" s="89" t="s">
        <v>36</v>
      </c>
      <c r="D202" s="89" t="s">
        <v>862</v>
      </c>
      <c r="E202" s="89" t="s">
        <v>37</v>
      </c>
      <c r="F202" s="87" t="s">
        <v>353</v>
      </c>
      <c r="G202" s="1932" t="s">
        <v>38</v>
      </c>
      <c r="H202" s="1960" t="s">
        <v>1386</v>
      </c>
      <c r="I202" s="1939" t="s">
        <v>178</v>
      </c>
      <c r="J202" s="160"/>
      <c r="K202" s="486"/>
      <c r="L202" s="1682">
        <v>608</v>
      </c>
      <c r="M202" s="1592">
        <v>4778776</v>
      </c>
      <c r="N202" s="1682">
        <v>715</v>
      </c>
      <c r="O202" s="1592">
        <v>4778776</v>
      </c>
      <c r="P202" s="237">
        <v>371</v>
      </c>
      <c r="Q202" s="230"/>
      <c r="R202" s="841"/>
      <c r="S202" s="166"/>
      <c r="T202" s="166"/>
      <c r="U202" s="166"/>
      <c r="V202" s="166"/>
      <c r="W202" s="166"/>
      <c r="X202" s="166"/>
      <c r="Y202" s="166">
        <v>4778776</v>
      </c>
      <c r="Z202" s="166"/>
      <c r="AA202" s="166"/>
      <c r="AB202" s="166"/>
      <c r="AC202" s="737">
        <f t="shared" si="64"/>
        <v>4778776</v>
      </c>
      <c r="AD202" s="743">
        <f t="shared" si="65"/>
        <v>0</v>
      </c>
      <c r="AE202" s="1506"/>
      <c r="AF202" s="942" t="s">
        <v>349</v>
      </c>
      <c r="AG202" s="322" t="s">
        <v>1161</v>
      </c>
      <c r="AH202" s="328" t="s">
        <v>852</v>
      </c>
      <c r="AI202" s="517">
        <f t="shared" si="61"/>
        <v>371</v>
      </c>
      <c r="AJ202" s="316">
        <v>4778776</v>
      </c>
      <c r="AK202" s="926">
        <f t="shared" si="62"/>
        <v>0</v>
      </c>
      <c r="AL202" s="973"/>
      <c r="AM202" s="314">
        <f t="shared" si="63"/>
        <v>0</v>
      </c>
    </row>
    <row r="203" spans="1:39" s="8" customFormat="1">
      <c r="A203" s="88" t="s">
        <v>41</v>
      </c>
      <c r="B203" s="169">
        <f t="shared" si="60"/>
        <v>55000000</v>
      </c>
      <c r="C203" s="89" t="s">
        <v>36</v>
      </c>
      <c r="D203" s="89" t="s">
        <v>862</v>
      </c>
      <c r="E203" s="89" t="s">
        <v>37</v>
      </c>
      <c r="F203" s="87" t="s">
        <v>353</v>
      </c>
      <c r="G203" s="1932" t="s">
        <v>38</v>
      </c>
      <c r="H203" s="1960" t="s">
        <v>1386</v>
      </c>
      <c r="I203" s="1939">
        <v>35</v>
      </c>
      <c r="J203" s="160">
        <v>0</v>
      </c>
      <c r="K203" s="486"/>
      <c r="L203" s="1682">
        <v>191</v>
      </c>
      <c r="M203" s="1592">
        <v>55000000</v>
      </c>
      <c r="N203" s="1682">
        <v>192</v>
      </c>
      <c r="O203" s="1703">
        <v>55000000</v>
      </c>
      <c r="P203" s="236">
        <v>170</v>
      </c>
      <c r="Q203" s="230"/>
      <c r="R203" s="166"/>
      <c r="S203" s="166">
        <v>5000000</v>
      </c>
      <c r="T203" s="166">
        <f>VLOOKUP(N203,[4]Hoja2!N$66:T$128,7,0)</f>
        <v>5000000</v>
      </c>
      <c r="U203" s="166">
        <v>5000000</v>
      </c>
      <c r="V203" s="166">
        <v>5000000</v>
      </c>
      <c r="W203" s="166">
        <v>5000000</v>
      </c>
      <c r="X203" s="166">
        <v>5000000</v>
      </c>
      <c r="Y203" s="166">
        <v>5000000</v>
      </c>
      <c r="Z203" s="166"/>
      <c r="AA203" s="166"/>
      <c r="AB203" s="166"/>
      <c r="AC203" s="737">
        <f t="shared" si="64"/>
        <v>35000000</v>
      </c>
      <c r="AD203" s="743">
        <f t="shared" si="65"/>
        <v>20000000</v>
      </c>
      <c r="AE203" s="1506"/>
      <c r="AF203" s="942">
        <v>35</v>
      </c>
      <c r="AG203" s="322" t="s">
        <v>265</v>
      </c>
      <c r="AH203" s="279" t="str">
        <f>VLOOKUP(N203,[5]Hoja2!J$141:N$168,5,0)</f>
        <v>CONSTANZA  MEDINA DIAZ</v>
      </c>
      <c r="AI203" s="517">
        <f t="shared" si="61"/>
        <v>170</v>
      </c>
      <c r="AJ203" s="316">
        <v>55000000</v>
      </c>
      <c r="AK203" s="926">
        <f t="shared" si="62"/>
        <v>0</v>
      </c>
      <c r="AL203" s="973"/>
      <c r="AM203" s="314">
        <f t="shared" si="63"/>
        <v>0</v>
      </c>
    </row>
    <row r="204" spans="1:39" s="8" customFormat="1">
      <c r="A204" s="88" t="s">
        <v>41</v>
      </c>
      <c r="B204" s="169">
        <f t="shared" si="60"/>
        <v>65560000</v>
      </c>
      <c r="C204" s="89" t="s">
        <v>36</v>
      </c>
      <c r="D204" s="89" t="s">
        <v>862</v>
      </c>
      <c r="E204" s="89" t="s">
        <v>37</v>
      </c>
      <c r="F204" s="87" t="s">
        <v>353</v>
      </c>
      <c r="G204" s="1932" t="s">
        <v>38</v>
      </c>
      <c r="H204" s="1960" t="s">
        <v>1386</v>
      </c>
      <c r="I204" s="1939">
        <v>43</v>
      </c>
      <c r="J204" s="160">
        <v>0</v>
      </c>
      <c r="K204" s="486"/>
      <c r="L204" s="1682">
        <v>157</v>
      </c>
      <c r="M204" s="1592">
        <v>65560000</v>
      </c>
      <c r="N204" s="1682">
        <v>164</v>
      </c>
      <c r="O204" s="1703">
        <v>65560000</v>
      </c>
      <c r="P204" s="236">
        <v>146</v>
      </c>
      <c r="Q204" s="230"/>
      <c r="R204" s="166"/>
      <c r="S204" s="166">
        <v>6158667</v>
      </c>
      <c r="T204" s="166">
        <f>VLOOKUP(N204,[4]Hoja2!N$66:T$128,7,0)</f>
        <v>5960000</v>
      </c>
      <c r="U204" s="166">
        <v>5960000</v>
      </c>
      <c r="V204" s="166">
        <v>5960000</v>
      </c>
      <c r="W204" s="166">
        <v>5960000</v>
      </c>
      <c r="X204" s="166">
        <v>5960000</v>
      </c>
      <c r="Y204" s="166">
        <v>5960000</v>
      </c>
      <c r="Z204" s="166"/>
      <c r="AA204" s="166"/>
      <c r="AB204" s="166"/>
      <c r="AC204" s="737">
        <f t="shared" si="64"/>
        <v>41918667</v>
      </c>
      <c r="AD204" s="743">
        <f t="shared" si="65"/>
        <v>23641333</v>
      </c>
      <c r="AE204" s="1506"/>
      <c r="AF204" s="942">
        <v>43</v>
      </c>
      <c r="AG204" s="322" t="s">
        <v>266</v>
      </c>
      <c r="AH204" s="279" t="str">
        <f>VLOOKUP(N204,[5]Hoja2!J$141:N$168,5,0)</f>
        <v>DIEGO ANDRES MUÑOZ CASALLAS</v>
      </c>
      <c r="AI204" s="517">
        <f t="shared" si="61"/>
        <v>146</v>
      </c>
      <c r="AJ204" s="316">
        <v>65560000</v>
      </c>
      <c r="AK204" s="926">
        <f t="shared" si="62"/>
        <v>0</v>
      </c>
      <c r="AL204" s="973"/>
      <c r="AM204" s="314">
        <f t="shared" si="63"/>
        <v>0</v>
      </c>
    </row>
    <row r="205" spans="1:39" s="8" customFormat="1">
      <c r="A205" s="88" t="s">
        <v>41</v>
      </c>
      <c r="B205" s="169">
        <f t="shared" si="60"/>
        <v>88000000</v>
      </c>
      <c r="C205" s="89" t="s">
        <v>36</v>
      </c>
      <c r="D205" s="89" t="s">
        <v>862</v>
      </c>
      <c r="E205" s="89" t="s">
        <v>37</v>
      </c>
      <c r="F205" s="87" t="s">
        <v>353</v>
      </c>
      <c r="G205" s="1932" t="s">
        <v>38</v>
      </c>
      <c r="H205" s="1960" t="s">
        <v>1386</v>
      </c>
      <c r="I205" s="1939">
        <v>44</v>
      </c>
      <c r="J205" s="160">
        <v>0</v>
      </c>
      <c r="K205" s="486"/>
      <c r="L205" s="1682">
        <v>227</v>
      </c>
      <c r="M205" s="1592">
        <v>88000000</v>
      </c>
      <c r="N205" s="1682">
        <v>202</v>
      </c>
      <c r="O205" s="1703">
        <v>88000000</v>
      </c>
      <c r="P205" s="236">
        <v>181</v>
      </c>
      <c r="Q205" s="230"/>
      <c r="R205" s="166"/>
      <c r="S205" s="166">
        <v>8000000</v>
      </c>
      <c r="T205" s="166">
        <f>VLOOKUP(N205,[4]Hoja2!N$66:T$128,7,0)</f>
        <v>8000000</v>
      </c>
      <c r="U205" s="166">
        <v>8000000</v>
      </c>
      <c r="V205" s="166">
        <v>8000000</v>
      </c>
      <c r="W205" s="166">
        <v>8000000</v>
      </c>
      <c r="X205" s="166">
        <v>8000000</v>
      </c>
      <c r="Y205" s="166">
        <v>8000000</v>
      </c>
      <c r="Z205" s="166"/>
      <c r="AA205" s="166"/>
      <c r="AB205" s="166"/>
      <c r="AC205" s="737">
        <f t="shared" si="64"/>
        <v>56000000</v>
      </c>
      <c r="AD205" s="743">
        <f t="shared" si="65"/>
        <v>32000000</v>
      </c>
      <c r="AE205" s="1506"/>
      <c r="AF205" s="942">
        <v>44</v>
      </c>
      <c r="AG205" s="322" t="s">
        <v>267</v>
      </c>
      <c r="AH205" s="279" t="str">
        <f>VLOOKUP(N205,[5]Hoja2!J$141:N$168,5,0)</f>
        <v>DIEGO LUIS ROBAYO DE ANGULO</v>
      </c>
      <c r="AI205" s="517">
        <f t="shared" si="61"/>
        <v>181</v>
      </c>
      <c r="AJ205" s="316">
        <v>88000000</v>
      </c>
      <c r="AK205" s="926">
        <f t="shared" si="62"/>
        <v>0</v>
      </c>
      <c r="AL205" s="973"/>
      <c r="AM205" s="314">
        <f t="shared" si="63"/>
        <v>0</v>
      </c>
    </row>
    <row r="206" spans="1:39" s="8" customFormat="1">
      <c r="A206" s="88" t="s">
        <v>41</v>
      </c>
      <c r="B206" s="169">
        <f t="shared" si="60"/>
        <v>16000000</v>
      </c>
      <c r="C206" s="89" t="s">
        <v>36</v>
      </c>
      <c r="D206" s="89" t="s">
        <v>862</v>
      </c>
      <c r="E206" s="89" t="s">
        <v>37</v>
      </c>
      <c r="F206" s="87" t="s">
        <v>353</v>
      </c>
      <c r="G206" s="1932" t="s">
        <v>38</v>
      </c>
      <c r="H206" s="1960" t="s">
        <v>1386</v>
      </c>
      <c r="I206" s="1939">
        <v>45</v>
      </c>
      <c r="J206" s="160">
        <v>589</v>
      </c>
      <c r="K206" s="486">
        <v>16000000</v>
      </c>
      <c r="L206" s="1682">
        <v>674</v>
      </c>
      <c r="M206" s="1592">
        <v>16000000</v>
      </c>
      <c r="N206" s="1682"/>
      <c r="O206" s="1709"/>
      <c r="P206" s="237"/>
      <c r="Q206" s="230"/>
      <c r="R206" s="841"/>
      <c r="S206" s="166"/>
      <c r="T206" s="166"/>
      <c r="U206" s="166"/>
      <c r="V206" s="166"/>
      <c r="W206" s="166"/>
      <c r="X206" s="166"/>
      <c r="Y206" s="166"/>
      <c r="Z206" s="166"/>
      <c r="AA206" s="166"/>
      <c r="AB206" s="166"/>
      <c r="AC206" s="737">
        <f t="shared" si="64"/>
        <v>0</v>
      </c>
      <c r="AD206" s="743">
        <f t="shared" si="65"/>
        <v>0</v>
      </c>
      <c r="AE206" s="1506"/>
      <c r="AF206" s="942">
        <v>45</v>
      </c>
      <c r="AG206" s="322" t="s">
        <v>268</v>
      </c>
      <c r="AH206" s="328" t="s">
        <v>178</v>
      </c>
      <c r="AI206" s="517">
        <f t="shared" si="61"/>
        <v>0</v>
      </c>
      <c r="AJ206" s="316">
        <v>16000000</v>
      </c>
      <c r="AK206" s="926">
        <f t="shared" si="62"/>
        <v>16000000</v>
      </c>
      <c r="AL206" s="973"/>
      <c r="AM206" s="314">
        <f t="shared" si="63"/>
        <v>0</v>
      </c>
    </row>
    <row r="207" spans="1:39" s="8" customFormat="1">
      <c r="A207" s="88" t="s">
        <v>41</v>
      </c>
      <c r="B207" s="169">
        <f t="shared" si="60"/>
        <v>42000000</v>
      </c>
      <c r="C207" s="89" t="s">
        <v>36</v>
      </c>
      <c r="D207" s="89" t="s">
        <v>862</v>
      </c>
      <c r="E207" s="89" t="s">
        <v>37</v>
      </c>
      <c r="F207" s="87" t="s">
        <v>353</v>
      </c>
      <c r="G207" s="1932" t="s">
        <v>38</v>
      </c>
      <c r="H207" s="1960" t="s">
        <v>1386</v>
      </c>
      <c r="I207" s="1939">
        <v>47</v>
      </c>
      <c r="J207" s="160">
        <v>0</v>
      </c>
      <c r="K207" s="486"/>
      <c r="L207" s="1682">
        <v>222</v>
      </c>
      <c r="M207" s="1592">
        <f>49500000-7500000</f>
        <v>42000000</v>
      </c>
      <c r="N207" s="1682">
        <v>282</v>
      </c>
      <c r="O207" s="1703">
        <f>VLOOKUP(N207,[6]RP!J$194:V$247,13,0)</f>
        <v>42000000</v>
      </c>
      <c r="P207" s="237">
        <v>244</v>
      </c>
      <c r="Q207" s="230"/>
      <c r="R207" s="841"/>
      <c r="S207" s="166">
        <v>1600000</v>
      </c>
      <c r="T207" s="166">
        <f>VLOOKUP(N207,[4]Hoja2!N$66:T$128,7,0)</f>
        <v>4000000</v>
      </c>
      <c r="U207" s="166">
        <v>4000000</v>
      </c>
      <c r="V207" s="166">
        <v>4000000</v>
      </c>
      <c r="W207" s="166">
        <v>4000000</v>
      </c>
      <c r="X207" s="166">
        <v>4000000</v>
      </c>
      <c r="Y207" s="166">
        <v>4000000</v>
      </c>
      <c r="Z207" s="166"/>
      <c r="AA207" s="166"/>
      <c r="AB207" s="166"/>
      <c r="AC207" s="737">
        <f t="shared" si="64"/>
        <v>25600000</v>
      </c>
      <c r="AD207" s="743">
        <f t="shared" si="65"/>
        <v>16400000</v>
      </c>
      <c r="AE207" s="1506"/>
      <c r="AF207" s="942">
        <v>47</v>
      </c>
      <c r="AG207" s="322" t="s">
        <v>269</v>
      </c>
      <c r="AH207" s="328" t="s">
        <v>672</v>
      </c>
      <c r="AI207" s="517">
        <f t="shared" si="61"/>
        <v>244</v>
      </c>
      <c r="AJ207" s="316">
        <f>49500000-7500000</f>
        <v>42000000</v>
      </c>
      <c r="AK207" s="926">
        <f t="shared" si="62"/>
        <v>0</v>
      </c>
      <c r="AL207" s="973"/>
      <c r="AM207" s="314">
        <f t="shared" si="63"/>
        <v>0</v>
      </c>
    </row>
    <row r="208" spans="1:39" s="8" customFormat="1">
      <c r="A208" s="88" t="s">
        <v>41</v>
      </c>
      <c r="B208" s="169">
        <f t="shared" si="60"/>
        <v>41580000</v>
      </c>
      <c r="C208" s="89" t="s">
        <v>36</v>
      </c>
      <c r="D208" s="89" t="s">
        <v>862</v>
      </c>
      <c r="E208" s="89" t="s">
        <v>37</v>
      </c>
      <c r="F208" s="87" t="s">
        <v>353</v>
      </c>
      <c r="G208" s="1932" t="s">
        <v>38</v>
      </c>
      <c r="H208" s="1960" t="s">
        <v>1386</v>
      </c>
      <c r="I208" s="1939">
        <v>48</v>
      </c>
      <c r="J208" s="160">
        <v>0</v>
      </c>
      <c r="K208" s="486"/>
      <c r="L208" s="1682">
        <v>223</v>
      </c>
      <c r="M208" s="1592">
        <v>41580000</v>
      </c>
      <c r="N208" s="1682">
        <v>190</v>
      </c>
      <c r="O208" s="1703">
        <v>41580000</v>
      </c>
      <c r="P208" s="236">
        <v>187</v>
      </c>
      <c r="Q208" s="230"/>
      <c r="R208" s="166"/>
      <c r="S208" s="166">
        <v>3780000</v>
      </c>
      <c r="T208" s="166">
        <f>VLOOKUP(N208,[4]Hoja2!N$66:T$128,7,0)</f>
        <v>3780000</v>
      </c>
      <c r="U208" s="166">
        <v>3780000</v>
      </c>
      <c r="V208" s="166">
        <v>3780000</v>
      </c>
      <c r="W208" s="166">
        <v>3780000</v>
      </c>
      <c r="X208" s="166">
        <v>3780000</v>
      </c>
      <c r="Y208" s="166">
        <v>3780000</v>
      </c>
      <c r="Z208" s="166"/>
      <c r="AA208" s="166"/>
      <c r="AB208" s="166"/>
      <c r="AC208" s="737">
        <f t="shared" si="64"/>
        <v>26460000</v>
      </c>
      <c r="AD208" s="743">
        <f t="shared" si="65"/>
        <v>15120000</v>
      </c>
      <c r="AE208" s="1506"/>
      <c r="AF208" s="942">
        <v>48</v>
      </c>
      <c r="AG208" s="322" t="s">
        <v>270</v>
      </c>
      <c r="AH208" s="279" t="str">
        <f>VLOOKUP(N208,[5]Hoja2!J$141:N$168,5,0)</f>
        <v>edgar andres gutierrez sanchez</v>
      </c>
      <c r="AI208" s="517">
        <f t="shared" si="61"/>
        <v>187</v>
      </c>
      <c r="AJ208" s="316">
        <v>41580000</v>
      </c>
      <c r="AK208" s="926">
        <f t="shared" si="62"/>
        <v>0</v>
      </c>
      <c r="AL208" s="973"/>
      <c r="AM208" s="314">
        <f t="shared" si="63"/>
        <v>0</v>
      </c>
    </row>
    <row r="209" spans="1:39" s="8" customFormat="1">
      <c r="A209" s="88" t="s">
        <v>41</v>
      </c>
      <c r="B209" s="169">
        <f t="shared" si="60"/>
        <v>45935000</v>
      </c>
      <c r="C209" s="89" t="s">
        <v>36</v>
      </c>
      <c r="D209" s="89" t="s">
        <v>862</v>
      </c>
      <c r="E209" s="89" t="s">
        <v>37</v>
      </c>
      <c r="F209" s="87" t="s">
        <v>353</v>
      </c>
      <c r="G209" s="1932" t="s">
        <v>38</v>
      </c>
      <c r="H209" s="1960" t="s">
        <v>1386</v>
      </c>
      <c r="I209" s="1939">
        <v>49</v>
      </c>
      <c r="J209" s="160">
        <v>0</v>
      </c>
      <c r="K209" s="486"/>
      <c r="L209" s="1682">
        <v>263</v>
      </c>
      <c r="M209" s="1592">
        <v>45935000</v>
      </c>
      <c r="N209" s="1682">
        <f>VLOOKUP(L209,[6]RP!I$194:J$247,2,0)</f>
        <v>268</v>
      </c>
      <c r="O209" s="1592">
        <v>45935000</v>
      </c>
      <c r="P209" s="237">
        <v>238</v>
      </c>
      <c r="Q209" s="230"/>
      <c r="R209" s="841"/>
      <c r="S209" s="166">
        <v>2090000</v>
      </c>
      <c r="T209" s="166">
        <v>3135000</v>
      </c>
      <c r="U209" s="166">
        <v>3135000</v>
      </c>
      <c r="V209" s="166">
        <v>3135000</v>
      </c>
      <c r="W209" s="166">
        <v>3135000</v>
      </c>
      <c r="X209" s="166"/>
      <c r="Y209" s="166"/>
      <c r="Z209" s="166"/>
      <c r="AA209" s="166"/>
      <c r="AB209" s="166"/>
      <c r="AC209" s="737">
        <f t="shared" si="64"/>
        <v>14630000</v>
      </c>
      <c r="AD209" s="743">
        <f t="shared" si="65"/>
        <v>31305000</v>
      </c>
      <c r="AE209" s="1506"/>
      <c r="AF209" s="942">
        <v>49</v>
      </c>
      <c r="AG209" s="322" t="s">
        <v>271</v>
      </c>
      <c r="AH209" s="328" t="s">
        <v>662</v>
      </c>
      <c r="AI209" s="517">
        <f t="shared" si="61"/>
        <v>238</v>
      </c>
      <c r="AJ209" s="316">
        <v>45935000</v>
      </c>
      <c r="AK209" s="926">
        <f t="shared" si="62"/>
        <v>0</v>
      </c>
      <c r="AL209" s="973"/>
      <c r="AM209" s="314">
        <f t="shared" si="63"/>
        <v>0</v>
      </c>
    </row>
    <row r="210" spans="1:39" s="8" customFormat="1">
      <c r="A210" s="88" t="s">
        <v>41</v>
      </c>
      <c r="B210" s="169">
        <f t="shared" si="60"/>
        <v>19980000</v>
      </c>
      <c r="C210" s="89" t="s">
        <v>36</v>
      </c>
      <c r="D210" s="89" t="s">
        <v>862</v>
      </c>
      <c r="E210" s="89" t="s">
        <v>37</v>
      </c>
      <c r="F210" s="87" t="s">
        <v>353</v>
      </c>
      <c r="G210" s="1932" t="s">
        <v>38</v>
      </c>
      <c r="H210" s="1960" t="s">
        <v>1386</v>
      </c>
      <c r="I210" s="1939">
        <v>50</v>
      </c>
      <c r="J210" s="160">
        <v>0</v>
      </c>
      <c r="K210" s="486"/>
      <c r="L210" s="1682">
        <v>287</v>
      </c>
      <c r="M210" s="1592">
        <v>19980000</v>
      </c>
      <c r="N210" s="1682">
        <v>329</v>
      </c>
      <c r="O210" s="1709">
        <v>19980000</v>
      </c>
      <c r="P210" s="237">
        <v>251</v>
      </c>
      <c r="Q210" s="230"/>
      <c r="R210" s="841"/>
      <c r="S210" s="166"/>
      <c r="T210" s="166">
        <f>VLOOKUP(N210,[4]Hoja2!N$66:T$128,7,0)</f>
        <v>3996000</v>
      </c>
      <c r="U210" s="166">
        <v>6660000</v>
      </c>
      <c r="V210" s="166">
        <v>6660000</v>
      </c>
      <c r="W210" s="166"/>
      <c r="X210" s="166"/>
      <c r="Y210" s="166"/>
      <c r="Z210" s="166"/>
      <c r="AA210" s="166"/>
      <c r="AB210" s="166"/>
      <c r="AC210" s="737">
        <f t="shared" si="64"/>
        <v>17316000</v>
      </c>
      <c r="AD210" s="743">
        <f t="shared" si="65"/>
        <v>2664000</v>
      </c>
      <c r="AE210" s="1506"/>
      <c r="AF210" s="942">
        <v>50</v>
      </c>
      <c r="AG210" s="322" t="s">
        <v>272</v>
      </c>
      <c r="AH210" s="328" t="s">
        <v>812</v>
      </c>
      <c r="AI210" s="517">
        <f t="shared" si="61"/>
        <v>251</v>
      </c>
      <c r="AJ210" s="316">
        <v>19980000</v>
      </c>
      <c r="AK210" s="926">
        <f t="shared" si="62"/>
        <v>0</v>
      </c>
      <c r="AL210" s="973"/>
      <c r="AM210" s="314">
        <f t="shared" si="63"/>
        <v>0</v>
      </c>
    </row>
    <row r="211" spans="1:39" s="8" customFormat="1">
      <c r="A211" s="88" t="s">
        <v>41</v>
      </c>
      <c r="B211" s="169">
        <f t="shared" si="60"/>
        <v>46000000</v>
      </c>
      <c r="C211" s="89" t="s">
        <v>36</v>
      </c>
      <c r="D211" s="89" t="s">
        <v>862</v>
      </c>
      <c r="E211" s="89" t="s">
        <v>37</v>
      </c>
      <c r="F211" s="87" t="s">
        <v>353</v>
      </c>
      <c r="G211" s="1932" t="s">
        <v>38</v>
      </c>
      <c r="H211" s="1960" t="s">
        <v>1386</v>
      </c>
      <c r="I211" s="1939">
        <v>52</v>
      </c>
      <c r="J211" s="160">
        <v>0</v>
      </c>
      <c r="K211" s="486"/>
      <c r="L211" s="1682">
        <v>259</v>
      </c>
      <c r="M211" s="1592">
        <v>46000000</v>
      </c>
      <c r="N211" s="1682">
        <v>269</v>
      </c>
      <c r="O211" s="1703">
        <v>46000000</v>
      </c>
      <c r="P211" s="237">
        <v>243</v>
      </c>
      <c r="Q211" s="230"/>
      <c r="R211" s="841"/>
      <c r="S211" s="166">
        <v>2453333</v>
      </c>
      <c r="T211" s="166">
        <f>VLOOKUP(N211,[4]Hoja2!N$66:T$128,7,0)</f>
        <v>4600000</v>
      </c>
      <c r="U211" s="166">
        <v>4600000</v>
      </c>
      <c r="V211" s="166">
        <v>4600000</v>
      </c>
      <c r="W211" s="166">
        <v>4600000</v>
      </c>
      <c r="X211" s="166">
        <v>4600000</v>
      </c>
      <c r="Y211" s="166">
        <v>4600000</v>
      </c>
      <c r="Z211" s="166"/>
      <c r="AA211" s="166"/>
      <c r="AB211" s="166"/>
      <c r="AC211" s="737">
        <f t="shared" si="64"/>
        <v>30053333</v>
      </c>
      <c r="AD211" s="743">
        <f t="shared" si="65"/>
        <v>15946667</v>
      </c>
      <c r="AE211" s="1506"/>
      <c r="AF211" s="942">
        <v>52</v>
      </c>
      <c r="AG211" s="322" t="s">
        <v>273</v>
      </c>
      <c r="AH211" s="328" t="s">
        <v>671</v>
      </c>
      <c r="AI211" s="517">
        <f t="shared" si="61"/>
        <v>243</v>
      </c>
      <c r="AJ211" s="316">
        <v>46000000</v>
      </c>
      <c r="AK211" s="926">
        <f t="shared" si="62"/>
        <v>0</v>
      </c>
      <c r="AL211" s="973"/>
      <c r="AM211" s="314">
        <f t="shared" si="63"/>
        <v>0</v>
      </c>
    </row>
    <row r="212" spans="1:39" s="8" customFormat="1">
      <c r="A212" s="88" t="s">
        <v>41</v>
      </c>
      <c r="B212" s="169">
        <f t="shared" si="60"/>
        <v>10000000</v>
      </c>
      <c r="C212" s="89" t="s">
        <v>36</v>
      </c>
      <c r="D212" s="89" t="s">
        <v>862</v>
      </c>
      <c r="E212" s="89" t="s">
        <v>37</v>
      </c>
      <c r="F212" s="87" t="s">
        <v>353</v>
      </c>
      <c r="G212" s="1932" t="s">
        <v>38</v>
      </c>
      <c r="H212" s="1960" t="s">
        <v>1386</v>
      </c>
      <c r="I212" s="1939">
        <v>54</v>
      </c>
      <c r="J212" s="160">
        <v>0</v>
      </c>
      <c r="K212" s="486"/>
      <c r="L212" s="1682">
        <v>266</v>
      </c>
      <c r="M212" s="1592">
        <v>10000000</v>
      </c>
      <c r="N212" s="1682">
        <v>295</v>
      </c>
      <c r="O212" s="1703">
        <v>10000000</v>
      </c>
      <c r="P212" s="237">
        <v>253</v>
      </c>
      <c r="Q212" s="230"/>
      <c r="R212" s="841"/>
      <c r="S212" s="166">
        <v>400000</v>
      </c>
      <c r="T212" s="166">
        <f>VLOOKUP(N212,[4]Hoja2!N$66:T$128,7,0)</f>
        <v>1000000</v>
      </c>
      <c r="U212" s="166">
        <v>1000000</v>
      </c>
      <c r="V212" s="166">
        <v>1000000</v>
      </c>
      <c r="W212" s="166">
        <v>1000000</v>
      </c>
      <c r="X212" s="166">
        <v>1000000</v>
      </c>
      <c r="Y212" s="166">
        <v>1000000</v>
      </c>
      <c r="Z212" s="166"/>
      <c r="AA212" s="166"/>
      <c r="AB212" s="166"/>
      <c r="AC212" s="737">
        <f t="shared" si="64"/>
        <v>6400000</v>
      </c>
      <c r="AD212" s="743">
        <f t="shared" si="65"/>
        <v>3600000</v>
      </c>
      <c r="AE212" s="1506"/>
      <c r="AF212" s="942">
        <v>54</v>
      </c>
      <c r="AG212" s="322" t="s">
        <v>274</v>
      </c>
      <c r="AH212" s="328" t="s">
        <v>670</v>
      </c>
      <c r="AI212" s="517">
        <f t="shared" si="61"/>
        <v>253</v>
      </c>
      <c r="AJ212" s="316">
        <v>10000000</v>
      </c>
      <c r="AK212" s="926">
        <f t="shared" si="62"/>
        <v>0</v>
      </c>
      <c r="AL212" s="973"/>
      <c r="AM212" s="314">
        <f t="shared" si="63"/>
        <v>0</v>
      </c>
    </row>
    <row r="213" spans="1:39" s="8" customFormat="1">
      <c r="A213" s="88" t="s">
        <v>41</v>
      </c>
      <c r="B213" s="169">
        <f t="shared" si="60"/>
        <v>39600000</v>
      </c>
      <c r="C213" s="89" t="s">
        <v>36</v>
      </c>
      <c r="D213" s="89" t="s">
        <v>862</v>
      </c>
      <c r="E213" s="89" t="s">
        <v>37</v>
      </c>
      <c r="F213" s="87" t="s">
        <v>353</v>
      </c>
      <c r="G213" s="1932" t="s">
        <v>38</v>
      </c>
      <c r="H213" s="1960" t="s">
        <v>1386</v>
      </c>
      <c r="I213" s="1939">
        <v>56</v>
      </c>
      <c r="J213" s="160">
        <v>0</v>
      </c>
      <c r="K213" s="486"/>
      <c r="L213" s="1682">
        <v>65</v>
      </c>
      <c r="M213" s="1592">
        <v>39600000</v>
      </c>
      <c r="N213" s="1682">
        <v>36</v>
      </c>
      <c r="O213" s="1703">
        <v>39600000</v>
      </c>
      <c r="P213" s="236">
        <v>23</v>
      </c>
      <c r="Q213" s="230"/>
      <c r="R213" s="166">
        <v>1200000</v>
      </c>
      <c r="S213" s="166">
        <v>3600000</v>
      </c>
      <c r="T213" s="166">
        <f>VLOOKUP(N213,[4]Hoja2!N$66:T$128,7,0)</f>
        <v>3600000</v>
      </c>
      <c r="U213" s="841">
        <v>3600000</v>
      </c>
      <c r="V213" s="166">
        <v>3600000</v>
      </c>
      <c r="W213" s="166">
        <v>3600000</v>
      </c>
      <c r="X213" s="166">
        <v>3600000</v>
      </c>
      <c r="Y213" s="166">
        <v>3600000</v>
      </c>
      <c r="Z213" s="166"/>
      <c r="AA213" s="166"/>
      <c r="AB213" s="166"/>
      <c r="AC213" s="737">
        <f t="shared" si="64"/>
        <v>26400000</v>
      </c>
      <c r="AD213" s="743">
        <f t="shared" si="65"/>
        <v>13200000</v>
      </c>
      <c r="AE213" s="1506"/>
      <c r="AF213" s="942">
        <v>56</v>
      </c>
      <c r="AG213" s="322" t="s">
        <v>275</v>
      </c>
      <c r="AH213" s="279" t="str">
        <f>VLOOKUP(N213,[5]Hoja2!J$141:N$168,5,0)</f>
        <v>GLORIA LIDIA RODRIGUEZ CASTRO</v>
      </c>
      <c r="AI213" s="517">
        <f t="shared" si="61"/>
        <v>23</v>
      </c>
      <c r="AJ213" s="316">
        <v>39600000</v>
      </c>
      <c r="AK213" s="926">
        <f t="shared" si="62"/>
        <v>0</v>
      </c>
      <c r="AL213" s="973"/>
      <c r="AM213" s="314">
        <f t="shared" si="63"/>
        <v>0</v>
      </c>
    </row>
    <row r="214" spans="1:39" s="8" customFormat="1">
      <c r="A214" s="88" t="s">
        <v>41</v>
      </c>
      <c r="B214" s="169">
        <f t="shared" si="60"/>
        <v>70620000</v>
      </c>
      <c r="C214" s="89" t="s">
        <v>36</v>
      </c>
      <c r="D214" s="89" t="s">
        <v>862</v>
      </c>
      <c r="E214" s="89" t="s">
        <v>37</v>
      </c>
      <c r="F214" s="87" t="s">
        <v>353</v>
      </c>
      <c r="G214" s="1932" t="s">
        <v>38</v>
      </c>
      <c r="H214" s="1960" t="s">
        <v>1386</v>
      </c>
      <c r="I214" s="1939">
        <v>57</v>
      </c>
      <c r="J214" s="160">
        <v>0</v>
      </c>
      <c r="K214" s="486"/>
      <c r="L214" s="1682">
        <v>158</v>
      </c>
      <c r="M214" s="1592">
        <v>70620000</v>
      </c>
      <c r="N214" s="1682">
        <v>165</v>
      </c>
      <c r="O214" s="1703">
        <v>70620000</v>
      </c>
      <c r="P214" s="236">
        <v>144</v>
      </c>
      <c r="Q214" s="230"/>
      <c r="R214" s="166"/>
      <c r="S214" s="166">
        <v>5136000</v>
      </c>
      <c r="T214" s="166">
        <f>VLOOKUP(N214,[4]Hoja2!N$66:T$128,7,0)</f>
        <v>6420000</v>
      </c>
      <c r="U214" s="166">
        <v>6420000</v>
      </c>
      <c r="V214" s="166">
        <v>6420000</v>
      </c>
      <c r="W214" s="166">
        <v>6420000</v>
      </c>
      <c r="X214" s="166">
        <v>6420000</v>
      </c>
      <c r="Y214" s="166">
        <v>6420000</v>
      </c>
      <c r="Z214" s="166"/>
      <c r="AA214" s="166"/>
      <c r="AB214" s="166"/>
      <c r="AC214" s="737">
        <f t="shared" si="64"/>
        <v>43656000</v>
      </c>
      <c r="AD214" s="743">
        <f t="shared" si="65"/>
        <v>26964000</v>
      </c>
      <c r="AE214" s="1506"/>
      <c r="AF214" s="942">
        <v>57</v>
      </c>
      <c r="AG214" s="322" t="s">
        <v>276</v>
      </c>
      <c r="AH214" s="279" t="str">
        <f>VLOOKUP(N214,[5]Hoja2!J$141:N$168,5,0)</f>
        <v>HANZ  RIPPE GABRIEL</v>
      </c>
      <c r="AI214" s="517">
        <f t="shared" si="61"/>
        <v>144</v>
      </c>
      <c r="AJ214" s="316">
        <v>70620000</v>
      </c>
      <c r="AK214" s="926">
        <f t="shared" si="62"/>
        <v>0</v>
      </c>
      <c r="AL214" s="973"/>
      <c r="AM214" s="314">
        <f t="shared" si="63"/>
        <v>0</v>
      </c>
    </row>
    <row r="215" spans="1:39" s="8" customFormat="1">
      <c r="A215" s="88" t="s">
        <v>41</v>
      </c>
      <c r="B215" s="169">
        <f t="shared" si="60"/>
        <v>20000000</v>
      </c>
      <c r="C215" s="89" t="s">
        <v>36</v>
      </c>
      <c r="D215" s="89" t="s">
        <v>862</v>
      </c>
      <c r="E215" s="89" t="s">
        <v>37</v>
      </c>
      <c r="F215" s="87" t="s">
        <v>353</v>
      </c>
      <c r="G215" s="1932" t="s">
        <v>38</v>
      </c>
      <c r="H215" s="1960" t="s">
        <v>1386</v>
      </c>
      <c r="I215" s="1939">
        <v>59</v>
      </c>
      <c r="J215" s="160">
        <v>0</v>
      </c>
      <c r="K215" s="486"/>
      <c r="L215" s="1682">
        <v>299</v>
      </c>
      <c r="M215" s="1592">
        <v>20000000</v>
      </c>
      <c r="N215" s="1682">
        <v>324</v>
      </c>
      <c r="O215" s="1709">
        <v>20000000</v>
      </c>
      <c r="P215" s="237">
        <v>263</v>
      </c>
      <c r="Q215" s="230"/>
      <c r="R215" s="841"/>
      <c r="S215" s="166"/>
      <c r="T215" s="166">
        <f>VLOOKUP(N215,[4]Hoja2!N$66:T$128,7,0)</f>
        <v>4333333</v>
      </c>
      <c r="U215" s="841">
        <v>5000000</v>
      </c>
      <c r="V215" s="166">
        <v>5000000</v>
      </c>
      <c r="W215" s="166">
        <v>5000000</v>
      </c>
      <c r="X215" s="166"/>
      <c r="Y215" s="166">
        <v>666667</v>
      </c>
      <c r="Z215" s="166"/>
      <c r="AA215" s="166"/>
      <c r="AB215" s="166"/>
      <c r="AC215" s="737">
        <f t="shared" si="64"/>
        <v>20000000</v>
      </c>
      <c r="AD215" s="743">
        <f t="shared" si="65"/>
        <v>0</v>
      </c>
      <c r="AE215" s="1506"/>
      <c r="AF215" s="942">
        <v>59</v>
      </c>
      <c r="AG215" s="322" t="s">
        <v>277</v>
      </c>
      <c r="AH215" s="328" t="s">
        <v>810</v>
      </c>
      <c r="AI215" s="517">
        <f t="shared" si="61"/>
        <v>263</v>
      </c>
      <c r="AJ215" s="316">
        <v>20000000</v>
      </c>
      <c r="AK215" s="926">
        <f t="shared" si="62"/>
        <v>0</v>
      </c>
      <c r="AL215" s="973"/>
      <c r="AM215" s="314">
        <f t="shared" si="63"/>
        <v>0</v>
      </c>
    </row>
    <row r="216" spans="1:39" s="8" customFormat="1">
      <c r="A216" s="88" t="s">
        <v>41</v>
      </c>
      <c r="B216" s="169">
        <f t="shared" si="60"/>
        <v>71500000</v>
      </c>
      <c r="C216" s="89" t="s">
        <v>36</v>
      </c>
      <c r="D216" s="89" t="s">
        <v>862</v>
      </c>
      <c r="E216" s="89" t="s">
        <v>37</v>
      </c>
      <c r="F216" s="87" t="s">
        <v>353</v>
      </c>
      <c r="G216" s="1932" t="s">
        <v>38</v>
      </c>
      <c r="H216" s="1960" t="s">
        <v>1386</v>
      </c>
      <c r="I216" s="1939">
        <v>64</v>
      </c>
      <c r="J216" s="160">
        <v>0</v>
      </c>
      <c r="K216" s="486"/>
      <c r="L216" s="1682">
        <v>39</v>
      </c>
      <c r="M216" s="1592">
        <v>71500000</v>
      </c>
      <c r="N216" s="1682">
        <v>37</v>
      </c>
      <c r="O216" s="1703">
        <v>71500000</v>
      </c>
      <c r="P216" s="236">
        <v>25</v>
      </c>
      <c r="Q216" s="230"/>
      <c r="R216" s="166">
        <v>2816667</v>
      </c>
      <c r="S216" s="166">
        <v>6500000</v>
      </c>
      <c r="T216" s="166">
        <f>VLOOKUP(N216,[4]Hoja2!N$66:T$128,7,0)</f>
        <v>6500000</v>
      </c>
      <c r="U216" s="841">
        <v>6500000</v>
      </c>
      <c r="V216" s="166">
        <v>6500000</v>
      </c>
      <c r="W216" s="166">
        <v>6500000</v>
      </c>
      <c r="X216" s="166">
        <v>6500000</v>
      </c>
      <c r="Y216" s="166">
        <v>6500000</v>
      </c>
      <c r="Z216" s="166"/>
      <c r="AA216" s="166"/>
      <c r="AB216" s="166"/>
      <c r="AC216" s="737">
        <f t="shared" si="64"/>
        <v>48316667</v>
      </c>
      <c r="AD216" s="743">
        <f t="shared" si="65"/>
        <v>23183333</v>
      </c>
      <c r="AE216" s="1506"/>
      <c r="AF216" s="942">
        <v>64</v>
      </c>
      <c r="AG216" s="322" t="s">
        <v>278</v>
      </c>
      <c r="AH216" s="279" t="str">
        <f>VLOOKUP(N216,[5]Hoja2!J$141:N$168,5,0)</f>
        <v>JUAN PABLO HENAO VALLEJO</v>
      </c>
      <c r="AI216" s="517">
        <f t="shared" si="61"/>
        <v>25</v>
      </c>
      <c r="AJ216" s="316">
        <v>71500000</v>
      </c>
      <c r="AK216" s="926">
        <f t="shared" si="62"/>
        <v>0</v>
      </c>
      <c r="AL216" s="973"/>
      <c r="AM216" s="314">
        <f t="shared" si="63"/>
        <v>0</v>
      </c>
    </row>
    <row r="217" spans="1:39" s="8" customFormat="1">
      <c r="A217" s="88" t="s">
        <v>41</v>
      </c>
      <c r="B217" s="169">
        <f t="shared" si="60"/>
        <v>47300000</v>
      </c>
      <c r="C217" s="89" t="s">
        <v>36</v>
      </c>
      <c r="D217" s="89" t="s">
        <v>862</v>
      </c>
      <c r="E217" s="89" t="s">
        <v>37</v>
      </c>
      <c r="F217" s="87" t="s">
        <v>353</v>
      </c>
      <c r="G217" s="1932" t="s">
        <v>38</v>
      </c>
      <c r="H217" s="1960" t="s">
        <v>1386</v>
      </c>
      <c r="I217" s="1939">
        <v>65</v>
      </c>
      <c r="J217" s="160">
        <v>0</v>
      </c>
      <c r="K217" s="486"/>
      <c r="L217" s="1682">
        <v>178</v>
      </c>
      <c r="M217" s="1592">
        <v>47300000</v>
      </c>
      <c r="N217" s="1682">
        <v>180</v>
      </c>
      <c r="O217" s="1703">
        <v>47300000</v>
      </c>
      <c r="P217" s="236">
        <v>160</v>
      </c>
      <c r="Q217" s="230"/>
      <c r="R217" s="166"/>
      <c r="S217" s="166">
        <v>4443333</v>
      </c>
      <c r="T217" s="166">
        <f>VLOOKUP(N217,[4]Hoja2!N$66:T$128,7,0)</f>
        <v>4300000</v>
      </c>
      <c r="U217" s="166">
        <v>4300000</v>
      </c>
      <c r="V217" s="166">
        <v>4300000</v>
      </c>
      <c r="W217" s="166">
        <v>4300000</v>
      </c>
      <c r="X217" s="166">
        <v>4300000</v>
      </c>
      <c r="Y217" s="166">
        <v>4300000</v>
      </c>
      <c r="Z217" s="166"/>
      <c r="AA217" s="166"/>
      <c r="AB217" s="166"/>
      <c r="AC217" s="737">
        <f t="shared" si="64"/>
        <v>30243333</v>
      </c>
      <c r="AD217" s="743">
        <f t="shared" si="65"/>
        <v>17056667</v>
      </c>
      <c r="AE217" s="1506"/>
      <c r="AF217" s="942">
        <v>65</v>
      </c>
      <c r="AG217" s="322" t="s">
        <v>279</v>
      </c>
      <c r="AH217" s="279" t="str">
        <f>VLOOKUP(N217,[5]Hoja2!J$141:N$168,5,0)</f>
        <v>JUAN SEBASTIAN PINTO MUÑOZ</v>
      </c>
      <c r="AI217" s="517">
        <f t="shared" si="61"/>
        <v>160</v>
      </c>
      <c r="AJ217" s="316">
        <f>72820000-25520000</f>
        <v>47300000</v>
      </c>
      <c r="AK217" s="926">
        <f t="shared" si="62"/>
        <v>0</v>
      </c>
      <c r="AL217" s="973"/>
      <c r="AM217" s="314">
        <f t="shared" si="63"/>
        <v>0</v>
      </c>
    </row>
    <row r="218" spans="1:39" s="8" customFormat="1">
      <c r="A218" s="88" t="s">
        <v>41</v>
      </c>
      <c r="B218" s="169">
        <f t="shared" si="60"/>
        <v>49500000</v>
      </c>
      <c r="C218" s="89" t="s">
        <v>36</v>
      </c>
      <c r="D218" s="89" t="s">
        <v>862</v>
      </c>
      <c r="E218" s="89" t="s">
        <v>37</v>
      </c>
      <c r="F218" s="87" t="s">
        <v>353</v>
      </c>
      <c r="G218" s="1932" t="s">
        <v>38</v>
      </c>
      <c r="H218" s="1960" t="s">
        <v>1386</v>
      </c>
      <c r="I218" s="1939">
        <v>67</v>
      </c>
      <c r="J218" s="160">
        <v>0</v>
      </c>
      <c r="K218" s="486"/>
      <c r="L218" s="1682">
        <v>190</v>
      </c>
      <c r="M218" s="1592">
        <v>49500000</v>
      </c>
      <c r="N218" s="1682">
        <v>176</v>
      </c>
      <c r="O218" s="1703">
        <v>49500000</v>
      </c>
      <c r="P218" s="236">
        <v>168</v>
      </c>
      <c r="Q218" s="230"/>
      <c r="R218" s="166"/>
      <c r="S218" s="166">
        <v>4650000</v>
      </c>
      <c r="T218" s="166">
        <f>VLOOKUP(N218,[4]Hoja2!N$66:T$128,7,0)</f>
        <v>4500000</v>
      </c>
      <c r="U218" s="166">
        <v>4500000</v>
      </c>
      <c r="V218" s="166">
        <v>4500000</v>
      </c>
      <c r="W218" s="166">
        <v>4500000</v>
      </c>
      <c r="X218" s="166">
        <v>4500000</v>
      </c>
      <c r="Y218" s="166">
        <v>4500000</v>
      </c>
      <c r="Z218" s="166"/>
      <c r="AA218" s="166"/>
      <c r="AB218" s="166"/>
      <c r="AC218" s="737">
        <f t="shared" si="64"/>
        <v>31650000</v>
      </c>
      <c r="AD218" s="743">
        <f t="shared" si="65"/>
        <v>17850000</v>
      </c>
      <c r="AE218" s="1506"/>
      <c r="AF218" s="942">
        <v>67</v>
      </c>
      <c r="AG218" s="322" t="s">
        <v>280</v>
      </c>
      <c r="AH218" s="279" t="str">
        <f>VLOOKUP(N218,[5]Hoja2!J$141:N$168,5,0)</f>
        <v>LAURA  MEJIA TORRES</v>
      </c>
      <c r="AI218" s="517">
        <f t="shared" si="61"/>
        <v>168</v>
      </c>
      <c r="AJ218" s="316">
        <v>49500000</v>
      </c>
      <c r="AK218" s="926">
        <f t="shared" si="62"/>
        <v>0</v>
      </c>
      <c r="AL218" s="973"/>
      <c r="AM218" s="314">
        <f t="shared" si="63"/>
        <v>0</v>
      </c>
    </row>
    <row r="219" spans="1:39" s="8" customFormat="1">
      <c r="A219" s="88" t="s">
        <v>41</v>
      </c>
      <c r="B219" s="169">
        <f t="shared" si="60"/>
        <v>65560000</v>
      </c>
      <c r="C219" s="89" t="s">
        <v>36</v>
      </c>
      <c r="D219" s="89" t="s">
        <v>862</v>
      </c>
      <c r="E219" s="89" t="s">
        <v>37</v>
      </c>
      <c r="F219" s="87" t="s">
        <v>353</v>
      </c>
      <c r="G219" s="1932" t="s">
        <v>38</v>
      </c>
      <c r="H219" s="1960" t="s">
        <v>1386</v>
      </c>
      <c r="I219" s="1939">
        <v>68</v>
      </c>
      <c r="J219" s="160">
        <v>0</v>
      </c>
      <c r="K219" s="486"/>
      <c r="L219" s="1682">
        <v>225</v>
      </c>
      <c r="M219" s="1592">
        <v>65560000</v>
      </c>
      <c r="N219" s="1682">
        <v>223</v>
      </c>
      <c r="O219" s="1703">
        <v>65560000</v>
      </c>
      <c r="P219" s="237">
        <v>195</v>
      </c>
      <c r="Q219" s="230"/>
      <c r="R219" s="841"/>
      <c r="S219" s="166">
        <v>5364000</v>
      </c>
      <c r="T219" s="166">
        <f>VLOOKUP(N219,[4]Hoja2!N$66:T$128,7,0)</f>
        <v>5960000</v>
      </c>
      <c r="U219" s="166">
        <v>5960000</v>
      </c>
      <c r="V219" s="166">
        <v>5960000</v>
      </c>
      <c r="W219" s="166">
        <v>5960000</v>
      </c>
      <c r="X219" s="166">
        <v>5960000</v>
      </c>
      <c r="Y219" s="166">
        <v>5960000</v>
      </c>
      <c r="Z219" s="166"/>
      <c r="AA219" s="166"/>
      <c r="AB219" s="166"/>
      <c r="AC219" s="737">
        <f t="shared" si="64"/>
        <v>41124000</v>
      </c>
      <c r="AD219" s="743">
        <f t="shared" si="65"/>
        <v>24436000</v>
      </c>
      <c r="AE219" s="1506"/>
      <c r="AF219" s="942">
        <v>68</v>
      </c>
      <c r="AG219" s="322" t="s">
        <v>281</v>
      </c>
      <c r="AH219" s="328" t="s">
        <v>669</v>
      </c>
      <c r="AI219" s="517">
        <f t="shared" si="61"/>
        <v>195</v>
      </c>
      <c r="AJ219" s="316">
        <v>65560000</v>
      </c>
      <c r="AK219" s="926">
        <f t="shared" si="62"/>
        <v>0</v>
      </c>
      <c r="AL219" s="973"/>
      <c r="AM219" s="314">
        <f t="shared" si="63"/>
        <v>0</v>
      </c>
    </row>
    <row r="220" spans="1:39" s="8" customFormat="1">
      <c r="A220" s="88" t="s">
        <v>41</v>
      </c>
      <c r="B220" s="169">
        <f t="shared" si="60"/>
        <v>0</v>
      </c>
      <c r="C220" s="89" t="s">
        <v>36</v>
      </c>
      <c r="D220" s="89" t="s">
        <v>862</v>
      </c>
      <c r="E220" s="89" t="s">
        <v>37</v>
      </c>
      <c r="F220" s="87" t="s">
        <v>353</v>
      </c>
      <c r="G220" s="1932" t="s">
        <v>38</v>
      </c>
      <c r="H220" s="1960" t="s">
        <v>1386</v>
      </c>
      <c r="I220" s="1939">
        <v>69</v>
      </c>
      <c r="J220" s="160">
        <v>0</v>
      </c>
      <c r="K220" s="486"/>
      <c r="L220" s="1682"/>
      <c r="M220" s="1592"/>
      <c r="N220" s="1682"/>
      <c r="O220" s="1709"/>
      <c r="P220" s="237"/>
      <c r="Q220" s="230"/>
      <c r="R220" s="841"/>
      <c r="S220" s="166"/>
      <c r="T220" s="166"/>
      <c r="U220" s="166"/>
      <c r="V220" s="166"/>
      <c r="W220" s="166"/>
      <c r="X220" s="166"/>
      <c r="Y220" s="166"/>
      <c r="Z220" s="166"/>
      <c r="AA220" s="166"/>
      <c r="AB220" s="166"/>
      <c r="AC220" s="737">
        <f t="shared" si="64"/>
        <v>0</v>
      </c>
      <c r="AD220" s="743">
        <f t="shared" si="65"/>
        <v>0</v>
      </c>
      <c r="AE220" s="1506"/>
      <c r="AF220" s="942">
        <v>69</v>
      </c>
      <c r="AG220" s="322" t="s">
        <v>282</v>
      </c>
      <c r="AH220" s="328" t="s">
        <v>178</v>
      </c>
      <c r="AI220" s="517">
        <f t="shared" si="61"/>
        <v>0</v>
      </c>
      <c r="AJ220" s="316">
        <f>10575000-2000000</f>
        <v>8575000</v>
      </c>
      <c r="AK220" s="926">
        <f t="shared" si="62"/>
        <v>8575000</v>
      </c>
      <c r="AL220" s="973"/>
      <c r="AM220" s="314">
        <f t="shared" si="63"/>
        <v>8575000</v>
      </c>
    </row>
    <row r="221" spans="1:39" s="8" customFormat="1">
      <c r="A221" s="88" t="s">
        <v>41</v>
      </c>
      <c r="B221" s="169">
        <f t="shared" si="60"/>
        <v>37800000</v>
      </c>
      <c r="C221" s="89" t="s">
        <v>36</v>
      </c>
      <c r="D221" s="89" t="s">
        <v>862</v>
      </c>
      <c r="E221" s="89" t="s">
        <v>37</v>
      </c>
      <c r="F221" s="87" t="s">
        <v>353</v>
      </c>
      <c r="G221" s="1932" t="s">
        <v>38</v>
      </c>
      <c r="H221" s="1960" t="s">
        <v>1386</v>
      </c>
      <c r="I221" s="1939">
        <v>72</v>
      </c>
      <c r="J221" s="160">
        <v>0</v>
      </c>
      <c r="K221" s="486"/>
      <c r="L221" s="1682">
        <v>362</v>
      </c>
      <c r="M221" s="1592">
        <v>37800000</v>
      </c>
      <c r="N221" s="1682">
        <v>382</v>
      </c>
      <c r="O221" s="1709">
        <v>37800000</v>
      </c>
      <c r="P221" s="237">
        <v>291</v>
      </c>
      <c r="Q221" s="230"/>
      <c r="R221" s="841"/>
      <c r="S221" s="166"/>
      <c r="T221" s="166">
        <f>VLOOKUP(N221,[4]Hoja2!N$66:T$128,7,0)</f>
        <v>1540000</v>
      </c>
      <c r="U221" s="166">
        <v>4200000</v>
      </c>
      <c r="V221" s="166">
        <v>4200000</v>
      </c>
      <c r="W221" s="166">
        <v>4200000</v>
      </c>
      <c r="X221" s="166">
        <v>4200000</v>
      </c>
      <c r="Y221" s="166">
        <v>4200000</v>
      </c>
      <c r="Z221" s="166"/>
      <c r="AA221" s="166"/>
      <c r="AB221" s="166"/>
      <c r="AC221" s="737">
        <f t="shared" si="64"/>
        <v>22540000</v>
      </c>
      <c r="AD221" s="743">
        <f t="shared" si="65"/>
        <v>15260000</v>
      </c>
      <c r="AE221" s="1506"/>
      <c r="AF221" s="942">
        <v>72</v>
      </c>
      <c r="AG221" s="322" t="s">
        <v>256</v>
      </c>
      <c r="AH221" s="328" t="s">
        <v>846</v>
      </c>
      <c r="AI221" s="517">
        <f t="shared" si="61"/>
        <v>291</v>
      </c>
      <c r="AJ221" s="316">
        <v>37800000</v>
      </c>
      <c r="AK221" s="926">
        <f t="shared" si="62"/>
        <v>0</v>
      </c>
      <c r="AL221" s="973"/>
      <c r="AM221" s="314">
        <f t="shared" si="63"/>
        <v>0</v>
      </c>
    </row>
    <row r="222" spans="1:39" s="8" customFormat="1">
      <c r="A222" s="88" t="s">
        <v>41</v>
      </c>
      <c r="B222" s="169">
        <f t="shared" si="60"/>
        <v>65560000</v>
      </c>
      <c r="C222" s="89" t="s">
        <v>36</v>
      </c>
      <c r="D222" s="89" t="s">
        <v>862</v>
      </c>
      <c r="E222" s="89" t="s">
        <v>37</v>
      </c>
      <c r="F222" s="87" t="s">
        <v>353</v>
      </c>
      <c r="G222" s="1932" t="s">
        <v>38</v>
      </c>
      <c r="H222" s="1960" t="s">
        <v>1386</v>
      </c>
      <c r="I222" s="1939">
        <v>73</v>
      </c>
      <c r="J222" s="160">
        <v>0</v>
      </c>
      <c r="K222" s="486"/>
      <c r="L222" s="1682">
        <v>159</v>
      </c>
      <c r="M222" s="1592">
        <v>65560000</v>
      </c>
      <c r="N222" s="1682">
        <v>181</v>
      </c>
      <c r="O222" s="1703">
        <v>65560000</v>
      </c>
      <c r="P222" s="236">
        <v>143</v>
      </c>
      <c r="Q222" s="230"/>
      <c r="R222" s="166"/>
      <c r="S222" s="166">
        <v>6158667</v>
      </c>
      <c r="T222" s="166">
        <f>VLOOKUP(N222,[4]Hoja2!N$66:T$128,7,0)</f>
        <v>5960000</v>
      </c>
      <c r="U222" s="166">
        <v>5960000</v>
      </c>
      <c r="V222" s="166">
        <v>5960000</v>
      </c>
      <c r="W222" s="166">
        <v>5960000</v>
      </c>
      <c r="X222" s="166">
        <v>5960000</v>
      </c>
      <c r="Y222" s="166">
        <v>5960000</v>
      </c>
      <c r="Z222" s="166"/>
      <c r="AA222" s="166"/>
      <c r="AB222" s="166"/>
      <c r="AC222" s="737">
        <f t="shared" si="64"/>
        <v>41918667</v>
      </c>
      <c r="AD222" s="743">
        <f t="shared" si="65"/>
        <v>23641333</v>
      </c>
      <c r="AE222" s="1506"/>
      <c r="AF222" s="942">
        <v>73</v>
      </c>
      <c r="AG222" s="322" t="s">
        <v>283</v>
      </c>
      <c r="AH222" s="279" t="str">
        <f>VLOOKUP(N222,[5]Hoja2!J$141:N$168,5,0)</f>
        <v>LUIS ALFREDO BARON LEAL</v>
      </c>
      <c r="AI222" s="517">
        <f t="shared" si="61"/>
        <v>143</v>
      </c>
      <c r="AJ222" s="316">
        <v>65560000</v>
      </c>
      <c r="AK222" s="926">
        <f t="shared" si="62"/>
        <v>0</v>
      </c>
      <c r="AL222" s="973"/>
      <c r="AM222" s="314">
        <f t="shared" si="63"/>
        <v>0</v>
      </c>
    </row>
    <row r="223" spans="1:39" s="8" customFormat="1">
      <c r="A223" s="88" t="s">
        <v>41</v>
      </c>
      <c r="B223" s="169">
        <f t="shared" si="60"/>
        <v>40950000</v>
      </c>
      <c r="C223" s="89" t="s">
        <v>36</v>
      </c>
      <c r="D223" s="89" t="s">
        <v>862</v>
      </c>
      <c r="E223" s="89" t="s">
        <v>37</v>
      </c>
      <c r="F223" s="87" t="s">
        <v>353</v>
      </c>
      <c r="G223" s="1932" t="s">
        <v>38</v>
      </c>
      <c r="H223" s="1960" t="s">
        <v>1386</v>
      </c>
      <c r="I223" s="1939">
        <v>77</v>
      </c>
      <c r="J223" s="160">
        <v>0</v>
      </c>
      <c r="K223" s="486"/>
      <c r="L223" s="1682">
        <v>288</v>
      </c>
      <c r="M223" s="1592">
        <v>40950000</v>
      </c>
      <c r="N223" s="1682">
        <v>283</v>
      </c>
      <c r="O223" s="1709">
        <v>40950000</v>
      </c>
      <c r="P223" s="237">
        <v>252</v>
      </c>
      <c r="Q223" s="230"/>
      <c r="R223" s="841"/>
      <c r="S223" s="166">
        <v>1560000</v>
      </c>
      <c r="T223" s="166">
        <f>VLOOKUP(N223,[4]Hoja2!N$66:T$128,7,0)</f>
        <v>3900000</v>
      </c>
      <c r="U223" s="841">
        <v>3900000</v>
      </c>
      <c r="V223" s="166">
        <v>3900000</v>
      </c>
      <c r="W223" s="166">
        <v>3900000</v>
      </c>
      <c r="X223" s="166">
        <v>3900000</v>
      </c>
      <c r="Y223" s="166">
        <v>3900000</v>
      </c>
      <c r="Z223" s="166"/>
      <c r="AA223" s="166"/>
      <c r="AB223" s="166"/>
      <c r="AC223" s="737">
        <f t="shared" si="64"/>
        <v>24960000</v>
      </c>
      <c r="AD223" s="743">
        <f t="shared" si="65"/>
        <v>15990000</v>
      </c>
      <c r="AE223" s="1506"/>
      <c r="AF223" s="942">
        <v>77</v>
      </c>
      <c r="AG223" s="322" t="s">
        <v>284</v>
      </c>
      <c r="AH223" s="328" t="s">
        <v>686</v>
      </c>
      <c r="AI223" s="517">
        <f t="shared" si="61"/>
        <v>252</v>
      </c>
      <c r="AJ223" s="316">
        <f>42900000-1950000</f>
        <v>40950000</v>
      </c>
      <c r="AK223" s="926">
        <f t="shared" si="62"/>
        <v>0</v>
      </c>
      <c r="AL223" s="973"/>
      <c r="AM223" s="314">
        <f t="shared" si="63"/>
        <v>0</v>
      </c>
    </row>
    <row r="224" spans="1:39" s="8" customFormat="1">
      <c r="A224" s="88" t="s">
        <v>41</v>
      </c>
      <c r="B224" s="169">
        <f t="shared" si="60"/>
        <v>50600000</v>
      </c>
      <c r="C224" s="89" t="s">
        <v>36</v>
      </c>
      <c r="D224" s="89" t="s">
        <v>862</v>
      </c>
      <c r="E224" s="89" t="s">
        <v>37</v>
      </c>
      <c r="F224" s="87" t="s">
        <v>353</v>
      </c>
      <c r="G224" s="1932" t="s">
        <v>38</v>
      </c>
      <c r="H224" s="1960" t="s">
        <v>1386</v>
      </c>
      <c r="I224" s="1939">
        <v>83</v>
      </c>
      <c r="J224" s="160">
        <v>0</v>
      </c>
      <c r="K224" s="486"/>
      <c r="L224" s="1682">
        <v>172</v>
      </c>
      <c r="M224" s="1592">
        <v>50600000</v>
      </c>
      <c r="N224" s="1682">
        <v>167</v>
      </c>
      <c r="O224" s="1703">
        <v>50600000</v>
      </c>
      <c r="P224" s="236">
        <v>148</v>
      </c>
      <c r="Q224" s="230"/>
      <c r="R224" s="166"/>
      <c r="S224" s="166">
        <v>4753333</v>
      </c>
      <c r="T224" s="166">
        <f>VLOOKUP(N224,[4]Hoja2!N$66:T$128,7,0)</f>
        <v>4600000</v>
      </c>
      <c r="U224" s="166">
        <v>4600000</v>
      </c>
      <c r="V224" s="166">
        <v>4600000</v>
      </c>
      <c r="W224" s="166">
        <v>4600000</v>
      </c>
      <c r="X224" s="166">
        <v>4600000</v>
      </c>
      <c r="Y224" s="166">
        <v>4600000</v>
      </c>
      <c r="Z224" s="166"/>
      <c r="AA224" s="166"/>
      <c r="AB224" s="166"/>
      <c r="AC224" s="737">
        <f t="shared" si="64"/>
        <v>32353333</v>
      </c>
      <c r="AD224" s="743">
        <f t="shared" si="65"/>
        <v>18246667</v>
      </c>
      <c r="AE224" s="1506"/>
      <c r="AF224" s="942">
        <v>83</v>
      </c>
      <c r="AG224" s="322" t="s">
        <v>285</v>
      </c>
      <c r="AH224" s="279" t="str">
        <f>VLOOKUP(N224,[5]Hoja2!J$141:N$168,5,0)</f>
        <v>MONICA ANDREA SARMIENTO ROA</v>
      </c>
      <c r="AI224" s="517">
        <f t="shared" si="61"/>
        <v>148</v>
      </c>
      <c r="AJ224" s="316">
        <v>50600000</v>
      </c>
      <c r="AK224" s="926">
        <f t="shared" si="62"/>
        <v>0</v>
      </c>
      <c r="AL224" s="973"/>
      <c r="AM224" s="314">
        <f t="shared" si="63"/>
        <v>0</v>
      </c>
    </row>
    <row r="225" spans="1:39" s="8" customFormat="1">
      <c r="A225" s="88" t="s">
        <v>41</v>
      </c>
      <c r="B225" s="169">
        <f t="shared" si="60"/>
        <v>72800000</v>
      </c>
      <c r="C225" s="89" t="s">
        <v>36</v>
      </c>
      <c r="D225" s="89" t="s">
        <v>862</v>
      </c>
      <c r="E225" s="89" t="s">
        <v>37</v>
      </c>
      <c r="F225" s="87" t="s">
        <v>353</v>
      </c>
      <c r="G225" s="1932" t="s">
        <v>38</v>
      </c>
      <c r="H225" s="1960" t="s">
        <v>1386</v>
      </c>
      <c r="I225" s="1939">
        <v>86</v>
      </c>
      <c r="J225" s="160">
        <v>0</v>
      </c>
      <c r="K225" s="486"/>
      <c r="L225" s="1682">
        <v>264</v>
      </c>
      <c r="M225" s="1592">
        <v>72800000</v>
      </c>
      <c r="N225" s="1682">
        <v>265</v>
      </c>
      <c r="O225" s="1703">
        <v>72800000</v>
      </c>
      <c r="P225" s="237">
        <v>239</v>
      </c>
      <c r="Q225" s="230"/>
      <c r="R225" s="166"/>
      <c r="S225" s="166">
        <v>4550000</v>
      </c>
      <c r="T225" s="166">
        <f>VLOOKUP(N225,[4]Hoja2!N$66:T$128,7,0)</f>
        <v>6825000</v>
      </c>
      <c r="U225" s="841">
        <v>6825000</v>
      </c>
      <c r="V225" s="166">
        <v>6825000</v>
      </c>
      <c r="W225" s="166">
        <v>6825000</v>
      </c>
      <c r="X225" s="166">
        <v>3867500</v>
      </c>
      <c r="Y225" s="166">
        <v>6825000</v>
      </c>
      <c r="Z225" s="166"/>
      <c r="AA225" s="166"/>
      <c r="AB225" s="166"/>
      <c r="AC225" s="737">
        <f t="shared" si="64"/>
        <v>42542500</v>
      </c>
      <c r="AD225" s="743">
        <f t="shared" si="65"/>
        <v>30257500</v>
      </c>
      <c r="AE225" s="1506"/>
      <c r="AF225" s="942">
        <v>86</v>
      </c>
      <c r="AG225" s="322" t="s">
        <v>286</v>
      </c>
      <c r="AH225" s="328" t="s">
        <v>668</v>
      </c>
      <c r="AI225" s="517">
        <f t="shared" si="61"/>
        <v>239</v>
      </c>
      <c r="AJ225" s="316">
        <f>72820000-20000</f>
        <v>72800000</v>
      </c>
      <c r="AK225" s="926">
        <f t="shared" si="62"/>
        <v>0</v>
      </c>
      <c r="AL225" s="973"/>
      <c r="AM225" s="314">
        <f t="shared" si="63"/>
        <v>0</v>
      </c>
    </row>
    <row r="226" spans="1:39" s="8" customFormat="1">
      <c r="A226" s="88" t="s">
        <v>41</v>
      </c>
      <c r="B226" s="169">
        <f t="shared" si="60"/>
        <v>12000000</v>
      </c>
      <c r="C226" s="89" t="s">
        <v>36</v>
      </c>
      <c r="D226" s="89" t="s">
        <v>862</v>
      </c>
      <c r="E226" s="89" t="s">
        <v>37</v>
      </c>
      <c r="F226" s="87" t="s">
        <v>353</v>
      </c>
      <c r="G226" s="1932" t="s">
        <v>38</v>
      </c>
      <c r="H226" s="1960" t="s">
        <v>1386</v>
      </c>
      <c r="I226" s="1939">
        <v>87</v>
      </c>
      <c r="J226" s="160">
        <v>0</v>
      </c>
      <c r="K226" s="486"/>
      <c r="L226" s="1682">
        <v>300</v>
      </c>
      <c r="M226" s="1592">
        <v>12000000</v>
      </c>
      <c r="N226" s="1682">
        <v>302</v>
      </c>
      <c r="O226" s="1709">
        <v>12000000</v>
      </c>
      <c r="P226" s="237">
        <v>268</v>
      </c>
      <c r="Q226" s="230"/>
      <c r="R226" s="166"/>
      <c r="S226" s="166"/>
      <c r="T226" s="166">
        <f>VLOOKUP(N226,[4]Hoja2!N$66:T$128,7,0)</f>
        <v>7000000</v>
      </c>
      <c r="U226" s="166"/>
      <c r="V226" s="166">
        <v>5000000</v>
      </c>
      <c r="W226" s="166"/>
      <c r="X226" s="166"/>
      <c r="Y226" s="166"/>
      <c r="Z226" s="166"/>
      <c r="AA226" s="166"/>
      <c r="AB226" s="166"/>
      <c r="AC226" s="737">
        <f t="shared" si="64"/>
        <v>12000000</v>
      </c>
      <c r="AD226" s="743">
        <f t="shared" si="65"/>
        <v>0</v>
      </c>
      <c r="AE226" s="1506"/>
      <c r="AF226" s="942">
        <v>87</v>
      </c>
      <c r="AG226" s="322" t="s">
        <v>287</v>
      </c>
      <c r="AH226" s="328" t="s">
        <v>779</v>
      </c>
      <c r="AI226" s="517">
        <f t="shared" si="61"/>
        <v>268</v>
      </c>
      <c r="AJ226" s="316">
        <v>12000000</v>
      </c>
      <c r="AK226" s="926">
        <f t="shared" si="62"/>
        <v>0</v>
      </c>
      <c r="AL226" s="973"/>
      <c r="AM226" s="314">
        <f t="shared" si="63"/>
        <v>0</v>
      </c>
    </row>
    <row r="227" spans="1:39" s="8" customFormat="1">
      <c r="A227" s="88" t="s">
        <v>41</v>
      </c>
      <c r="B227" s="169">
        <f t="shared" si="60"/>
        <v>20000000</v>
      </c>
      <c r="C227" s="89" t="s">
        <v>36</v>
      </c>
      <c r="D227" s="89" t="s">
        <v>862</v>
      </c>
      <c r="E227" s="89" t="s">
        <v>37</v>
      </c>
      <c r="F227" s="87" t="s">
        <v>353</v>
      </c>
      <c r="G227" s="1932" t="s">
        <v>38</v>
      </c>
      <c r="H227" s="1960" t="s">
        <v>1386</v>
      </c>
      <c r="I227" s="1939">
        <v>88</v>
      </c>
      <c r="J227" s="160">
        <v>0</v>
      </c>
      <c r="K227" s="486"/>
      <c r="L227" s="1682">
        <v>296</v>
      </c>
      <c r="M227" s="1592">
        <v>20000000</v>
      </c>
      <c r="N227" s="1682">
        <v>312</v>
      </c>
      <c r="O227" s="1709">
        <v>20000000</v>
      </c>
      <c r="P227" s="237">
        <v>261</v>
      </c>
      <c r="Q227" s="230"/>
      <c r="R227" s="166"/>
      <c r="S227" s="166"/>
      <c r="T227" s="166">
        <f>VLOOKUP(N227,[4]Hoja2!N$66:T$128,7,0)</f>
        <v>5500000</v>
      </c>
      <c r="U227" s="841">
        <v>5000000</v>
      </c>
      <c r="V227" s="166">
        <v>5000000</v>
      </c>
      <c r="W227" s="166"/>
      <c r="X227" s="166"/>
      <c r="Y227" s="166"/>
      <c r="Z227" s="166"/>
      <c r="AA227" s="166"/>
      <c r="AB227" s="166"/>
      <c r="AC227" s="737">
        <f t="shared" si="64"/>
        <v>15500000</v>
      </c>
      <c r="AD227" s="743">
        <f t="shared" si="65"/>
        <v>4500000</v>
      </c>
      <c r="AE227" s="1506"/>
      <c r="AF227" s="942">
        <v>88</v>
      </c>
      <c r="AG227" s="322" t="s">
        <v>288</v>
      </c>
      <c r="AH227" s="328" t="s">
        <v>811</v>
      </c>
      <c r="AI227" s="517">
        <f t="shared" si="61"/>
        <v>261</v>
      </c>
      <c r="AJ227" s="316">
        <v>20000000</v>
      </c>
      <c r="AK227" s="926">
        <f t="shared" si="62"/>
        <v>0</v>
      </c>
      <c r="AL227" s="973"/>
      <c r="AM227" s="314">
        <f t="shared" si="63"/>
        <v>0</v>
      </c>
    </row>
    <row r="228" spans="1:39" s="8" customFormat="1">
      <c r="A228" s="88" t="s">
        <v>41</v>
      </c>
      <c r="B228" s="169">
        <f t="shared" si="60"/>
        <v>49500000</v>
      </c>
      <c r="C228" s="89" t="s">
        <v>36</v>
      </c>
      <c r="D228" s="89" t="s">
        <v>862</v>
      </c>
      <c r="E228" s="89" t="s">
        <v>37</v>
      </c>
      <c r="F228" s="87" t="s">
        <v>353</v>
      </c>
      <c r="G228" s="1932" t="s">
        <v>38</v>
      </c>
      <c r="H228" s="1960" t="s">
        <v>1386</v>
      </c>
      <c r="I228" s="1939">
        <v>90</v>
      </c>
      <c r="J228" s="160">
        <v>0</v>
      </c>
      <c r="K228" s="486"/>
      <c r="L228" s="1682">
        <v>345</v>
      </c>
      <c r="M228" s="1592">
        <v>49500000</v>
      </c>
      <c r="N228" s="1682">
        <v>403</v>
      </c>
      <c r="O228" s="1592">
        <v>49500000</v>
      </c>
      <c r="P228" s="237">
        <v>304</v>
      </c>
      <c r="Q228" s="230"/>
      <c r="R228" s="166"/>
      <c r="S228" s="166"/>
      <c r="T228" s="166"/>
      <c r="U228" s="841">
        <v>5866667</v>
      </c>
      <c r="V228" s="166">
        <v>5500000</v>
      </c>
      <c r="W228" s="166">
        <v>5500000</v>
      </c>
      <c r="X228" s="166">
        <v>5500000</v>
      </c>
      <c r="Y228" s="166">
        <v>5500000</v>
      </c>
      <c r="Z228" s="166"/>
      <c r="AA228" s="166"/>
      <c r="AB228" s="166"/>
      <c r="AC228" s="737">
        <f t="shared" si="64"/>
        <v>27866667</v>
      </c>
      <c r="AD228" s="743">
        <f t="shared" si="65"/>
        <v>21633333</v>
      </c>
      <c r="AE228" s="1506"/>
      <c r="AF228" s="942">
        <v>90</v>
      </c>
      <c r="AG228" s="322" t="s">
        <v>289</v>
      </c>
      <c r="AH228" s="328" t="s">
        <v>855</v>
      </c>
      <c r="AI228" s="517">
        <f t="shared" si="61"/>
        <v>304</v>
      </c>
      <c r="AJ228" s="316">
        <v>49500000</v>
      </c>
      <c r="AK228" s="926">
        <f t="shared" si="62"/>
        <v>0</v>
      </c>
      <c r="AL228" s="973"/>
      <c r="AM228" s="314">
        <f t="shared" si="63"/>
        <v>0</v>
      </c>
    </row>
    <row r="229" spans="1:39" s="8" customFormat="1">
      <c r="A229" s="88" t="s">
        <v>41</v>
      </c>
      <c r="B229" s="169">
        <f t="shared" si="60"/>
        <v>66000000</v>
      </c>
      <c r="C229" s="89" t="s">
        <v>36</v>
      </c>
      <c r="D229" s="89" t="s">
        <v>862</v>
      </c>
      <c r="E229" s="89" t="s">
        <v>37</v>
      </c>
      <c r="F229" s="87" t="s">
        <v>353</v>
      </c>
      <c r="G229" s="1932" t="s">
        <v>38</v>
      </c>
      <c r="H229" s="1960" t="s">
        <v>1386</v>
      </c>
      <c r="I229" s="1939">
        <v>91</v>
      </c>
      <c r="J229" s="160">
        <v>0</v>
      </c>
      <c r="K229" s="486"/>
      <c r="L229" s="1682">
        <v>192</v>
      </c>
      <c r="M229" s="1592">
        <v>66000000</v>
      </c>
      <c r="N229" s="1682">
        <v>246</v>
      </c>
      <c r="O229" s="1703">
        <v>66000000</v>
      </c>
      <c r="P229" s="237">
        <v>185</v>
      </c>
      <c r="Q229" s="230"/>
      <c r="R229" s="166"/>
      <c r="S229" s="166">
        <v>5000000</v>
      </c>
      <c r="T229" s="166">
        <f>VLOOKUP(N229,[4]Hoja2!N$66:T$128,7,0)</f>
        <v>6000000</v>
      </c>
      <c r="U229" s="166">
        <v>6000000</v>
      </c>
      <c r="V229" s="166">
        <v>6000000</v>
      </c>
      <c r="W229" s="166">
        <v>6000000</v>
      </c>
      <c r="X229" s="166">
        <v>6000000</v>
      </c>
      <c r="Y229" s="166">
        <v>6000000</v>
      </c>
      <c r="Z229" s="166"/>
      <c r="AA229" s="166"/>
      <c r="AB229" s="166"/>
      <c r="AC229" s="737">
        <f t="shared" si="64"/>
        <v>41000000</v>
      </c>
      <c r="AD229" s="743">
        <f t="shared" si="65"/>
        <v>25000000</v>
      </c>
      <c r="AE229" s="1506"/>
      <c r="AF229" s="942">
        <v>91</v>
      </c>
      <c r="AG229" s="322" t="s">
        <v>290</v>
      </c>
      <c r="AH229" s="328" t="s">
        <v>667</v>
      </c>
      <c r="AI229" s="517">
        <f t="shared" si="61"/>
        <v>185</v>
      </c>
      <c r="AJ229" s="316">
        <v>66000000</v>
      </c>
      <c r="AK229" s="926">
        <f t="shared" si="62"/>
        <v>0</v>
      </c>
      <c r="AL229" s="973"/>
      <c r="AM229" s="314">
        <f t="shared" si="63"/>
        <v>0</v>
      </c>
    </row>
    <row r="230" spans="1:39" s="8" customFormat="1">
      <c r="A230" s="88" t="s">
        <v>41</v>
      </c>
      <c r="B230" s="169">
        <f t="shared" si="60"/>
        <v>27500000</v>
      </c>
      <c r="C230" s="89" t="s">
        <v>36</v>
      </c>
      <c r="D230" s="89" t="s">
        <v>862</v>
      </c>
      <c r="E230" s="89" t="s">
        <v>37</v>
      </c>
      <c r="F230" s="87" t="s">
        <v>353</v>
      </c>
      <c r="G230" s="1932" t="s">
        <v>38</v>
      </c>
      <c r="H230" s="1960" t="s">
        <v>1386</v>
      </c>
      <c r="I230" s="1939">
        <v>92</v>
      </c>
      <c r="J230" s="160">
        <v>0</v>
      </c>
      <c r="K230" s="486"/>
      <c r="L230" s="1682">
        <v>193</v>
      </c>
      <c r="M230" s="1592">
        <f>55000000-27500000</f>
        <v>27500000</v>
      </c>
      <c r="N230" s="1682">
        <v>225</v>
      </c>
      <c r="O230" s="1703">
        <f>55000000-27500000</f>
        <v>27500000</v>
      </c>
      <c r="P230" s="237">
        <v>184</v>
      </c>
      <c r="Q230" s="230"/>
      <c r="R230" s="166"/>
      <c r="S230" s="166">
        <v>4333333</v>
      </c>
      <c r="T230" s="166">
        <f>VLOOKUP(N230,[4]Hoja2!N$66:T$128,7,0)</f>
        <v>5000000</v>
      </c>
      <c r="U230" s="166">
        <v>5000000</v>
      </c>
      <c r="V230" s="166">
        <v>5000000</v>
      </c>
      <c r="W230" s="166">
        <v>5000000</v>
      </c>
      <c r="X230" s="166">
        <v>3166666</v>
      </c>
      <c r="Y230" s="166"/>
      <c r="Z230" s="166"/>
      <c r="AA230" s="166"/>
      <c r="AB230" s="166"/>
      <c r="AC230" s="737">
        <f t="shared" si="64"/>
        <v>27499999</v>
      </c>
      <c r="AD230" s="743">
        <f t="shared" si="65"/>
        <v>1</v>
      </c>
      <c r="AE230" s="1506"/>
      <c r="AF230" s="942">
        <v>92</v>
      </c>
      <c r="AG230" s="322" t="s">
        <v>291</v>
      </c>
      <c r="AH230" s="328" t="s">
        <v>666</v>
      </c>
      <c r="AI230" s="517">
        <f t="shared" si="61"/>
        <v>184</v>
      </c>
      <c r="AJ230" s="316">
        <f>55000000-27500000</f>
        <v>27500000</v>
      </c>
      <c r="AK230" s="926">
        <f t="shared" si="62"/>
        <v>0</v>
      </c>
      <c r="AL230" s="973"/>
      <c r="AM230" s="314">
        <f t="shared" si="63"/>
        <v>0</v>
      </c>
    </row>
    <row r="231" spans="1:39" s="8" customFormat="1">
      <c r="A231" s="88" t="s">
        <v>41</v>
      </c>
      <c r="B231" s="169">
        <f t="shared" si="60"/>
        <v>20000000</v>
      </c>
      <c r="C231" s="89" t="s">
        <v>36</v>
      </c>
      <c r="D231" s="89" t="s">
        <v>862</v>
      </c>
      <c r="E231" s="89" t="s">
        <v>37</v>
      </c>
      <c r="F231" s="87" t="s">
        <v>353</v>
      </c>
      <c r="G231" s="1932" t="s">
        <v>38</v>
      </c>
      <c r="H231" s="1960" t="s">
        <v>1386</v>
      </c>
      <c r="I231" s="1939">
        <v>93</v>
      </c>
      <c r="J231" s="160">
        <v>0</v>
      </c>
      <c r="K231" s="486"/>
      <c r="L231" s="1682">
        <v>301</v>
      </c>
      <c r="M231" s="1592">
        <v>20000000</v>
      </c>
      <c r="N231" s="1682">
        <v>340</v>
      </c>
      <c r="O231" s="1709">
        <v>20000000</v>
      </c>
      <c r="P231" s="237">
        <v>262</v>
      </c>
      <c r="Q231" s="230"/>
      <c r="R231" s="166"/>
      <c r="S231" s="166"/>
      <c r="T231" s="166">
        <f>VLOOKUP(N231,[4]Hoja2!N$66:T$128,7,0)</f>
        <v>3000000</v>
      </c>
      <c r="U231" s="166">
        <v>5000000</v>
      </c>
      <c r="V231" s="166">
        <v>5000000</v>
      </c>
      <c r="W231" s="166">
        <v>5000000</v>
      </c>
      <c r="X231" s="166"/>
      <c r="Y231" s="166">
        <v>2000000</v>
      </c>
      <c r="Z231" s="166"/>
      <c r="AA231" s="166"/>
      <c r="AB231" s="166"/>
      <c r="AC231" s="737">
        <f t="shared" si="64"/>
        <v>20000000</v>
      </c>
      <c r="AD231" s="743">
        <f t="shared" si="65"/>
        <v>0</v>
      </c>
      <c r="AE231" s="1506"/>
      <c r="AF231" s="942">
        <v>93</v>
      </c>
      <c r="AG231" s="322" t="s">
        <v>292</v>
      </c>
      <c r="AH231" s="328" t="s">
        <v>822</v>
      </c>
      <c r="AI231" s="517">
        <f t="shared" si="61"/>
        <v>262</v>
      </c>
      <c r="AJ231" s="316">
        <v>20000000</v>
      </c>
      <c r="AK231" s="926">
        <f t="shared" si="62"/>
        <v>0</v>
      </c>
      <c r="AL231" s="973"/>
      <c r="AM231" s="314">
        <f t="shared" si="63"/>
        <v>0</v>
      </c>
    </row>
    <row r="232" spans="1:39" s="8" customFormat="1">
      <c r="A232" s="88" t="s">
        <v>41</v>
      </c>
      <c r="B232" s="169">
        <f t="shared" si="60"/>
        <v>519248490</v>
      </c>
      <c r="C232" s="89" t="s">
        <v>36</v>
      </c>
      <c r="D232" s="89" t="s">
        <v>862</v>
      </c>
      <c r="E232" s="89" t="s">
        <v>37</v>
      </c>
      <c r="F232" s="87" t="s">
        <v>353</v>
      </c>
      <c r="G232" s="1932" t="s">
        <v>38</v>
      </c>
      <c r="H232" s="1960" t="s">
        <v>1386</v>
      </c>
      <c r="I232" s="1939">
        <v>94</v>
      </c>
      <c r="J232" s="160">
        <v>0</v>
      </c>
      <c r="K232" s="486"/>
      <c r="L232" s="1682">
        <v>484</v>
      </c>
      <c r="M232" s="1592">
        <f>595697255-76448765</f>
        <v>519248490</v>
      </c>
      <c r="N232" s="1682">
        <v>700</v>
      </c>
      <c r="O232" s="1709">
        <v>519248490</v>
      </c>
      <c r="P232" s="237">
        <v>425</v>
      </c>
      <c r="Q232" s="230"/>
      <c r="R232" s="166"/>
      <c r="S232" s="166"/>
      <c r="T232" s="166"/>
      <c r="U232" s="166"/>
      <c r="V232" s="166"/>
      <c r="W232" s="166"/>
      <c r="X232" s="166">
        <f>40969000+8892600</f>
        <v>49861600</v>
      </c>
      <c r="Y232" s="166">
        <f>39600000+18900000+31376400</f>
        <v>89876400</v>
      </c>
      <c r="Z232" s="166"/>
      <c r="AA232" s="166"/>
      <c r="AB232" s="166"/>
      <c r="AC232" s="737">
        <f t="shared" si="64"/>
        <v>139738000</v>
      </c>
      <c r="AD232" s="743">
        <f t="shared" si="65"/>
        <v>379510490</v>
      </c>
      <c r="AE232" s="1506"/>
      <c r="AF232" s="943" t="s">
        <v>1223</v>
      </c>
      <c r="AG232" s="322" t="s">
        <v>293</v>
      </c>
      <c r="AH232" s="328" t="s">
        <v>1167</v>
      </c>
      <c r="AI232" s="517">
        <f t="shared" si="61"/>
        <v>425</v>
      </c>
      <c r="AJ232" s="316">
        <f>447000000+150000000-77751510</f>
        <v>519248490</v>
      </c>
      <c r="AK232" s="926">
        <f t="shared" si="62"/>
        <v>0</v>
      </c>
      <c r="AL232" s="973"/>
      <c r="AM232" s="314">
        <f t="shared" si="63"/>
        <v>0</v>
      </c>
    </row>
    <row r="233" spans="1:39" s="8" customFormat="1">
      <c r="A233" s="88" t="s">
        <v>41</v>
      </c>
      <c r="B233" s="169">
        <f t="shared" si="60"/>
        <v>0</v>
      </c>
      <c r="C233" s="89" t="s">
        <v>36</v>
      </c>
      <c r="D233" s="89" t="s">
        <v>862</v>
      </c>
      <c r="E233" s="89" t="s">
        <v>37</v>
      </c>
      <c r="F233" s="87" t="s">
        <v>353</v>
      </c>
      <c r="G233" s="1932" t="s">
        <v>38</v>
      </c>
      <c r="H233" s="1960" t="s">
        <v>1386</v>
      </c>
      <c r="I233" s="1939">
        <v>99</v>
      </c>
      <c r="J233" s="160">
        <v>0</v>
      </c>
      <c r="K233" s="486"/>
      <c r="L233" s="1682"/>
      <c r="M233" s="1592"/>
      <c r="N233" s="1682"/>
      <c r="O233" s="1709"/>
      <c r="P233" s="237"/>
      <c r="Q233" s="230"/>
      <c r="R233" s="166"/>
      <c r="S233" s="166"/>
      <c r="T233" s="166"/>
      <c r="U233" s="166"/>
      <c r="V233" s="166"/>
      <c r="W233" s="166"/>
      <c r="X233" s="166"/>
      <c r="Y233" s="166"/>
      <c r="Z233" s="166"/>
      <c r="AA233" s="166"/>
      <c r="AB233" s="166"/>
      <c r="AC233" s="737">
        <f t="shared" si="64"/>
        <v>0</v>
      </c>
      <c r="AD233" s="743">
        <f t="shared" si="65"/>
        <v>0</v>
      </c>
      <c r="AE233" s="1506"/>
      <c r="AF233" s="942">
        <v>99</v>
      </c>
      <c r="AG233" s="322" t="s">
        <v>294</v>
      </c>
      <c r="AH233" s="328" t="s">
        <v>178</v>
      </c>
      <c r="AI233" s="517">
        <f t="shared" si="61"/>
        <v>0</v>
      </c>
      <c r="AJ233" s="316">
        <f>25000000-25000000</f>
        <v>0</v>
      </c>
      <c r="AK233" s="926">
        <f t="shared" si="62"/>
        <v>0</v>
      </c>
      <c r="AL233" s="973"/>
      <c r="AM233" s="314">
        <f t="shared" si="63"/>
        <v>0</v>
      </c>
    </row>
    <row r="234" spans="1:39" s="8" customFormat="1">
      <c r="A234" s="88" t="s">
        <v>41</v>
      </c>
      <c r="B234" s="169">
        <f t="shared" si="60"/>
        <v>15000000</v>
      </c>
      <c r="C234" s="89" t="s">
        <v>36</v>
      </c>
      <c r="D234" s="89" t="s">
        <v>862</v>
      </c>
      <c r="E234" s="89" t="s">
        <v>37</v>
      </c>
      <c r="F234" s="87" t="s">
        <v>353</v>
      </c>
      <c r="G234" s="1932" t="s">
        <v>38</v>
      </c>
      <c r="H234" s="1960" t="s">
        <v>1386</v>
      </c>
      <c r="I234" s="1939">
        <v>100</v>
      </c>
      <c r="J234" s="160">
        <v>0</v>
      </c>
      <c r="K234" s="486"/>
      <c r="L234" s="1682">
        <v>231</v>
      </c>
      <c r="M234" s="1592">
        <v>15000000</v>
      </c>
      <c r="N234" s="1682">
        <v>230</v>
      </c>
      <c r="O234" s="1703">
        <v>15000000</v>
      </c>
      <c r="P234" s="237">
        <v>178</v>
      </c>
      <c r="Q234" s="230"/>
      <c r="R234" s="166"/>
      <c r="S234" s="166">
        <v>1250000</v>
      </c>
      <c r="T234" s="166">
        <f>VLOOKUP(N234,[4]Hoja2!N$66:T$128,7,0)</f>
        <v>1500000</v>
      </c>
      <c r="U234" s="166">
        <v>1500000</v>
      </c>
      <c r="V234" s="166">
        <v>1500000</v>
      </c>
      <c r="W234" s="166">
        <v>1500000</v>
      </c>
      <c r="X234" s="166">
        <v>1500000</v>
      </c>
      <c r="Y234" s="166">
        <v>1500000</v>
      </c>
      <c r="Z234" s="166"/>
      <c r="AA234" s="166"/>
      <c r="AB234" s="166"/>
      <c r="AC234" s="737">
        <f t="shared" si="64"/>
        <v>10250000</v>
      </c>
      <c r="AD234" s="743">
        <f t="shared" si="65"/>
        <v>4750000</v>
      </c>
      <c r="AE234" s="1506"/>
      <c r="AF234" s="942">
        <v>100</v>
      </c>
      <c r="AG234" s="322" t="s">
        <v>295</v>
      </c>
      <c r="AH234" s="328" t="s">
        <v>665</v>
      </c>
      <c r="AI234" s="517">
        <f t="shared" si="61"/>
        <v>178</v>
      </c>
      <c r="AJ234" s="316">
        <v>15000000</v>
      </c>
      <c r="AK234" s="926">
        <f t="shared" si="62"/>
        <v>0</v>
      </c>
      <c r="AL234" s="973"/>
      <c r="AM234" s="314">
        <f t="shared" si="63"/>
        <v>0</v>
      </c>
    </row>
    <row r="235" spans="1:39" s="8" customFormat="1">
      <c r="A235" s="88" t="s">
        <v>41</v>
      </c>
      <c r="B235" s="169">
        <f t="shared" si="60"/>
        <v>0</v>
      </c>
      <c r="C235" s="89" t="s">
        <v>36</v>
      </c>
      <c r="D235" s="89" t="s">
        <v>862</v>
      </c>
      <c r="E235" s="89" t="s">
        <v>37</v>
      </c>
      <c r="F235" s="87" t="s">
        <v>353</v>
      </c>
      <c r="G235" s="1932" t="s">
        <v>38</v>
      </c>
      <c r="H235" s="1960" t="s">
        <v>1386</v>
      </c>
      <c r="I235" s="1939">
        <v>102</v>
      </c>
      <c r="J235" s="160">
        <v>0</v>
      </c>
      <c r="K235" s="486"/>
      <c r="L235" s="1682"/>
      <c r="M235" s="1592"/>
      <c r="N235" s="1682"/>
      <c r="O235" s="1709"/>
      <c r="P235" s="237"/>
      <c r="Q235" s="230"/>
      <c r="R235" s="166"/>
      <c r="S235" s="166"/>
      <c r="T235" s="166"/>
      <c r="U235" s="166"/>
      <c r="V235" s="166"/>
      <c r="W235" s="166"/>
      <c r="X235" s="166"/>
      <c r="Y235" s="166"/>
      <c r="Z235" s="166"/>
      <c r="AA235" s="166"/>
      <c r="AB235" s="166"/>
      <c r="AC235" s="737">
        <f t="shared" si="64"/>
        <v>0</v>
      </c>
      <c r="AD235" s="743">
        <f t="shared" si="65"/>
        <v>0</v>
      </c>
      <c r="AE235" s="1506"/>
      <c r="AF235" s="942">
        <v>102</v>
      </c>
      <c r="AG235" s="322" t="s">
        <v>296</v>
      </c>
      <c r="AH235" s="328" t="s">
        <v>178</v>
      </c>
      <c r="AI235" s="517">
        <f t="shared" si="61"/>
        <v>0</v>
      </c>
      <c r="AJ235" s="316">
        <f>8400000-8400000</f>
        <v>0</v>
      </c>
      <c r="AK235" s="926">
        <f t="shared" si="62"/>
        <v>0</v>
      </c>
      <c r="AL235" s="973"/>
      <c r="AM235" s="314">
        <f t="shared" si="63"/>
        <v>0</v>
      </c>
    </row>
    <row r="236" spans="1:39" s="8" customFormat="1">
      <c r="A236" s="88" t="s">
        <v>41</v>
      </c>
      <c r="B236" s="169">
        <f t="shared" si="60"/>
        <v>0</v>
      </c>
      <c r="C236" s="89" t="s">
        <v>36</v>
      </c>
      <c r="D236" s="89" t="s">
        <v>862</v>
      </c>
      <c r="E236" s="89" t="s">
        <v>37</v>
      </c>
      <c r="F236" s="87" t="s">
        <v>353</v>
      </c>
      <c r="G236" s="1932" t="s">
        <v>38</v>
      </c>
      <c r="H236" s="1960" t="s">
        <v>1386</v>
      </c>
      <c r="I236" s="1939">
        <v>103</v>
      </c>
      <c r="J236" s="160">
        <v>0</v>
      </c>
      <c r="K236" s="486"/>
      <c r="L236" s="1682"/>
      <c r="M236" s="1592"/>
      <c r="N236" s="1682"/>
      <c r="O236" s="1709"/>
      <c r="P236" s="237"/>
      <c r="Q236" s="230"/>
      <c r="R236" s="166"/>
      <c r="S236" s="166"/>
      <c r="T236" s="166"/>
      <c r="U236" s="166"/>
      <c r="V236" s="166"/>
      <c r="W236" s="166"/>
      <c r="X236" s="166"/>
      <c r="Y236" s="166"/>
      <c r="Z236" s="166"/>
      <c r="AA236" s="166"/>
      <c r="AB236" s="166"/>
      <c r="AC236" s="737">
        <f t="shared" si="64"/>
        <v>0</v>
      </c>
      <c r="AD236" s="743">
        <f t="shared" si="65"/>
        <v>0</v>
      </c>
      <c r="AE236" s="1506"/>
      <c r="AF236" s="942">
        <v>103</v>
      </c>
      <c r="AG236" s="322" t="s">
        <v>297</v>
      </c>
      <c r="AH236" s="328" t="s">
        <v>178</v>
      </c>
      <c r="AI236" s="517">
        <f t="shared" si="61"/>
        <v>0</v>
      </c>
      <c r="AJ236" s="316">
        <f>8400000-8400000</f>
        <v>0</v>
      </c>
      <c r="AK236" s="926">
        <f t="shared" si="62"/>
        <v>0</v>
      </c>
      <c r="AL236" s="973"/>
      <c r="AM236" s="314">
        <f t="shared" si="63"/>
        <v>0</v>
      </c>
    </row>
    <row r="237" spans="1:39" s="8" customFormat="1">
      <c r="A237" s="88" t="s">
        <v>41</v>
      </c>
      <c r="B237" s="169">
        <f t="shared" si="60"/>
        <v>25200000</v>
      </c>
      <c r="C237" s="89" t="s">
        <v>36</v>
      </c>
      <c r="D237" s="89" t="s">
        <v>862</v>
      </c>
      <c r="E237" s="89" t="s">
        <v>37</v>
      </c>
      <c r="F237" s="87" t="s">
        <v>353</v>
      </c>
      <c r="G237" s="1932" t="s">
        <v>38</v>
      </c>
      <c r="H237" s="1960" t="s">
        <v>1386</v>
      </c>
      <c r="I237" s="1939">
        <v>104</v>
      </c>
      <c r="J237" s="160">
        <v>0</v>
      </c>
      <c r="K237" s="486"/>
      <c r="L237" s="1682">
        <v>414</v>
      </c>
      <c r="M237" s="1592">
        <v>25200000</v>
      </c>
      <c r="N237" s="1682">
        <v>455</v>
      </c>
      <c r="O237" s="1709">
        <v>25200000</v>
      </c>
      <c r="P237" s="237">
        <v>327</v>
      </c>
      <c r="Q237" s="230"/>
      <c r="R237" s="166"/>
      <c r="S237" s="166"/>
      <c r="T237" s="166"/>
      <c r="U237" s="166"/>
      <c r="V237" s="166">
        <v>3480000</v>
      </c>
      <c r="W237" s="166">
        <v>3600000</v>
      </c>
      <c r="X237" s="166">
        <v>3600000</v>
      </c>
      <c r="Y237" s="166">
        <v>3600000</v>
      </c>
      <c r="Z237" s="166"/>
      <c r="AA237" s="166"/>
      <c r="AB237" s="166"/>
      <c r="AC237" s="737">
        <f t="shared" si="64"/>
        <v>14280000</v>
      </c>
      <c r="AD237" s="743">
        <f t="shared" si="65"/>
        <v>10920000</v>
      </c>
      <c r="AE237" s="1506"/>
      <c r="AF237" s="942">
        <v>104</v>
      </c>
      <c r="AG237" s="322" t="s">
        <v>297</v>
      </c>
      <c r="AH237" s="328" t="s">
        <v>986</v>
      </c>
      <c r="AI237" s="517">
        <f t="shared" si="61"/>
        <v>327</v>
      </c>
      <c r="AJ237" s="316">
        <f>8400000+16800000</f>
        <v>25200000</v>
      </c>
      <c r="AK237" s="926">
        <f t="shared" si="62"/>
        <v>0</v>
      </c>
      <c r="AL237" s="973"/>
      <c r="AM237" s="314">
        <f t="shared" si="63"/>
        <v>0</v>
      </c>
    </row>
    <row r="238" spans="1:39" s="8" customFormat="1">
      <c r="A238" s="88" t="s">
        <v>41</v>
      </c>
      <c r="B238" s="169">
        <f t="shared" si="60"/>
        <v>0</v>
      </c>
      <c r="C238" s="89" t="s">
        <v>36</v>
      </c>
      <c r="D238" s="89" t="s">
        <v>862</v>
      </c>
      <c r="E238" s="89" t="s">
        <v>37</v>
      </c>
      <c r="F238" s="87" t="s">
        <v>353</v>
      </c>
      <c r="G238" s="1932" t="s">
        <v>38</v>
      </c>
      <c r="H238" s="1960" t="s">
        <v>1386</v>
      </c>
      <c r="I238" s="1939" t="s">
        <v>178</v>
      </c>
      <c r="J238" s="160"/>
      <c r="K238" s="486"/>
      <c r="L238" s="1682"/>
      <c r="M238" s="1592"/>
      <c r="N238" s="1682"/>
      <c r="O238" s="1709"/>
      <c r="P238" s="237">
        <v>327</v>
      </c>
      <c r="Q238" s="230"/>
      <c r="R238" s="166"/>
      <c r="S238" s="166"/>
      <c r="T238" s="166"/>
      <c r="U238" s="166"/>
      <c r="V238" s="166"/>
      <c r="W238" s="166"/>
      <c r="X238" s="166"/>
      <c r="Y238" s="166"/>
      <c r="Z238" s="166"/>
      <c r="AA238" s="166"/>
      <c r="AB238" s="166"/>
      <c r="AC238" s="737">
        <f t="shared" ref="AC238:AC239" si="68">SUM(Q238:AB238)</f>
        <v>0</v>
      </c>
      <c r="AD238" s="743">
        <f t="shared" ref="AD238:AD239" si="69">O238-AC238</f>
        <v>0</v>
      </c>
      <c r="AE238" s="1506"/>
      <c r="AF238" s="1630" t="s">
        <v>349</v>
      </c>
      <c r="AG238" s="322" t="s">
        <v>1373</v>
      </c>
      <c r="AH238" s="328" t="s">
        <v>986</v>
      </c>
      <c r="AI238" s="517">
        <f t="shared" ref="AI238" si="70">P238</f>
        <v>327</v>
      </c>
      <c r="AJ238" s="1628">
        <v>2400000</v>
      </c>
      <c r="AK238" s="926">
        <f t="shared" si="62"/>
        <v>2400000</v>
      </c>
      <c r="AL238" s="973"/>
      <c r="AM238" s="314"/>
    </row>
    <row r="239" spans="1:39" s="8" customFormat="1">
      <c r="A239" s="88" t="s">
        <v>41</v>
      </c>
      <c r="B239" s="169">
        <f t="shared" si="60"/>
        <v>15000000</v>
      </c>
      <c r="C239" s="89" t="s">
        <v>36</v>
      </c>
      <c r="D239" s="89" t="s">
        <v>862</v>
      </c>
      <c r="E239" s="89" t="s">
        <v>37</v>
      </c>
      <c r="F239" s="87" t="s">
        <v>353</v>
      </c>
      <c r="G239" s="1932" t="s">
        <v>38</v>
      </c>
      <c r="H239" s="1960" t="s">
        <v>1386</v>
      </c>
      <c r="I239" s="1939">
        <v>108</v>
      </c>
      <c r="J239" s="160">
        <v>0</v>
      </c>
      <c r="K239" s="486"/>
      <c r="L239" s="1682">
        <v>232</v>
      </c>
      <c r="M239" s="1592">
        <v>15000000</v>
      </c>
      <c r="N239" s="1682">
        <v>226</v>
      </c>
      <c r="O239" s="1703">
        <v>15000000</v>
      </c>
      <c r="P239" s="237">
        <v>180</v>
      </c>
      <c r="Q239" s="230"/>
      <c r="R239" s="166"/>
      <c r="S239" s="166">
        <v>1250000</v>
      </c>
      <c r="T239" s="166">
        <f>VLOOKUP(N239,[4]Hoja2!N$66:T$128,7,0)</f>
        <v>1500000</v>
      </c>
      <c r="U239" s="166">
        <v>1500000</v>
      </c>
      <c r="V239" s="166">
        <v>1500000</v>
      </c>
      <c r="W239" s="166">
        <v>1500000</v>
      </c>
      <c r="X239" s="166">
        <v>1500000</v>
      </c>
      <c r="Y239" s="166">
        <v>1500000</v>
      </c>
      <c r="Z239" s="166"/>
      <c r="AA239" s="166"/>
      <c r="AB239" s="166"/>
      <c r="AC239" s="737">
        <f t="shared" si="68"/>
        <v>10250000</v>
      </c>
      <c r="AD239" s="743">
        <f t="shared" si="69"/>
        <v>4750000</v>
      </c>
      <c r="AE239" s="1506"/>
      <c r="AF239" s="942">
        <v>108</v>
      </c>
      <c r="AG239" s="322" t="s">
        <v>295</v>
      </c>
      <c r="AH239" s="328" t="s">
        <v>664</v>
      </c>
      <c r="AI239" s="517">
        <f t="shared" si="61"/>
        <v>180</v>
      </c>
      <c r="AJ239" s="316">
        <v>15000000</v>
      </c>
      <c r="AK239" s="926">
        <f t="shared" si="62"/>
        <v>0</v>
      </c>
      <c r="AL239" s="973"/>
      <c r="AM239" s="314">
        <f t="shared" si="63"/>
        <v>0</v>
      </c>
    </row>
    <row r="240" spans="1:39" s="8" customFormat="1">
      <c r="A240" s="88" t="s">
        <v>41</v>
      </c>
      <c r="B240" s="169">
        <f t="shared" si="60"/>
        <v>85333333</v>
      </c>
      <c r="C240" s="89" t="s">
        <v>36</v>
      </c>
      <c r="D240" s="89" t="s">
        <v>862</v>
      </c>
      <c r="E240" s="89" t="s">
        <v>37</v>
      </c>
      <c r="F240" s="87" t="s">
        <v>353</v>
      </c>
      <c r="G240" s="1932" t="s">
        <v>38</v>
      </c>
      <c r="H240" s="1960" t="s">
        <v>1386</v>
      </c>
      <c r="I240" s="1939">
        <v>109</v>
      </c>
      <c r="J240" s="160">
        <v>0</v>
      </c>
      <c r="K240" s="486"/>
      <c r="L240" s="1682">
        <v>250</v>
      </c>
      <c r="M240" s="1592">
        <v>85333333</v>
      </c>
      <c r="N240" s="1682">
        <v>242</v>
      </c>
      <c r="O240" s="1703">
        <v>85333333</v>
      </c>
      <c r="P240" s="237">
        <v>141</v>
      </c>
      <c r="Q240" s="230"/>
      <c r="R240" s="166"/>
      <c r="S240" s="166">
        <v>6666667</v>
      </c>
      <c r="T240" s="166">
        <f>VLOOKUP(N240,[4]Hoja2!N$66:T$128,7,0)</f>
        <v>8000000</v>
      </c>
      <c r="U240" s="841">
        <v>8000000</v>
      </c>
      <c r="V240" s="166">
        <v>8000000</v>
      </c>
      <c r="W240" s="166">
        <v>8000000</v>
      </c>
      <c r="X240" s="166">
        <v>8000000</v>
      </c>
      <c r="Y240" s="166">
        <v>8000000</v>
      </c>
      <c r="Z240" s="166"/>
      <c r="AA240" s="166"/>
      <c r="AB240" s="166"/>
      <c r="AC240" s="737">
        <f t="shared" si="64"/>
        <v>54666667</v>
      </c>
      <c r="AD240" s="743">
        <f t="shared" si="65"/>
        <v>30666666</v>
      </c>
      <c r="AE240" s="1506"/>
      <c r="AF240" s="942">
        <v>109</v>
      </c>
      <c r="AG240" s="322" t="s">
        <v>298</v>
      </c>
      <c r="AH240" s="328" t="s">
        <v>663</v>
      </c>
      <c r="AI240" s="517">
        <f t="shared" si="61"/>
        <v>141</v>
      </c>
      <c r="AJ240" s="316">
        <f>88000000-2666667</f>
        <v>85333333</v>
      </c>
      <c r="AK240" s="926">
        <f t="shared" si="62"/>
        <v>0</v>
      </c>
      <c r="AL240" s="973"/>
      <c r="AM240" s="314">
        <f t="shared" si="63"/>
        <v>0</v>
      </c>
    </row>
    <row r="241" spans="1:39" s="8" customFormat="1">
      <c r="A241" s="88" t="s">
        <v>41</v>
      </c>
      <c r="B241" s="169">
        <f t="shared" si="60"/>
        <v>72820000</v>
      </c>
      <c r="C241" s="89" t="s">
        <v>36</v>
      </c>
      <c r="D241" s="89" t="s">
        <v>862</v>
      </c>
      <c r="E241" s="89" t="s">
        <v>37</v>
      </c>
      <c r="F241" s="87" t="s">
        <v>353</v>
      </c>
      <c r="G241" s="1932" t="s">
        <v>38</v>
      </c>
      <c r="H241" s="1960" t="s">
        <v>1386</v>
      </c>
      <c r="I241" s="1939">
        <v>110</v>
      </c>
      <c r="J241" s="160">
        <v>0</v>
      </c>
      <c r="K241" s="486"/>
      <c r="L241" s="1682">
        <v>40</v>
      </c>
      <c r="M241" s="1592">
        <v>72820000</v>
      </c>
      <c r="N241" s="1682">
        <v>42</v>
      </c>
      <c r="O241" s="1703">
        <v>72820000</v>
      </c>
      <c r="P241" s="236">
        <v>32</v>
      </c>
      <c r="Q241" s="230"/>
      <c r="R241" s="166">
        <v>2206667</v>
      </c>
      <c r="S241" s="166">
        <v>6620000</v>
      </c>
      <c r="T241" s="166">
        <f>VLOOKUP(N241,[4]Hoja2!N$66:T$128,7,0)</f>
        <v>6620000</v>
      </c>
      <c r="U241" s="841">
        <v>6620000</v>
      </c>
      <c r="V241" s="166">
        <v>6620000</v>
      </c>
      <c r="W241" s="166">
        <v>6620000</v>
      </c>
      <c r="X241" s="166">
        <v>6620000</v>
      </c>
      <c r="Y241" s="166">
        <v>6620000</v>
      </c>
      <c r="Z241" s="166"/>
      <c r="AA241" s="166"/>
      <c r="AB241" s="166"/>
      <c r="AC241" s="737">
        <f t="shared" si="64"/>
        <v>48546667</v>
      </c>
      <c r="AD241" s="743">
        <f t="shared" si="65"/>
        <v>24273333</v>
      </c>
      <c r="AE241" s="1506"/>
      <c r="AF241" s="942">
        <v>110</v>
      </c>
      <c r="AG241" s="322" t="s">
        <v>299</v>
      </c>
      <c r="AH241" s="279" t="str">
        <f>VLOOKUP(N241,[5]Hoja2!J$141:N$168,5,0)</f>
        <v>YESICA MILENA ACOSTA MOLINA</v>
      </c>
      <c r="AI241" s="517">
        <f t="shared" si="61"/>
        <v>32</v>
      </c>
      <c r="AJ241" s="316">
        <v>72820176</v>
      </c>
      <c r="AK241" s="926">
        <f t="shared" si="62"/>
        <v>176</v>
      </c>
      <c r="AL241" s="973"/>
      <c r="AM241" s="314">
        <f t="shared" si="63"/>
        <v>176</v>
      </c>
    </row>
    <row r="242" spans="1:39" s="8" customFormat="1">
      <c r="A242" s="88" t="s">
        <v>41</v>
      </c>
      <c r="B242" s="169">
        <f t="shared" si="60"/>
        <v>77000000</v>
      </c>
      <c r="C242" s="89" t="s">
        <v>36</v>
      </c>
      <c r="D242" s="89" t="s">
        <v>862</v>
      </c>
      <c r="E242" s="89" t="s">
        <v>37</v>
      </c>
      <c r="F242" s="87" t="s">
        <v>353</v>
      </c>
      <c r="G242" s="1932" t="s">
        <v>38</v>
      </c>
      <c r="H242" s="1960" t="s">
        <v>1386</v>
      </c>
      <c r="I242" s="1939">
        <v>111</v>
      </c>
      <c r="J242" s="160">
        <v>0</v>
      </c>
      <c r="K242" s="486"/>
      <c r="L242" s="1682">
        <v>41</v>
      </c>
      <c r="M242" s="1592">
        <v>77000000</v>
      </c>
      <c r="N242" s="1682">
        <v>38</v>
      </c>
      <c r="O242" s="1703">
        <v>77000000</v>
      </c>
      <c r="P242" s="236">
        <v>24</v>
      </c>
      <c r="Q242" s="230"/>
      <c r="R242" s="166">
        <v>1866667</v>
      </c>
      <c r="S242" s="166">
        <v>7000000</v>
      </c>
      <c r="T242" s="166">
        <f>VLOOKUP(N242,[4]Hoja2!N$66:T$128,7,0)</f>
        <v>7000000</v>
      </c>
      <c r="U242" s="841">
        <v>7000000</v>
      </c>
      <c r="V242" s="166">
        <v>7000000</v>
      </c>
      <c r="W242" s="166">
        <v>7000000</v>
      </c>
      <c r="X242" s="166">
        <v>7000000</v>
      </c>
      <c r="Y242" s="166">
        <v>7000000</v>
      </c>
      <c r="Z242" s="166"/>
      <c r="AA242" s="166"/>
      <c r="AB242" s="166"/>
      <c r="AC242" s="737">
        <f t="shared" si="64"/>
        <v>50866667</v>
      </c>
      <c r="AD242" s="743">
        <f t="shared" si="65"/>
        <v>26133333</v>
      </c>
      <c r="AE242" s="1506"/>
      <c r="AF242" s="942">
        <v>111</v>
      </c>
      <c r="AG242" s="322" t="s">
        <v>300</v>
      </c>
      <c r="AH242" s="279" t="str">
        <f>VLOOKUP(N242,[5]Hoja2!J$141:N$168,5,0)</f>
        <v>YOLANDA  LOPEZ CORREAL</v>
      </c>
      <c r="AI242" s="517">
        <f t="shared" si="61"/>
        <v>24</v>
      </c>
      <c r="AJ242" s="316">
        <v>77000000</v>
      </c>
      <c r="AK242" s="926">
        <f t="shared" si="62"/>
        <v>0</v>
      </c>
      <c r="AL242" s="973"/>
      <c r="AM242" s="314">
        <f t="shared" si="63"/>
        <v>0</v>
      </c>
    </row>
    <row r="243" spans="1:39" s="8" customFormat="1">
      <c r="A243" s="88" t="s">
        <v>41</v>
      </c>
      <c r="B243" s="169">
        <f t="shared" si="60"/>
        <v>44800000</v>
      </c>
      <c r="C243" s="89" t="s">
        <v>36</v>
      </c>
      <c r="D243" s="89" t="s">
        <v>862</v>
      </c>
      <c r="E243" s="89" t="s">
        <v>37</v>
      </c>
      <c r="F243" s="87" t="s">
        <v>353</v>
      </c>
      <c r="G243" s="1932" t="s">
        <v>38</v>
      </c>
      <c r="H243" s="1960" t="s">
        <v>1386</v>
      </c>
      <c r="I243" s="230">
        <v>433</v>
      </c>
      <c r="J243" s="160">
        <v>0</v>
      </c>
      <c r="K243" s="486"/>
      <c r="L243" s="1682">
        <v>283</v>
      </c>
      <c r="M243" s="1592">
        <v>44800000</v>
      </c>
      <c r="N243" s="1682">
        <v>274</v>
      </c>
      <c r="O243" s="1709">
        <v>44800000</v>
      </c>
      <c r="P243" s="237">
        <v>245</v>
      </c>
      <c r="Q243" s="230"/>
      <c r="R243" s="166"/>
      <c r="S243" s="166">
        <v>2380000</v>
      </c>
      <c r="T243" s="166">
        <f>VLOOKUP(N243,[4]Hoja2!N$66:T$128,7,0)</f>
        <v>4200000</v>
      </c>
      <c r="U243" s="166">
        <v>4200000</v>
      </c>
      <c r="V243" s="166">
        <v>4200000</v>
      </c>
      <c r="W243" s="166">
        <v>4200000</v>
      </c>
      <c r="X243" s="166">
        <v>4200000</v>
      </c>
      <c r="Y243" s="166">
        <v>4200000</v>
      </c>
      <c r="Z243" s="166"/>
      <c r="AA243" s="166"/>
      <c r="AB243" s="166"/>
      <c r="AC243" s="737">
        <f t="shared" si="64"/>
        <v>27580000</v>
      </c>
      <c r="AD243" s="743">
        <f t="shared" si="65"/>
        <v>17220000</v>
      </c>
      <c r="AE243" s="1506"/>
      <c r="AF243" s="943">
        <v>433</v>
      </c>
      <c r="AG243" s="328" t="s">
        <v>512</v>
      </c>
      <c r="AH243" s="328" t="s">
        <v>659</v>
      </c>
      <c r="AI243" s="517">
        <f t="shared" si="61"/>
        <v>245</v>
      </c>
      <c r="AJ243" s="316">
        <f>46200000-1400000</f>
        <v>44800000</v>
      </c>
      <c r="AK243" s="926">
        <f t="shared" si="62"/>
        <v>0</v>
      </c>
      <c r="AL243" s="973"/>
      <c r="AM243" s="314">
        <f t="shared" si="63"/>
        <v>0</v>
      </c>
    </row>
    <row r="244" spans="1:39" s="8" customFormat="1">
      <c r="A244" s="88" t="s">
        <v>41</v>
      </c>
      <c r="B244" s="169">
        <f t="shared" si="60"/>
        <v>88000000</v>
      </c>
      <c r="C244" s="89" t="s">
        <v>36</v>
      </c>
      <c r="D244" s="89" t="s">
        <v>862</v>
      </c>
      <c r="E244" s="89" t="s">
        <v>37</v>
      </c>
      <c r="F244" s="87" t="s">
        <v>353</v>
      </c>
      <c r="G244" s="1932" t="s">
        <v>38</v>
      </c>
      <c r="H244" s="1960" t="s">
        <v>1386</v>
      </c>
      <c r="I244" s="230">
        <v>440</v>
      </c>
      <c r="J244" s="160"/>
      <c r="K244" s="486"/>
      <c r="L244" s="1682">
        <v>371</v>
      </c>
      <c r="M244" s="1592">
        <v>88000000</v>
      </c>
      <c r="N244" s="1682">
        <v>390</v>
      </c>
      <c r="O244" s="1710">
        <v>88000000</v>
      </c>
      <c r="P244" s="237">
        <v>305</v>
      </c>
      <c r="Q244" s="467"/>
      <c r="R244" s="468"/>
      <c r="S244" s="468"/>
      <c r="T244" s="166"/>
      <c r="U244" s="468">
        <v>39564742</v>
      </c>
      <c r="V244" s="166">
        <v>48435258</v>
      </c>
      <c r="W244" s="166"/>
      <c r="X244" s="166"/>
      <c r="Y244" s="166"/>
      <c r="Z244" s="468"/>
      <c r="AA244" s="468"/>
      <c r="AB244" s="468"/>
      <c r="AC244" s="737">
        <f t="shared" si="64"/>
        <v>88000000</v>
      </c>
      <c r="AD244" s="743">
        <f t="shared" si="65"/>
        <v>0</v>
      </c>
      <c r="AE244" s="1506"/>
      <c r="AF244" s="943">
        <v>440</v>
      </c>
      <c r="AG244" s="328" t="s">
        <v>308</v>
      </c>
      <c r="AH244" s="328" t="s">
        <v>851</v>
      </c>
      <c r="AI244" s="517">
        <f t="shared" si="61"/>
        <v>305</v>
      </c>
      <c r="AJ244" s="316">
        <v>88000000</v>
      </c>
      <c r="AK244" s="926">
        <f t="shared" si="62"/>
        <v>0</v>
      </c>
      <c r="AL244" s="973"/>
      <c r="AM244" s="314">
        <f t="shared" si="63"/>
        <v>0</v>
      </c>
    </row>
    <row r="245" spans="1:39" s="8" customFormat="1">
      <c r="A245" s="88" t="s">
        <v>41</v>
      </c>
      <c r="B245" s="169">
        <f t="shared" si="60"/>
        <v>0</v>
      </c>
      <c r="C245" s="89" t="s">
        <v>36</v>
      </c>
      <c r="D245" s="89" t="s">
        <v>862</v>
      </c>
      <c r="E245" s="89" t="s">
        <v>37</v>
      </c>
      <c r="F245" s="87" t="s">
        <v>353</v>
      </c>
      <c r="G245" s="1932" t="s">
        <v>38</v>
      </c>
      <c r="H245" s="1960" t="s">
        <v>1386</v>
      </c>
      <c r="I245" s="467" t="s">
        <v>349</v>
      </c>
      <c r="J245" s="160">
        <v>571</v>
      </c>
      <c r="K245" s="486">
        <f>14000000-14000000</f>
        <v>0</v>
      </c>
      <c r="L245" s="1682">
        <v>651</v>
      </c>
      <c r="M245" s="1592">
        <f>14000000-14000000</f>
        <v>0</v>
      </c>
      <c r="N245" s="1682"/>
      <c r="O245" s="1710"/>
      <c r="P245" s="237">
        <v>305</v>
      </c>
      <c r="Q245" s="467"/>
      <c r="R245" s="468"/>
      <c r="S245" s="468"/>
      <c r="T245" s="468"/>
      <c r="U245" s="468"/>
      <c r="V245" s="166"/>
      <c r="W245" s="166"/>
      <c r="X245" s="166"/>
      <c r="Y245" s="166"/>
      <c r="Z245" s="468"/>
      <c r="AA245" s="468"/>
      <c r="AB245" s="468"/>
      <c r="AC245" s="737">
        <f t="shared" si="64"/>
        <v>0</v>
      </c>
      <c r="AD245" s="743">
        <f t="shared" si="65"/>
        <v>0</v>
      </c>
      <c r="AE245" s="1506"/>
      <c r="AF245" s="943" t="s">
        <v>349</v>
      </c>
      <c r="AG245" s="328" t="s">
        <v>1231</v>
      </c>
      <c r="AH245" s="328" t="s">
        <v>851</v>
      </c>
      <c r="AI245" s="517">
        <f t="shared" si="61"/>
        <v>305</v>
      </c>
      <c r="AJ245" s="1046">
        <f>14000000-14000000</f>
        <v>0</v>
      </c>
      <c r="AK245" s="926">
        <f t="shared" si="62"/>
        <v>0</v>
      </c>
      <c r="AL245" s="973"/>
      <c r="AM245" s="314">
        <f t="shared" si="63"/>
        <v>0</v>
      </c>
    </row>
    <row r="246" spans="1:39" s="8" customFormat="1">
      <c r="A246" s="88" t="s">
        <v>41</v>
      </c>
      <c r="B246" s="169">
        <f t="shared" si="60"/>
        <v>43507000</v>
      </c>
      <c r="C246" s="89" t="s">
        <v>36</v>
      </c>
      <c r="D246" s="89" t="s">
        <v>862</v>
      </c>
      <c r="E246" s="89" t="s">
        <v>37</v>
      </c>
      <c r="F246" s="87" t="s">
        <v>353</v>
      </c>
      <c r="G246" s="1932" t="s">
        <v>38</v>
      </c>
      <c r="H246" s="1960" t="s">
        <v>1386</v>
      </c>
      <c r="I246" s="467" t="s">
        <v>349</v>
      </c>
      <c r="J246" s="160">
        <v>629</v>
      </c>
      <c r="K246" s="486">
        <v>43507000</v>
      </c>
      <c r="L246" s="1682">
        <v>708</v>
      </c>
      <c r="M246" s="1592">
        <v>43507000</v>
      </c>
      <c r="N246" s="1682">
        <v>857</v>
      </c>
      <c r="O246" s="1592">
        <v>43507000</v>
      </c>
      <c r="P246" s="237">
        <v>305</v>
      </c>
      <c r="Q246" s="467"/>
      <c r="R246" s="468"/>
      <c r="S246" s="468"/>
      <c r="T246" s="468"/>
      <c r="U246" s="468"/>
      <c r="V246" s="166"/>
      <c r="W246" s="166"/>
      <c r="X246" s="166"/>
      <c r="Y246" s="166"/>
      <c r="Z246" s="468"/>
      <c r="AA246" s="468"/>
      <c r="AB246" s="468"/>
      <c r="AC246" s="737">
        <f t="shared" ref="AC246" si="71">SUM(Q246:AB246)</f>
        <v>0</v>
      </c>
      <c r="AD246" s="743">
        <f t="shared" ref="AD246" si="72">O246-AC246</f>
        <v>43507000</v>
      </c>
      <c r="AE246" s="1506"/>
      <c r="AF246" s="943" t="s">
        <v>349</v>
      </c>
      <c r="AG246" s="328" t="s">
        <v>1231</v>
      </c>
      <c r="AH246" s="328" t="s">
        <v>851</v>
      </c>
      <c r="AI246" s="517">
        <f t="shared" ref="AI246" si="73">P246</f>
        <v>305</v>
      </c>
      <c r="AJ246" s="1046">
        <v>43507000</v>
      </c>
      <c r="AK246" s="926">
        <f t="shared" si="62"/>
        <v>0</v>
      </c>
      <c r="AL246" s="973"/>
      <c r="AM246" s="314">
        <f t="shared" si="63"/>
        <v>0</v>
      </c>
    </row>
    <row r="247" spans="1:39" s="8" customFormat="1">
      <c r="A247" s="88" t="s">
        <v>41</v>
      </c>
      <c r="B247" s="169">
        <f t="shared" si="60"/>
        <v>5583000</v>
      </c>
      <c r="C247" s="89" t="s">
        <v>36</v>
      </c>
      <c r="D247" s="89" t="s">
        <v>862</v>
      </c>
      <c r="E247" s="89" t="s">
        <v>37</v>
      </c>
      <c r="F247" s="87" t="s">
        <v>353</v>
      </c>
      <c r="G247" s="1932" t="s">
        <v>38</v>
      </c>
      <c r="H247" s="1960" t="s">
        <v>1386</v>
      </c>
      <c r="I247" s="467" t="s">
        <v>774</v>
      </c>
      <c r="J247" s="160">
        <v>551</v>
      </c>
      <c r="K247" s="486">
        <f>1116600</f>
        <v>1116600</v>
      </c>
      <c r="L247" s="1384" t="s">
        <v>1349</v>
      </c>
      <c r="M247" s="1592">
        <f>1116600+1116600+1116600+1116600+1116600</f>
        <v>5583000</v>
      </c>
      <c r="N247" s="1384" t="s">
        <v>1348</v>
      </c>
      <c r="O247" s="1592">
        <f>1116600+1116600+1116600+1116600+1116600</f>
        <v>5583000</v>
      </c>
      <c r="P247" s="237" t="s">
        <v>774</v>
      </c>
      <c r="Q247" s="467"/>
      <c r="R247" s="468"/>
      <c r="S247" s="468"/>
      <c r="T247" s="468"/>
      <c r="U247" s="468">
        <v>1116600</v>
      </c>
      <c r="V247" s="166">
        <v>1116600</v>
      </c>
      <c r="W247" s="166">
        <v>1116600</v>
      </c>
      <c r="X247" s="166">
        <v>1116600</v>
      </c>
      <c r="Y247" s="166">
        <v>1116600</v>
      </c>
      <c r="Z247" s="468"/>
      <c r="AA247" s="468"/>
      <c r="AB247" s="468"/>
      <c r="AC247" s="737">
        <f t="shared" si="64"/>
        <v>5583000</v>
      </c>
      <c r="AD247" s="743">
        <f t="shared" si="65"/>
        <v>0</v>
      </c>
      <c r="AE247" s="1506"/>
      <c r="AF247" s="943" t="s">
        <v>774</v>
      </c>
      <c r="AG247" s="328" t="s">
        <v>307</v>
      </c>
      <c r="AH247" s="328"/>
      <c r="AI247" s="517" t="s">
        <v>774</v>
      </c>
      <c r="AJ247" s="1046">
        <v>9314282</v>
      </c>
      <c r="AK247" s="926">
        <f t="shared" si="62"/>
        <v>3731282</v>
      </c>
      <c r="AL247" s="973"/>
      <c r="AM247" s="314">
        <f t="shared" si="63"/>
        <v>3731282</v>
      </c>
    </row>
    <row r="248" spans="1:39" s="8" customFormat="1">
      <c r="A248" s="88" t="s">
        <v>41</v>
      </c>
      <c r="B248" s="169">
        <f t="shared" si="60"/>
        <v>2000000</v>
      </c>
      <c r="C248" s="89" t="s">
        <v>36</v>
      </c>
      <c r="D248" s="89" t="s">
        <v>862</v>
      </c>
      <c r="E248" s="89" t="s">
        <v>37</v>
      </c>
      <c r="F248" s="87" t="s">
        <v>353</v>
      </c>
      <c r="G248" s="1932" t="s">
        <v>38</v>
      </c>
      <c r="H248" s="1960" t="s">
        <v>1386</v>
      </c>
      <c r="I248" s="467">
        <v>537</v>
      </c>
      <c r="J248" s="160"/>
      <c r="K248" s="486"/>
      <c r="L248" s="1682">
        <v>550</v>
      </c>
      <c r="M248" s="1592">
        <v>2000000</v>
      </c>
      <c r="N248" s="1682">
        <v>637</v>
      </c>
      <c r="O248" s="1710">
        <v>2000000</v>
      </c>
      <c r="P248" s="237">
        <v>385</v>
      </c>
      <c r="Q248" s="467"/>
      <c r="R248" s="468"/>
      <c r="S248" s="468"/>
      <c r="T248" s="468"/>
      <c r="U248" s="468"/>
      <c r="V248" s="468"/>
      <c r="W248" s="166"/>
      <c r="X248" s="166"/>
      <c r="Y248" s="166"/>
      <c r="Z248" s="468"/>
      <c r="AA248" s="468"/>
      <c r="AB248" s="468"/>
      <c r="AC248" s="737">
        <f t="shared" si="64"/>
        <v>0</v>
      </c>
      <c r="AD248" s="743">
        <f t="shared" si="65"/>
        <v>2000000</v>
      </c>
      <c r="AE248" s="1506"/>
      <c r="AF248" s="943">
        <v>537</v>
      </c>
      <c r="AG248" s="328" t="s">
        <v>282</v>
      </c>
      <c r="AH248" s="328" t="s">
        <v>1147</v>
      </c>
      <c r="AI248" s="517">
        <f t="shared" si="61"/>
        <v>385</v>
      </c>
      <c r="AJ248" s="1046">
        <v>2000000</v>
      </c>
      <c r="AK248" s="926">
        <f t="shared" si="62"/>
        <v>0</v>
      </c>
      <c r="AL248" s="973"/>
      <c r="AM248" s="314">
        <f t="shared" si="63"/>
        <v>0</v>
      </c>
    </row>
    <row r="249" spans="1:39" s="8" customFormat="1">
      <c r="A249" s="88" t="s">
        <v>41</v>
      </c>
      <c r="B249" s="169">
        <f t="shared" si="60"/>
        <v>30305000</v>
      </c>
      <c r="C249" s="89" t="s">
        <v>36</v>
      </c>
      <c r="D249" s="89" t="s">
        <v>862</v>
      </c>
      <c r="E249" s="89" t="s">
        <v>37</v>
      </c>
      <c r="F249" s="87" t="s">
        <v>353</v>
      </c>
      <c r="G249" s="1932" t="s">
        <v>38</v>
      </c>
      <c r="H249" s="1960" t="s">
        <v>1386</v>
      </c>
      <c r="I249" s="467">
        <v>558</v>
      </c>
      <c r="J249" s="160"/>
      <c r="K249" s="486"/>
      <c r="L249" s="1682">
        <v>607</v>
      </c>
      <c r="M249" s="1592">
        <v>30305000</v>
      </c>
      <c r="N249" s="1682">
        <v>720</v>
      </c>
      <c r="O249" s="1710">
        <v>30305000</v>
      </c>
      <c r="P249" s="237">
        <v>434</v>
      </c>
      <c r="Q249" s="467"/>
      <c r="R249" s="468"/>
      <c r="S249" s="468"/>
      <c r="T249" s="468"/>
      <c r="U249" s="468"/>
      <c r="V249" s="468"/>
      <c r="W249" s="468"/>
      <c r="X249" s="166"/>
      <c r="Y249" s="166">
        <v>6479000</v>
      </c>
      <c r="Z249" s="468"/>
      <c r="AA249" s="468"/>
      <c r="AB249" s="468"/>
      <c r="AC249" s="737">
        <f t="shared" si="64"/>
        <v>6479000</v>
      </c>
      <c r="AD249" s="743">
        <f t="shared" si="65"/>
        <v>23826000</v>
      </c>
      <c r="AE249" s="1506"/>
      <c r="AF249" s="943">
        <v>558</v>
      </c>
      <c r="AG249" s="328" t="s">
        <v>1164</v>
      </c>
      <c r="AH249" s="328" t="s">
        <v>1194</v>
      </c>
      <c r="AI249" s="517">
        <f t="shared" si="61"/>
        <v>434</v>
      </c>
      <c r="AJ249" s="1046">
        <v>30305000</v>
      </c>
      <c r="AK249" s="926">
        <f t="shared" si="62"/>
        <v>0</v>
      </c>
      <c r="AL249" s="973"/>
      <c r="AM249" s="314">
        <f t="shared" si="63"/>
        <v>0</v>
      </c>
    </row>
    <row r="250" spans="1:39" s="8" customFormat="1">
      <c r="A250" s="88" t="s">
        <v>41</v>
      </c>
      <c r="B250" s="169">
        <f t="shared" si="60"/>
        <v>12000000</v>
      </c>
      <c r="C250" s="89" t="s">
        <v>36</v>
      </c>
      <c r="D250" s="89" t="s">
        <v>862</v>
      </c>
      <c r="E250" s="89" t="s">
        <v>37</v>
      </c>
      <c r="F250" s="87" t="s">
        <v>353</v>
      </c>
      <c r="G250" s="1932" t="s">
        <v>38</v>
      </c>
      <c r="H250" s="1960" t="s">
        <v>1386</v>
      </c>
      <c r="I250" s="467">
        <v>561</v>
      </c>
      <c r="J250" s="160"/>
      <c r="K250" s="486"/>
      <c r="L250" s="1682">
        <v>635</v>
      </c>
      <c r="M250" s="1592">
        <v>12000000</v>
      </c>
      <c r="N250" s="1682"/>
      <c r="O250" s="1710"/>
      <c r="P250" s="237"/>
      <c r="Q250" s="467"/>
      <c r="R250" s="468"/>
      <c r="S250" s="468"/>
      <c r="T250" s="468"/>
      <c r="U250" s="468"/>
      <c r="V250" s="468"/>
      <c r="W250" s="468"/>
      <c r="X250" s="468"/>
      <c r="Y250" s="166"/>
      <c r="Z250" s="468"/>
      <c r="AA250" s="468"/>
      <c r="AB250" s="468"/>
      <c r="AC250" s="737">
        <f t="shared" si="64"/>
        <v>0</v>
      </c>
      <c r="AD250" s="743">
        <f t="shared" si="65"/>
        <v>0</v>
      </c>
      <c r="AE250" s="1506"/>
      <c r="AF250" s="943">
        <v>561</v>
      </c>
      <c r="AG250" s="1455" t="s">
        <v>1232</v>
      </c>
      <c r="AH250" s="279"/>
      <c r="AI250" s="517">
        <f t="shared" si="61"/>
        <v>0</v>
      </c>
      <c r="AJ250" s="1046">
        <v>12000000</v>
      </c>
      <c r="AK250" s="926">
        <f t="shared" si="62"/>
        <v>12000000</v>
      </c>
      <c r="AL250" s="973"/>
      <c r="AM250" s="314">
        <f t="shared" si="63"/>
        <v>0</v>
      </c>
    </row>
    <row r="251" spans="1:39" s="8" customFormat="1">
      <c r="A251" s="88" t="s">
        <v>41</v>
      </c>
      <c r="B251" s="169">
        <f t="shared" si="60"/>
        <v>6000000</v>
      </c>
      <c r="C251" s="89" t="s">
        <v>36</v>
      </c>
      <c r="D251" s="89" t="s">
        <v>862</v>
      </c>
      <c r="E251" s="89" t="s">
        <v>37</v>
      </c>
      <c r="F251" s="87" t="s">
        <v>353</v>
      </c>
      <c r="G251" s="1932" t="s">
        <v>38</v>
      </c>
      <c r="H251" s="1960" t="s">
        <v>1386</v>
      </c>
      <c r="I251" s="467">
        <v>562</v>
      </c>
      <c r="J251" s="160">
        <v>638</v>
      </c>
      <c r="K251" s="486">
        <v>6000000</v>
      </c>
      <c r="L251" s="1682">
        <v>636</v>
      </c>
      <c r="M251" s="1592">
        <v>6000000</v>
      </c>
      <c r="N251" s="1682"/>
      <c r="O251" s="1710"/>
      <c r="P251" s="237"/>
      <c r="Q251" s="467"/>
      <c r="R251" s="468"/>
      <c r="S251" s="468"/>
      <c r="T251" s="468"/>
      <c r="U251" s="468"/>
      <c r="V251" s="468"/>
      <c r="W251" s="468"/>
      <c r="X251" s="468"/>
      <c r="Y251" s="166"/>
      <c r="Z251" s="468"/>
      <c r="AA251" s="468"/>
      <c r="AB251" s="468"/>
      <c r="AC251" s="737">
        <f t="shared" si="64"/>
        <v>0</v>
      </c>
      <c r="AD251" s="743">
        <f t="shared" si="65"/>
        <v>0</v>
      </c>
      <c r="AE251" s="1506"/>
      <c r="AF251" s="943">
        <v>562</v>
      </c>
      <c r="AG251" s="1455" t="s">
        <v>1233</v>
      </c>
      <c r="AH251" s="279"/>
      <c r="AI251" s="517">
        <f t="shared" si="61"/>
        <v>0</v>
      </c>
      <c r="AJ251" s="1046">
        <v>6000000</v>
      </c>
      <c r="AK251" s="926">
        <f t="shared" si="62"/>
        <v>6000000</v>
      </c>
      <c r="AL251" s="973"/>
      <c r="AM251" s="314">
        <f t="shared" si="63"/>
        <v>0</v>
      </c>
    </row>
    <row r="252" spans="1:39" s="8" customFormat="1">
      <c r="A252" s="88" t="s">
        <v>41</v>
      </c>
      <c r="B252" s="169">
        <f t="shared" si="60"/>
        <v>7500000</v>
      </c>
      <c r="C252" s="89" t="s">
        <v>36</v>
      </c>
      <c r="D252" s="89" t="s">
        <v>862</v>
      </c>
      <c r="E252" s="89" t="s">
        <v>37</v>
      </c>
      <c r="F252" s="87" t="s">
        <v>353</v>
      </c>
      <c r="G252" s="1932" t="s">
        <v>38</v>
      </c>
      <c r="H252" s="1960" t="s">
        <v>1386</v>
      </c>
      <c r="I252" s="467">
        <v>563</v>
      </c>
      <c r="J252" s="160"/>
      <c r="K252" s="486"/>
      <c r="L252" s="1682">
        <v>637</v>
      </c>
      <c r="M252" s="1592">
        <v>7500000</v>
      </c>
      <c r="N252" s="1682"/>
      <c r="O252" s="1710"/>
      <c r="P252" s="237"/>
      <c r="Q252" s="467"/>
      <c r="R252" s="468"/>
      <c r="S252" s="468"/>
      <c r="T252" s="468"/>
      <c r="U252" s="468"/>
      <c r="V252" s="468"/>
      <c r="W252" s="468"/>
      <c r="X252" s="468"/>
      <c r="Y252" s="166"/>
      <c r="Z252" s="468"/>
      <c r="AA252" s="468"/>
      <c r="AB252" s="468"/>
      <c r="AC252" s="737">
        <f t="shared" si="64"/>
        <v>0</v>
      </c>
      <c r="AD252" s="743">
        <f t="shared" si="65"/>
        <v>0</v>
      </c>
      <c r="AE252" s="1506"/>
      <c r="AF252" s="943">
        <v>563</v>
      </c>
      <c r="AG252" s="1455" t="s">
        <v>1234</v>
      </c>
      <c r="AH252" s="279"/>
      <c r="AI252" s="517">
        <f t="shared" si="61"/>
        <v>0</v>
      </c>
      <c r="AJ252" s="1046">
        <v>7500000</v>
      </c>
      <c r="AK252" s="926">
        <f t="shared" si="62"/>
        <v>7500000</v>
      </c>
      <c r="AL252" s="973"/>
      <c r="AM252" s="314">
        <f t="shared" si="63"/>
        <v>0</v>
      </c>
    </row>
    <row r="253" spans="1:39" s="8" customFormat="1">
      <c r="A253" s="88" t="s">
        <v>41</v>
      </c>
      <c r="B253" s="169">
        <f t="shared" si="60"/>
        <v>9000000</v>
      </c>
      <c r="C253" s="89" t="s">
        <v>36</v>
      </c>
      <c r="D253" s="89" t="s">
        <v>862</v>
      </c>
      <c r="E253" s="89" t="s">
        <v>37</v>
      </c>
      <c r="F253" s="87" t="s">
        <v>353</v>
      </c>
      <c r="G253" s="1932" t="s">
        <v>38</v>
      </c>
      <c r="H253" s="1960" t="s">
        <v>1386</v>
      </c>
      <c r="I253" s="467">
        <v>564</v>
      </c>
      <c r="J253" s="160"/>
      <c r="K253" s="486"/>
      <c r="L253" s="1682">
        <v>638</v>
      </c>
      <c r="M253" s="1592">
        <v>9000000</v>
      </c>
      <c r="N253" s="1682">
        <v>796</v>
      </c>
      <c r="O253" s="1710">
        <v>9000000</v>
      </c>
      <c r="P253" s="237">
        <v>446</v>
      </c>
      <c r="Q253" s="467"/>
      <c r="R253" s="468"/>
      <c r="S253" s="468"/>
      <c r="T253" s="468"/>
      <c r="U253" s="468"/>
      <c r="V253" s="468"/>
      <c r="W253" s="468"/>
      <c r="X253" s="468"/>
      <c r="Y253" s="166"/>
      <c r="Z253" s="468"/>
      <c r="AA253" s="468"/>
      <c r="AB253" s="468"/>
      <c r="AC253" s="737">
        <f t="shared" si="64"/>
        <v>0</v>
      </c>
      <c r="AD253" s="743">
        <f t="shared" si="65"/>
        <v>9000000</v>
      </c>
      <c r="AE253" s="1506"/>
      <c r="AF253" s="943">
        <v>564</v>
      </c>
      <c r="AG253" s="1455" t="s">
        <v>1235</v>
      </c>
      <c r="AH253" s="279" t="s">
        <v>1119</v>
      </c>
      <c r="AI253" s="517">
        <f t="shared" si="61"/>
        <v>446</v>
      </c>
      <c r="AJ253" s="1046">
        <v>9000000</v>
      </c>
      <c r="AK253" s="926">
        <f t="shared" si="62"/>
        <v>0</v>
      </c>
      <c r="AL253" s="973"/>
      <c r="AM253" s="314">
        <f t="shared" si="63"/>
        <v>0</v>
      </c>
    </row>
    <row r="254" spans="1:39" s="8" customFormat="1">
      <c r="A254" s="88" t="s">
        <v>41</v>
      </c>
      <c r="B254" s="169">
        <f t="shared" si="60"/>
        <v>20000000</v>
      </c>
      <c r="C254" s="89" t="s">
        <v>36</v>
      </c>
      <c r="D254" s="89" t="s">
        <v>862</v>
      </c>
      <c r="E254" s="89" t="s">
        <v>37</v>
      </c>
      <c r="F254" s="87" t="s">
        <v>353</v>
      </c>
      <c r="G254" s="1932" t="s">
        <v>38</v>
      </c>
      <c r="H254" s="1960" t="s">
        <v>1386</v>
      </c>
      <c r="I254" s="467">
        <v>565</v>
      </c>
      <c r="J254" s="160"/>
      <c r="K254" s="486"/>
      <c r="L254" s="1682">
        <v>647</v>
      </c>
      <c r="M254" s="1592">
        <f>25000000-5000000</f>
        <v>20000000</v>
      </c>
      <c r="N254" s="1682" t="s">
        <v>1296</v>
      </c>
      <c r="O254" s="1710">
        <f>25000000-25000000+25000000-25000000+20000000</f>
        <v>20000000</v>
      </c>
      <c r="P254" s="237">
        <v>449</v>
      </c>
      <c r="Q254" s="467"/>
      <c r="R254" s="468"/>
      <c r="S254" s="468"/>
      <c r="T254" s="468"/>
      <c r="U254" s="468"/>
      <c r="V254" s="468"/>
      <c r="W254" s="468"/>
      <c r="X254" s="468"/>
      <c r="Y254" s="166"/>
      <c r="Z254" s="468"/>
      <c r="AA254" s="468"/>
      <c r="AB254" s="468"/>
      <c r="AC254" s="737">
        <f t="shared" si="64"/>
        <v>0</v>
      </c>
      <c r="AD254" s="743">
        <f t="shared" si="65"/>
        <v>20000000</v>
      </c>
      <c r="AE254" s="1506"/>
      <c r="AF254" s="1627">
        <v>565</v>
      </c>
      <c r="AG254" s="1455" t="s">
        <v>1236</v>
      </c>
      <c r="AH254" s="365" t="s">
        <v>1297</v>
      </c>
      <c r="AI254" s="517">
        <f t="shared" si="61"/>
        <v>449</v>
      </c>
      <c r="AJ254" s="1629">
        <f>25000000-5000000</f>
        <v>20000000</v>
      </c>
      <c r="AK254" s="926">
        <f t="shared" si="62"/>
        <v>0</v>
      </c>
      <c r="AL254" s="973"/>
      <c r="AM254" s="314">
        <f t="shared" si="63"/>
        <v>0</v>
      </c>
    </row>
    <row r="255" spans="1:39" s="8" customFormat="1">
      <c r="A255" s="88" t="s">
        <v>41</v>
      </c>
      <c r="B255" s="169">
        <f t="shared" si="60"/>
        <v>18000000</v>
      </c>
      <c r="C255" s="89" t="s">
        <v>36</v>
      </c>
      <c r="D255" s="89" t="s">
        <v>862</v>
      </c>
      <c r="E255" s="89" t="s">
        <v>37</v>
      </c>
      <c r="F255" s="87" t="s">
        <v>353</v>
      </c>
      <c r="G255" s="1932" t="s">
        <v>38</v>
      </c>
      <c r="H255" s="1960" t="s">
        <v>1386</v>
      </c>
      <c r="I255" s="467">
        <v>566</v>
      </c>
      <c r="J255" s="160"/>
      <c r="K255" s="486"/>
      <c r="L255" s="1682">
        <v>639</v>
      </c>
      <c r="M255" s="1592">
        <v>18000000</v>
      </c>
      <c r="N255" s="1682">
        <v>799</v>
      </c>
      <c r="O255" s="1710">
        <v>18000000</v>
      </c>
      <c r="P255" s="237">
        <v>452</v>
      </c>
      <c r="Q255" s="467"/>
      <c r="R255" s="468"/>
      <c r="S255" s="468"/>
      <c r="T255" s="468"/>
      <c r="U255" s="468"/>
      <c r="V255" s="468"/>
      <c r="W255" s="468"/>
      <c r="X255" s="468"/>
      <c r="Y255" s="166"/>
      <c r="Z255" s="468"/>
      <c r="AA255" s="468"/>
      <c r="AB255" s="468"/>
      <c r="AC255" s="737">
        <f t="shared" si="64"/>
        <v>0</v>
      </c>
      <c r="AD255" s="743">
        <f t="shared" si="65"/>
        <v>18000000</v>
      </c>
      <c r="AE255" s="1506"/>
      <c r="AF255" s="943">
        <v>566</v>
      </c>
      <c r="AG255" s="328" t="s">
        <v>1237</v>
      </c>
      <c r="AH255" s="328" t="s">
        <v>1294</v>
      </c>
      <c r="AI255" s="517">
        <f t="shared" si="61"/>
        <v>452</v>
      </c>
      <c r="AJ255" s="1046">
        <v>18000000</v>
      </c>
      <c r="AK255" s="926">
        <f t="shared" si="62"/>
        <v>0</v>
      </c>
      <c r="AL255" s="973"/>
      <c r="AM255" s="314">
        <f t="shared" si="63"/>
        <v>0</v>
      </c>
    </row>
    <row r="256" spans="1:39" s="8" customFormat="1">
      <c r="A256" s="88" t="s">
        <v>41</v>
      </c>
      <c r="B256" s="169">
        <f t="shared" si="60"/>
        <v>0</v>
      </c>
      <c r="C256" s="89" t="s">
        <v>36</v>
      </c>
      <c r="D256" s="89" t="s">
        <v>862</v>
      </c>
      <c r="E256" s="89" t="s">
        <v>37</v>
      </c>
      <c r="F256" s="87" t="s">
        <v>353</v>
      </c>
      <c r="G256" s="1932" t="s">
        <v>38</v>
      </c>
      <c r="H256" s="1960" t="s">
        <v>1386</v>
      </c>
      <c r="I256" s="467" t="s">
        <v>178</v>
      </c>
      <c r="J256" s="160"/>
      <c r="K256" s="486"/>
      <c r="L256" s="1682"/>
      <c r="M256" s="1592"/>
      <c r="N256" s="1682"/>
      <c r="O256" s="1710"/>
      <c r="P256" s="237"/>
      <c r="Q256" s="467"/>
      <c r="R256" s="468"/>
      <c r="S256" s="468"/>
      <c r="T256" s="468"/>
      <c r="U256" s="468"/>
      <c r="V256" s="468"/>
      <c r="W256" s="468"/>
      <c r="X256" s="468"/>
      <c r="Y256" s="166"/>
      <c r="Z256" s="468"/>
      <c r="AA256" s="468"/>
      <c r="AB256" s="468"/>
      <c r="AC256" s="737">
        <f t="shared" ref="AC256" si="74">SUM(Q256:AB256)</f>
        <v>0</v>
      </c>
      <c r="AD256" s="743">
        <f t="shared" ref="AD256" si="75">O256-AC256</f>
        <v>0</v>
      </c>
      <c r="AE256" s="1506"/>
      <c r="AF256" s="1627" t="s">
        <v>149</v>
      </c>
      <c r="AG256" s="328" t="s">
        <v>1372</v>
      </c>
      <c r="AH256" s="328"/>
      <c r="AI256" s="517">
        <f t="shared" si="61"/>
        <v>0</v>
      </c>
      <c r="AJ256" s="1629">
        <v>10000000</v>
      </c>
      <c r="AK256" s="926">
        <f t="shared" si="62"/>
        <v>10000000</v>
      </c>
      <c r="AL256" s="973"/>
      <c r="AM256" s="314"/>
    </row>
    <row r="257" spans="1:39" s="8" customFormat="1">
      <c r="A257" s="88" t="s">
        <v>41</v>
      </c>
      <c r="B257" s="169">
        <f t="shared" si="60"/>
        <v>0</v>
      </c>
      <c r="C257" s="89" t="s">
        <v>36</v>
      </c>
      <c r="D257" s="89" t="s">
        <v>862</v>
      </c>
      <c r="E257" s="89" t="s">
        <v>37</v>
      </c>
      <c r="F257" s="87" t="s">
        <v>353</v>
      </c>
      <c r="G257" s="1932" t="s">
        <v>38</v>
      </c>
      <c r="H257" s="1960" t="s">
        <v>1386</v>
      </c>
      <c r="I257" s="467" t="s">
        <v>178</v>
      </c>
      <c r="J257" s="160"/>
      <c r="K257" s="486"/>
      <c r="L257" s="1682"/>
      <c r="M257" s="1592"/>
      <c r="N257" s="1682"/>
      <c r="O257" s="1710"/>
      <c r="P257" s="237"/>
      <c r="Q257" s="467"/>
      <c r="R257" s="468"/>
      <c r="S257" s="468"/>
      <c r="T257" s="468"/>
      <c r="U257" s="468"/>
      <c r="V257" s="468"/>
      <c r="W257" s="468"/>
      <c r="X257" s="468"/>
      <c r="Y257" s="166"/>
      <c r="Z257" s="468"/>
      <c r="AA257" s="468"/>
      <c r="AB257" s="468"/>
      <c r="AC257" s="737">
        <f t="shared" si="64"/>
        <v>0</v>
      </c>
      <c r="AD257" s="743">
        <f t="shared" si="65"/>
        <v>0</v>
      </c>
      <c r="AE257" s="1506"/>
      <c r="AF257" s="1627" t="s">
        <v>349</v>
      </c>
      <c r="AG257" s="328" t="s">
        <v>520</v>
      </c>
      <c r="AH257" s="328"/>
      <c r="AI257" s="517">
        <f t="shared" si="61"/>
        <v>0</v>
      </c>
      <c r="AJ257" s="1629">
        <f>6067360-5305000+13771510+4273000-10400000</f>
        <v>8406870</v>
      </c>
      <c r="AK257" s="926">
        <f t="shared" si="62"/>
        <v>8406870</v>
      </c>
      <c r="AL257" s="973"/>
      <c r="AM257" s="314">
        <f t="shared" si="63"/>
        <v>8406870</v>
      </c>
    </row>
    <row r="258" spans="1:39" s="8" customFormat="1" ht="15">
      <c r="A258" s="167" t="s">
        <v>24</v>
      </c>
      <c r="B258" s="173">
        <f>B191-SUM(B192:B257)</f>
        <v>36113328</v>
      </c>
      <c r="C258" s="90"/>
      <c r="D258" s="90"/>
      <c r="E258" s="90"/>
      <c r="F258" s="90"/>
      <c r="G258" s="1961"/>
      <c r="H258" s="1965"/>
      <c r="I258" s="1009"/>
      <c r="J258" s="53"/>
      <c r="K258" s="483"/>
      <c r="L258" s="1683"/>
      <c r="M258" s="1661">
        <f>SUM(M192:M257)</f>
        <v>2735457844</v>
      </c>
      <c r="N258" s="1683"/>
      <c r="O258" s="1661">
        <f>SUM(O192:O257)</f>
        <v>2693957844</v>
      </c>
      <c r="P258" s="181"/>
      <c r="Q258" s="162">
        <f t="shared" ref="Q258:AD258" si="76">SUM(Q192:Q257)</f>
        <v>0</v>
      </c>
      <c r="R258" s="162">
        <f t="shared" si="76"/>
        <v>12385334</v>
      </c>
      <c r="S258" s="162">
        <f t="shared" si="76"/>
        <v>143464000</v>
      </c>
      <c r="T258" s="162">
        <f t="shared" si="76"/>
        <v>188884333</v>
      </c>
      <c r="U258" s="162">
        <f t="shared" si="76"/>
        <v>238659009</v>
      </c>
      <c r="V258" s="162">
        <f t="shared" si="76"/>
        <v>252146858</v>
      </c>
      <c r="W258" s="162">
        <f t="shared" si="76"/>
        <v>182351600</v>
      </c>
      <c r="X258" s="162">
        <f t="shared" si="76"/>
        <v>220191230</v>
      </c>
      <c r="Y258" s="162">
        <f t="shared" si="76"/>
        <v>266574443</v>
      </c>
      <c r="Z258" s="162">
        <f t="shared" si="76"/>
        <v>0</v>
      </c>
      <c r="AA258" s="162">
        <f t="shared" si="76"/>
        <v>0</v>
      </c>
      <c r="AB258" s="162">
        <f t="shared" si="76"/>
        <v>0</v>
      </c>
      <c r="AC258" s="162">
        <f t="shared" si="76"/>
        <v>1504656807</v>
      </c>
      <c r="AD258" s="162">
        <f t="shared" si="76"/>
        <v>1189301037</v>
      </c>
      <c r="AE258" s="234"/>
      <c r="AF258" s="922"/>
      <c r="AG258" s="313"/>
      <c r="AH258" s="313"/>
      <c r="AI258" s="525"/>
      <c r="AJ258" s="162">
        <f>SUM(AJ192:AJ257)</f>
        <v>2771571172</v>
      </c>
      <c r="AK258" s="162">
        <f>SUM(AK192:AK257)</f>
        <v>77613328</v>
      </c>
      <c r="AL258" s="843">
        <f>B191-AJ258</f>
        <v>0</v>
      </c>
      <c r="AM258" s="317"/>
    </row>
    <row r="259" spans="1:39" s="8" customFormat="1" ht="28.5" customHeight="1">
      <c r="A259" s="729" t="s">
        <v>41</v>
      </c>
      <c r="B259" s="172">
        <f>63000000-63000000</f>
        <v>0</v>
      </c>
      <c r="C259" s="1325" t="s">
        <v>1156</v>
      </c>
      <c r="D259" s="1325" t="s">
        <v>862</v>
      </c>
      <c r="E259" s="1324" t="s">
        <v>37</v>
      </c>
      <c r="F259" s="1324" t="s">
        <v>353</v>
      </c>
      <c r="G259" s="1962" t="s">
        <v>38</v>
      </c>
      <c r="H259" s="1959" t="s">
        <v>1386</v>
      </c>
      <c r="I259" s="1007"/>
      <c r="J259" s="454">
        <v>0</v>
      </c>
      <c r="K259" s="494"/>
      <c r="L259" s="1691"/>
      <c r="M259" s="1670"/>
      <c r="N259" s="1691"/>
      <c r="O259" s="1711"/>
      <c r="P259" s="397"/>
      <c r="Q259" s="447"/>
      <c r="R259" s="448"/>
      <c r="S259" s="448"/>
      <c r="T259" s="448"/>
      <c r="U259" s="448"/>
      <c r="V259" s="448"/>
      <c r="W259" s="448"/>
      <c r="X259" s="448"/>
      <c r="Y259" s="448"/>
      <c r="Z259" s="448"/>
      <c r="AA259" s="448"/>
      <c r="AB259" s="448"/>
      <c r="AC259" s="740"/>
      <c r="AD259" s="770"/>
      <c r="AE259" s="1513"/>
      <c r="AF259" s="956"/>
      <c r="AG259" s="452"/>
      <c r="AH259" s="452"/>
      <c r="AI259" s="1100"/>
      <c r="AJ259" s="453"/>
      <c r="AK259" s="955"/>
      <c r="AL259" s="973"/>
    </row>
    <row r="260" spans="1:39" s="8" customFormat="1">
      <c r="A260" s="88" t="s">
        <v>41</v>
      </c>
      <c r="B260" s="169">
        <f>M260</f>
        <v>0</v>
      </c>
      <c r="C260" s="87" t="s">
        <v>1156</v>
      </c>
      <c r="D260" s="89" t="s">
        <v>862</v>
      </c>
      <c r="E260" s="89" t="s">
        <v>37</v>
      </c>
      <c r="F260" s="87" t="s">
        <v>353</v>
      </c>
      <c r="G260" s="1932" t="s">
        <v>38</v>
      </c>
      <c r="H260" s="1960" t="s">
        <v>1386</v>
      </c>
      <c r="I260" s="1939">
        <v>94</v>
      </c>
      <c r="J260" s="608">
        <v>0</v>
      </c>
      <c r="K260" s="139"/>
      <c r="L260" s="1384"/>
      <c r="M260" s="1592"/>
      <c r="N260" s="1384"/>
      <c r="O260" s="1592"/>
      <c r="P260" s="239"/>
      <c r="Q260" s="230"/>
      <c r="R260" s="166"/>
      <c r="S260" s="166"/>
      <c r="T260" s="166"/>
      <c r="U260" s="166"/>
      <c r="V260" s="166"/>
      <c r="W260" s="166"/>
      <c r="X260" s="166"/>
      <c r="Y260" s="166"/>
      <c r="Z260" s="166"/>
      <c r="AA260" s="166"/>
      <c r="AB260" s="166"/>
      <c r="AC260" s="737">
        <f>SUM(Q260:AB260)</f>
        <v>0</v>
      </c>
      <c r="AD260" s="743">
        <f>O260-AC260</f>
        <v>0</v>
      </c>
      <c r="AE260" s="1506"/>
      <c r="AF260" s="942">
        <v>94</v>
      </c>
      <c r="AG260" s="322" t="s">
        <v>293</v>
      </c>
      <c r="AH260" s="328" t="s">
        <v>178</v>
      </c>
      <c r="AI260" s="517">
        <f>P260</f>
        <v>0</v>
      </c>
      <c r="AJ260" s="316">
        <f>63000000-63000000</f>
        <v>0</v>
      </c>
      <c r="AK260" s="926">
        <f>AJ260-O260</f>
        <v>0</v>
      </c>
      <c r="AL260" s="973"/>
    </row>
    <row r="261" spans="1:39" s="8" customFormat="1">
      <c r="A261" s="88" t="s">
        <v>41</v>
      </c>
      <c r="B261" s="169">
        <f>M261</f>
        <v>0</v>
      </c>
      <c r="C261" s="87" t="s">
        <v>1156</v>
      </c>
      <c r="D261" s="89" t="s">
        <v>862</v>
      </c>
      <c r="E261" s="89" t="s">
        <v>37</v>
      </c>
      <c r="F261" s="87" t="s">
        <v>353</v>
      </c>
      <c r="G261" s="1932" t="s">
        <v>38</v>
      </c>
      <c r="H261" s="1960" t="s">
        <v>1386</v>
      </c>
      <c r="I261" s="1021" t="s">
        <v>178</v>
      </c>
      <c r="J261" s="608">
        <v>0</v>
      </c>
      <c r="K261" s="286"/>
      <c r="L261" s="1692"/>
      <c r="M261" s="1671"/>
      <c r="N261" s="1692"/>
      <c r="O261" s="1703"/>
      <c r="P261" s="236"/>
      <c r="Q261" s="230"/>
      <c r="R261" s="166"/>
      <c r="S261" s="166"/>
      <c r="T261" s="166"/>
      <c r="U261" s="166"/>
      <c r="V261" s="166"/>
      <c r="W261" s="166"/>
      <c r="X261" s="166"/>
      <c r="Y261" s="166"/>
      <c r="Z261" s="166"/>
      <c r="AA261" s="166"/>
      <c r="AB261" s="166"/>
      <c r="AC261" s="737">
        <f>SUM(Q261:AB261)</f>
        <v>0</v>
      </c>
      <c r="AD261" s="743">
        <f>O261-AC261</f>
        <v>0</v>
      </c>
      <c r="AE261" s="1506"/>
      <c r="AF261" s="943"/>
      <c r="AG261" s="279"/>
      <c r="AH261" s="261"/>
      <c r="AI261" s="517">
        <f>P261</f>
        <v>0</v>
      </c>
      <c r="AJ261" s="316"/>
      <c r="AK261" s="926"/>
      <c r="AL261" s="973"/>
    </row>
    <row r="262" spans="1:39" s="8" customFormat="1" ht="11.25" customHeight="1">
      <c r="A262" s="58" t="s">
        <v>24</v>
      </c>
      <c r="B262" s="10">
        <f>B259-SUM(B260:B261)</f>
        <v>0</v>
      </c>
      <c r="C262" s="13"/>
      <c r="D262" s="13"/>
      <c r="E262" s="13"/>
      <c r="F262" s="13"/>
      <c r="G262" s="1963"/>
      <c r="H262" s="1966"/>
      <c r="I262" s="1010"/>
      <c r="J262" s="55"/>
      <c r="K262" s="289"/>
      <c r="L262" s="1688"/>
      <c r="M262" s="1667">
        <f>SUM(M260:M261)</f>
        <v>0</v>
      </c>
      <c r="N262" s="1688"/>
      <c r="O262" s="1667">
        <f>SUM(O260:O261)</f>
        <v>0</v>
      </c>
      <c r="P262" s="182"/>
      <c r="Q262" s="232">
        <f t="shared" ref="Q262:AB262" si="77">SUM(Q260:Q261)</f>
        <v>0</v>
      </c>
      <c r="R262" s="142">
        <f t="shared" si="77"/>
        <v>0</v>
      </c>
      <c r="S262" s="142">
        <f t="shared" si="77"/>
        <v>0</v>
      </c>
      <c r="T262" s="142">
        <f t="shared" si="77"/>
        <v>0</v>
      </c>
      <c r="U262" s="142">
        <f t="shared" si="77"/>
        <v>0</v>
      </c>
      <c r="V262" s="142">
        <f t="shared" si="77"/>
        <v>0</v>
      </c>
      <c r="W262" s="142">
        <f t="shared" si="77"/>
        <v>0</v>
      </c>
      <c r="X262" s="142">
        <f t="shared" si="77"/>
        <v>0</v>
      </c>
      <c r="Y262" s="142">
        <f t="shared" si="77"/>
        <v>0</v>
      </c>
      <c r="Z262" s="142">
        <f t="shared" si="77"/>
        <v>0</v>
      </c>
      <c r="AA262" s="142">
        <f t="shared" si="77"/>
        <v>0</v>
      </c>
      <c r="AB262" s="142">
        <f t="shared" si="77"/>
        <v>0</v>
      </c>
      <c r="AC262" s="142">
        <f>SUM(AC260:AC261)</f>
        <v>0</v>
      </c>
      <c r="AD262" s="744">
        <f>SUM(AD260:AD261)</f>
        <v>0</v>
      </c>
      <c r="AE262" s="1514"/>
      <c r="AF262" s="907"/>
      <c r="AG262" s="313"/>
      <c r="AH262" s="313"/>
      <c r="AI262" s="525"/>
      <c r="AJ262" s="14">
        <f>SUM(AJ260:AJ261)</f>
        <v>0</v>
      </c>
      <c r="AK262" s="182">
        <f>SUM(AK260:AK261)</f>
        <v>0</v>
      </c>
      <c r="AL262" s="843">
        <f>B259-AJ262</f>
        <v>0</v>
      </c>
      <c r="AM262" s="317"/>
    </row>
    <row r="263" spans="1:39" s="8" customFormat="1" ht="11.25" customHeight="1">
      <c r="A263" s="177"/>
      <c r="B263" s="178"/>
      <c r="C263" s="145"/>
      <c r="D263" s="146"/>
      <c r="E263" s="145"/>
      <c r="F263" s="145"/>
      <c r="G263" s="147"/>
      <c r="H263" s="1967"/>
      <c r="I263" s="213"/>
      <c r="J263" s="146"/>
      <c r="K263" s="495"/>
      <c r="L263" s="1693"/>
      <c r="M263" s="1672"/>
      <c r="N263" s="1706"/>
      <c r="O263" s="1663"/>
      <c r="P263" s="184"/>
      <c r="Q263" s="234"/>
      <c r="R263" s="138"/>
      <c r="S263" s="138"/>
      <c r="T263" s="138"/>
      <c r="U263" s="138"/>
      <c r="V263" s="138"/>
      <c r="W263" s="138"/>
      <c r="X263" s="138"/>
      <c r="Y263" s="138"/>
      <c r="Z263" s="138"/>
      <c r="AA263" s="138"/>
      <c r="AB263" s="138"/>
      <c r="AC263" s="737"/>
      <c r="AD263" s="743"/>
      <c r="AE263" s="1506"/>
      <c r="AF263" s="945"/>
      <c r="AG263" s="261"/>
      <c r="AH263" s="261"/>
      <c r="AI263" s="517"/>
      <c r="AJ263" s="316"/>
      <c r="AK263" s="957"/>
      <c r="AL263" s="973"/>
    </row>
    <row r="264" spans="1:39" s="844" customFormat="1" ht="15.75" thickBot="1">
      <c r="A264" s="821" t="s">
        <v>175</v>
      </c>
      <c r="B264" s="185">
        <f>B17+B130+B190</f>
        <v>6938000000</v>
      </c>
      <c r="C264" s="186"/>
      <c r="D264" s="187"/>
      <c r="E264" s="186"/>
      <c r="F264" s="186"/>
      <c r="G264" s="1964"/>
      <c r="H264" s="188"/>
      <c r="I264" s="1011"/>
      <c r="J264" s="187"/>
      <c r="K264" s="496"/>
      <c r="L264" s="1694"/>
      <c r="M264" s="547">
        <f>M115+M119+M123+M129+M189+M258+M262</f>
        <v>5406157933</v>
      </c>
      <c r="N264" s="1025"/>
      <c r="O264" s="547">
        <f>O115+O119+O123+O129+O189+O258+O262</f>
        <v>5344141071</v>
      </c>
      <c r="P264" s="188"/>
      <c r="Q264" s="547">
        <f t="shared" ref="Q264:AD264" si="78">Q115+Q119+Q123+Q129+Q189+Q258+Q262</f>
        <v>0</v>
      </c>
      <c r="R264" s="547">
        <f t="shared" si="78"/>
        <v>15342667</v>
      </c>
      <c r="S264" s="547">
        <f t="shared" si="78"/>
        <v>245383835</v>
      </c>
      <c r="T264" s="547">
        <f t="shared" si="78"/>
        <v>348762073</v>
      </c>
      <c r="U264" s="547">
        <f t="shared" si="78"/>
        <v>368647342</v>
      </c>
      <c r="V264" s="547">
        <f t="shared" si="78"/>
        <v>607002610</v>
      </c>
      <c r="W264" s="547">
        <f t="shared" si="78"/>
        <v>385093127</v>
      </c>
      <c r="X264" s="547">
        <f t="shared" si="78"/>
        <v>576723027</v>
      </c>
      <c r="Y264" s="547">
        <f t="shared" si="78"/>
        <v>677622182</v>
      </c>
      <c r="Z264" s="547">
        <f t="shared" si="78"/>
        <v>0</v>
      </c>
      <c r="AA264" s="547">
        <f t="shared" si="78"/>
        <v>0</v>
      </c>
      <c r="AB264" s="547">
        <f t="shared" si="78"/>
        <v>0</v>
      </c>
      <c r="AC264" s="547">
        <f t="shared" si="78"/>
        <v>3224576863</v>
      </c>
      <c r="AD264" s="547">
        <f t="shared" si="78"/>
        <v>2119564208</v>
      </c>
      <c r="AE264" s="1516"/>
      <c r="AF264" s="958"/>
      <c r="AG264" s="959"/>
      <c r="AH264" s="959"/>
      <c r="AI264" s="1101"/>
      <c r="AJ264" s="547">
        <f>AJ115+AJ119+AJ123+AJ129+AJ189+AJ258+AJ262</f>
        <v>6938000000</v>
      </c>
      <c r="AK264" s="547">
        <f>AK115+AK119+AK123+AK129+AK189+AK258+AK262</f>
        <v>1593858929</v>
      </c>
      <c r="AL264" s="971">
        <f>AL115+AL119+AL123+AL129+AL189+AL258+AL262</f>
        <v>0</v>
      </c>
    </row>
    <row r="265" spans="1:39" ht="15" hidden="1">
      <c r="A265" s="18"/>
      <c r="B265" s="19"/>
      <c r="C265" s="845"/>
      <c r="D265" s="845"/>
      <c r="E265" s="845"/>
      <c r="F265" s="845"/>
      <c r="G265" s="845"/>
      <c r="H265" s="1916"/>
      <c r="I265" s="214"/>
      <c r="J265" s="845"/>
      <c r="K265" s="125"/>
      <c r="L265" s="1078"/>
      <c r="M265" s="514"/>
      <c r="N265" s="1078"/>
      <c r="O265" s="1712"/>
      <c r="P265" s="226"/>
      <c r="Q265" s="596"/>
      <c r="R265" s="596"/>
      <c r="S265" s="596"/>
      <c r="T265" s="596"/>
      <c r="U265" s="596"/>
      <c r="V265" s="596"/>
      <c r="W265" s="596"/>
      <c r="X265" s="596"/>
      <c r="Y265" s="596"/>
      <c r="Z265" s="596"/>
      <c r="AA265" s="596"/>
      <c r="AB265" s="596"/>
      <c r="AC265" s="180"/>
      <c r="AD265" s="771"/>
      <c r="AE265" s="1510"/>
    </row>
    <row r="266" spans="1:39" ht="15" hidden="1">
      <c r="A266" s="18"/>
      <c r="B266" s="19"/>
      <c r="C266" s="845"/>
      <c r="D266" s="845"/>
      <c r="E266" s="845"/>
      <c r="F266" s="845"/>
      <c r="G266" s="845"/>
      <c r="H266" s="1916"/>
      <c r="I266" s="214"/>
      <c r="J266" s="845"/>
      <c r="K266" s="125"/>
      <c r="L266" s="1078"/>
      <c r="M266" s="514"/>
      <c r="N266" s="1078"/>
      <c r="O266" s="1712"/>
      <c r="P266" s="226"/>
      <c r="Q266" s="596"/>
      <c r="R266" s="596"/>
      <c r="S266" s="596"/>
      <c r="T266" s="596"/>
      <c r="U266" s="596"/>
      <c r="V266" s="596"/>
      <c r="W266" s="596"/>
      <c r="X266" s="596"/>
      <c r="Y266" s="596"/>
      <c r="Z266" s="596"/>
      <c r="AA266" s="596"/>
      <c r="AB266" s="596"/>
      <c r="AC266" s="180"/>
      <c r="AD266" s="771"/>
      <c r="AE266" s="1510"/>
    </row>
    <row r="267" spans="1:39" ht="15">
      <c r="A267" s="18"/>
      <c r="B267" s="19"/>
      <c r="C267" s="845"/>
      <c r="D267" s="845"/>
      <c r="E267" s="845"/>
      <c r="F267" s="845"/>
      <c r="G267" s="845"/>
      <c r="H267" s="1916"/>
      <c r="I267" s="214"/>
      <c r="J267" s="845"/>
      <c r="K267" s="125"/>
      <c r="L267" s="1078"/>
      <c r="M267" s="514"/>
      <c r="N267" s="1078"/>
      <c r="O267" s="1712"/>
      <c r="P267" s="226"/>
      <c r="Q267" s="596"/>
      <c r="R267" s="596"/>
      <c r="S267" s="596"/>
      <c r="T267" s="596"/>
      <c r="U267" s="596"/>
      <c r="V267" s="596"/>
      <c r="W267" s="596"/>
      <c r="X267" s="596"/>
      <c r="Y267" s="596"/>
      <c r="Z267" s="596"/>
      <c r="AA267" s="596"/>
      <c r="AB267" s="596"/>
      <c r="AC267" s="180"/>
      <c r="AD267" s="771"/>
      <c r="AE267" s="1510"/>
    </row>
    <row r="268" spans="1:39" ht="15">
      <c r="A268" s="18"/>
      <c r="B268" s="19"/>
      <c r="C268" s="845"/>
      <c r="D268" s="845"/>
      <c r="E268" s="845"/>
      <c r="F268" s="845"/>
      <c r="G268" s="845"/>
      <c r="H268" s="1916"/>
      <c r="I268" s="214"/>
      <c r="J268" s="845"/>
      <c r="K268" s="125"/>
      <c r="L268" s="1078"/>
      <c r="M268" s="514"/>
      <c r="N268" s="1078"/>
      <c r="O268" s="1712"/>
      <c r="P268" s="226"/>
      <c r="Q268" s="596"/>
      <c r="R268" s="596"/>
      <c r="S268" s="596"/>
      <c r="T268" s="596"/>
      <c r="U268" s="596"/>
      <c r="V268" s="596"/>
      <c r="W268" s="596"/>
      <c r="X268" s="596"/>
      <c r="Y268" s="596"/>
      <c r="Z268" s="596"/>
      <c r="AA268" s="596"/>
      <c r="AB268" s="596"/>
      <c r="AC268" s="180"/>
      <c r="AD268" s="771"/>
      <c r="AE268" s="1510"/>
      <c r="AJ268" s="324">
        <f>B264-AJ264</f>
        <v>0</v>
      </c>
    </row>
    <row r="269" spans="1:39" s="129" customFormat="1" ht="28.5" customHeight="1">
      <c r="A269" s="22" t="s">
        <v>30</v>
      </c>
      <c r="B269" s="23" t="s">
        <v>12</v>
      </c>
      <c r="C269" s="548"/>
      <c r="D269" s="548"/>
      <c r="E269" s="548"/>
      <c r="F269" s="548"/>
      <c r="G269" s="548"/>
      <c r="H269" s="548"/>
      <c r="I269" s="1012"/>
      <c r="J269" s="75"/>
      <c r="K269" s="489"/>
      <c r="L269" s="1695"/>
      <c r="M269" s="1673" t="s">
        <v>17</v>
      </c>
      <c r="N269" s="1713" t="s">
        <v>18</v>
      </c>
      <c r="O269" s="1714" t="s">
        <v>19</v>
      </c>
      <c r="P269" s="555" t="s">
        <v>137</v>
      </c>
      <c r="Q269" s="554">
        <v>0</v>
      </c>
      <c r="R269" s="554">
        <v>15342667</v>
      </c>
      <c r="S269" s="554">
        <v>245383835</v>
      </c>
      <c r="T269" s="554">
        <v>348762073</v>
      </c>
      <c r="U269" s="554">
        <v>368647342</v>
      </c>
      <c r="V269" s="554">
        <v>607002610</v>
      </c>
      <c r="W269" s="554">
        <v>385093127</v>
      </c>
      <c r="X269" s="554">
        <v>576723027</v>
      </c>
      <c r="Y269" s="554">
        <v>677622182</v>
      </c>
      <c r="Z269" s="554"/>
      <c r="AA269" s="554"/>
      <c r="AB269" s="554"/>
      <c r="AC269" s="741">
        <f>SUM(Q269:AB269)</f>
        <v>3224576863</v>
      </c>
      <c r="AD269" s="745">
        <f>O264-AC269</f>
        <v>2119564208</v>
      </c>
      <c r="AE269" s="1517"/>
      <c r="AF269" s="549"/>
      <c r="AI269" s="553"/>
      <c r="AJ269" s="550"/>
      <c r="AL269" s="974"/>
    </row>
    <row r="270" spans="1:39" ht="15">
      <c r="A270" s="18"/>
      <c r="B270" s="19"/>
      <c r="C270" s="2127"/>
      <c r="D270" s="2127"/>
      <c r="E270" s="2127"/>
      <c r="F270" s="592"/>
      <c r="G270" s="592"/>
      <c r="H270" s="592"/>
      <c r="I270" s="993"/>
      <c r="J270" s="845"/>
      <c r="K270" s="125"/>
      <c r="L270" s="1078"/>
      <c r="M270" s="362">
        <f>M264</f>
        <v>5406157933</v>
      </c>
      <c r="N270" s="362">
        <f>O264</f>
        <v>5344141071</v>
      </c>
      <c r="O270" s="362">
        <f>AC264</f>
        <v>3224576863</v>
      </c>
      <c r="P270" s="226"/>
      <c r="Q270" s="596"/>
      <c r="R270" s="596"/>
      <c r="S270" s="596"/>
      <c r="T270" s="596"/>
      <c r="U270" s="596"/>
      <c r="V270" s="596"/>
      <c r="W270" s="596"/>
      <c r="X270" s="596"/>
      <c r="Y270" s="596"/>
      <c r="Z270" s="596"/>
      <c r="AA270" s="596"/>
      <c r="AB270" s="596"/>
      <c r="AC270" s="180"/>
      <c r="AD270" s="771"/>
      <c r="AE270" s="1510"/>
    </row>
    <row r="271" spans="1:39" ht="24.75" customHeight="1">
      <c r="A271" s="25" t="s">
        <v>31</v>
      </c>
      <c r="B271" s="26">
        <f>B17+B130+B190</f>
        <v>6938000000</v>
      </c>
      <c r="C271" s="2082"/>
      <c r="D271" s="2128"/>
      <c r="E271" s="2128"/>
      <c r="F271" s="2128"/>
      <c r="G271" s="2128"/>
      <c r="H271" s="1917"/>
      <c r="I271" s="1013"/>
      <c r="J271" s="179"/>
      <c r="K271" s="497"/>
      <c r="L271" s="1696"/>
      <c r="M271" s="1499"/>
      <c r="N271" s="1715" t="s">
        <v>31</v>
      </c>
      <c r="O271" s="362">
        <f>O115+O119+O123+O129+O189+O258+O262</f>
        <v>5344141071</v>
      </c>
      <c r="P271" s="226"/>
      <c r="Q271" s="1271">
        <f>Q115+Q119+Q129+Q189+Q258+Q262</f>
        <v>0</v>
      </c>
      <c r="R271" s="1271">
        <f>R115+R119+R129+R189+R258+R262</f>
        <v>15342667</v>
      </c>
      <c r="S271" s="1271">
        <f>S115+S119+S129+S189+S258+S262</f>
        <v>245383835</v>
      </c>
      <c r="T271" s="1271">
        <f>T115+T119+T129+T189+T258+T262</f>
        <v>348762073</v>
      </c>
      <c r="U271" s="1271">
        <f>U115+U119+U129+U189+U258+U262</f>
        <v>368647342</v>
      </c>
      <c r="V271" s="1271">
        <f t="shared" ref="V271:AC271" si="79">V115+V119+V123+V129+V189+V258+V262</f>
        <v>607002610</v>
      </c>
      <c r="W271" s="1271">
        <f t="shared" si="79"/>
        <v>385093127</v>
      </c>
      <c r="X271" s="1271">
        <f t="shared" si="79"/>
        <v>576723027</v>
      </c>
      <c r="Y271" s="1271">
        <f t="shared" si="79"/>
        <v>677622182</v>
      </c>
      <c r="Z271" s="1271">
        <f t="shared" si="79"/>
        <v>0</v>
      </c>
      <c r="AA271" s="113">
        <f t="shared" si="79"/>
        <v>0</v>
      </c>
      <c r="AB271" s="113">
        <f t="shared" si="79"/>
        <v>0</v>
      </c>
      <c r="AC271" s="1486">
        <f t="shared" si="79"/>
        <v>3224576863</v>
      </c>
      <c r="AD271" s="1487">
        <f>O271-AC271</f>
        <v>2119564208</v>
      </c>
      <c r="AE271" s="1499"/>
      <c r="AF271" s="157"/>
    </row>
    <row r="272" spans="1:39" s="8" customFormat="1" ht="15">
      <c r="A272" s="421"/>
      <c r="B272" s="422"/>
      <c r="C272" s="2129"/>
      <c r="D272" s="2129"/>
      <c r="E272" s="2129"/>
      <c r="F272" s="2129"/>
      <c r="G272" s="2129"/>
      <c r="H272" s="1918"/>
      <c r="I272" s="1014"/>
      <c r="J272" s="288"/>
      <c r="K272" s="227"/>
      <c r="L272" s="1696"/>
      <c r="M272" s="1499"/>
      <c r="N272" s="1696"/>
      <c r="O272" s="1499"/>
      <c r="P272" s="224"/>
      <c r="Q272" s="423"/>
      <c r="R272" s="423"/>
      <c r="S272" s="423"/>
      <c r="T272" s="423"/>
      <c r="U272" s="423"/>
      <c r="V272" s="423"/>
      <c r="W272" s="423"/>
      <c r="X272" s="423"/>
      <c r="Y272" s="423"/>
      <c r="Z272" s="423"/>
      <c r="AA272" s="423"/>
      <c r="AB272" s="423"/>
      <c r="AC272" s="423"/>
      <c r="AD272" s="597"/>
      <c r="AE272" s="157"/>
      <c r="AF272" s="157"/>
      <c r="AI272" s="527"/>
      <c r="AJ272" s="424"/>
      <c r="AL272" s="973"/>
    </row>
    <row r="273" spans="1:39" s="8" customFormat="1" ht="15">
      <c r="A273" s="598"/>
      <c r="B273" s="422"/>
      <c r="C273" s="155"/>
      <c r="D273" s="155"/>
      <c r="E273" s="155"/>
      <c r="F273" s="155"/>
      <c r="G273" s="577"/>
      <c r="H273" s="577"/>
      <c r="I273" s="1015"/>
      <c r="J273" s="288"/>
      <c r="K273" s="227"/>
      <c r="L273" s="1696" t="s">
        <v>1134</v>
      </c>
      <c r="M273" s="1499"/>
      <c r="N273" s="1696"/>
      <c r="O273" s="1499"/>
      <c r="P273" s="224"/>
      <c r="Q273" s="423"/>
      <c r="R273" s="423"/>
      <c r="S273" s="423"/>
      <c r="T273" s="423"/>
      <c r="U273" s="423"/>
      <c r="V273" s="423"/>
      <c r="W273" s="423"/>
      <c r="X273" s="423"/>
      <c r="Y273" s="423"/>
      <c r="Z273" s="423"/>
      <c r="AA273" s="423"/>
      <c r="AB273" s="423"/>
      <c r="AC273" s="423"/>
      <c r="AD273" s="597">
        <f>AD271-AD269</f>
        <v>0</v>
      </c>
      <c r="AE273" s="157"/>
      <c r="AF273" s="157"/>
      <c r="AI273" s="527"/>
      <c r="AJ273" s="424"/>
      <c r="AL273" s="973"/>
    </row>
    <row r="274" spans="1:39" s="8" customFormat="1" ht="15.75" thickBot="1">
      <c r="A274" s="599"/>
      <c r="B274" s="600"/>
      <c r="C274" s="601"/>
      <c r="D274" s="601"/>
      <c r="E274" s="601"/>
      <c r="F274" s="601"/>
      <c r="G274" s="602"/>
      <c r="H274" s="602"/>
      <c r="I274" s="1016"/>
      <c r="J274" s="603"/>
      <c r="K274" s="604"/>
      <c r="L274" s="1697"/>
      <c r="M274" s="1674"/>
      <c r="N274" s="1697"/>
      <c r="O274" s="1674"/>
      <c r="P274" s="606"/>
      <c r="Q274" s="605"/>
      <c r="R274" s="605"/>
      <c r="S274" s="605"/>
      <c r="T274" s="605"/>
      <c r="U274" s="605"/>
      <c r="V274" s="605"/>
      <c r="W274" s="605"/>
      <c r="X274" s="605"/>
      <c r="Y274" s="605"/>
      <c r="Z274" s="605"/>
      <c r="AA274" s="605"/>
      <c r="AB274" s="605"/>
      <c r="AC274" s="605"/>
      <c r="AD274" s="607"/>
      <c r="AE274" s="157"/>
      <c r="AF274" s="157"/>
      <c r="AI274" s="527"/>
      <c r="AJ274" s="424"/>
      <c r="AL274" s="973"/>
    </row>
    <row r="275" spans="1:39" s="8" customFormat="1" ht="15">
      <c r="A275" s="421"/>
      <c r="B275" s="422"/>
      <c r="C275" s="155"/>
      <c r="D275" s="155"/>
      <c r="E275" s="155"/>
      <c r="F275" s="155"/>
      <c r="I275" s="1017"/>
      <c r="J275" s="288"/>
      <c r="K275" s="227"/>
      <c r="L275" s="1696"/>
      <c r="M275" s="1499">
        <v>5406157933</v>
      </c>
      <c r="N275" s="1499">
        <v>5344141071</v>
      </c>
      <c r="O275" s="1499">
        <f>O270</f>
        <v>3224576863</v>
      </c>
      <c r="P275" s="175"/>
      <c r="Q275" s="423"/>
      <c r="R275" s="423"/>
      <c r="S275" s="423"/>
      <c r="T275" s="423"/>
      <c r="U275" s="423"/>
      <c r="V275" s="423"/>
      <c r="W275" s="423"/>
      <c r="X275" s="423"/>
      <c r="Y275" s="423"/>
      <c r="Z275" s="423"/>
      <c r="AA275" s="423"/>
      <c r="AB275" s="423"/>
      <c r="AC275" s="423"/>
      <c r="AD275" s="157"/>
      <c r="AE275" s="157"/>
      <c r="AF275" s="157"/>
      <c r="AI275" s="527"/>
      <c r="AJ275" s="424"/>
      <c r="AL275" s="973"/>
    </row>
    <row r="276" spans="1:39" s="8" customFormat="1" ht="15">
      <c r="A276" s="421"/>
      <c r="B276" s="422"/>
      <c r="C276" s="155"/>
      <c r="D276" s="155"/>
      <c r="E276" s="155"/>
      <c r="F276" s="155"/>
      <c r="I276" s="1017"/>
      <c r="J276" s="288"/>
      <c r="K276" s="227"/>
      <c r="L276" s="1696"/>
      <c r="M276" s="1499">
        <f>M270-M273-M275</f>
        <v>0</v>
      </c>
      <c r="N276" s="1499">
        <f>N275-N270</f>
        <v>0</v>
      </c>
      <c r="O276" s="1499">
        <f>O275-O270</f>
        <v>0</v>
      </c>
      <c r="P276" s="175"/>
      <c r="Q276" s="423"/>
      <c r="R276" s="423"/>
      <c r="S276" s="423"/>
      <c r="T276" s="423"/>
      <c r="U276" s="423"/>
      <c r="V276" s="423"/>
      <c r="W276" s="423"/>
      <c r="X276" s="423"/>
      <c r="Y276" s="423"/>
      <c r="Z276" s="423"/>
      <c r="AA276" s="423"/>
      <c r="AB276" s="423"/>
      <c r="AC276" s="423"/>
      <c r="AD276" s="157"/>
      <c r="AE276" s="157"/>
      <c r="AF276" s="157"/>
      <c r="AI276" s="527"/>
      <c r="AJ276" s="424"/>
      <c r="AL276" s="973"/>
    </row>
    <row r="277" spans="1:39" s="8" customFormat="1" ht="15">
      <c r="A277" s="421"/>
      <c r="B277" s="422"/>
      <c r="C277" s="155"/>
      <c r="D277" s="155"/>
      <c r="E277" s="155"/>
      <c r="F277" s="155"/>
      <c r="I277" s="1017"/>
      <c r="J277" s="288"/>
      <c r="K277" s="227"/>
      <c r="L277" s="1696"/>
      <c r="M277" s="1499"/>
      <c r="N277" s="1696"/>
      <c r="O277" s="1499"/>
      <c r="P277" s="175"/>
      <c r="Q277" s="423"/>
      <c r="R277" s="423"/>
      <c r="S277" s="423"/>
      <c r="T277" s="423"/>
      <c r="U277" s="423"/>
      <c r="V277" s="423"/>
      <c r="W277" s="423"/>
      <c r="X277" s="423"/>
      <c r="Y277" s="423"/>
      <c r="Z277" s="423"/>
      <c r="AA277" s="423"/>
      <c r="AB277" s="423"/>
      <c r="AC277" s="423"/>
      <c r="AD277" s="157"/>
      <c r="AE277" s="157"/>
      <c r="AF277" s="157"/>
      <c r="AI277" s="527"/>
      <c r="AJ277" s="424"/>
      <c r="AL277" s="973"/>
    </row>
    <row r="278" spans="1:39" s="8" customFormat="1" ht="15">
      <c r="A278" s="421"/>
      <c r="B278" s="422"/>
      <c r="C278" s="155"/>
      <c r="D278" s="155"/>
      <c r="E278" s="155"/>
      <c r="F278" s="155"/>
      <c r="I278" s="1017"/>
      <c r="J278" s="288"/>
      <c r="K278" s="227"/>
      <c r="L278" s="1696"/>
      <c r="M278" s="1499"/>
      <c r="N278" s="1696"/>
      <c r="O278" s="1499"/>
      <c r="P278" s="175"/>
      <c r="Q278" s="423"/>
      <c r="R278" s="423"/>
      <c r="S278" s="423">
        <f>S269-S264</f>
        <v>0</v>
      </c>
      <c r="T278" s="423">
        <f t="shared" ref="T278:W278" si="80">T269-T264</f>
        <v>0</v>
      </c>
      <c r="U278" s="423">
        <f t="shared" si="80"/>
        <v>0</v>
      </c>
      <c r="V278" s="423">
        <f t="shared" si="80"/>
        <v>0</v>
      </c>
      <c r="W278" s="423">
        <f t="shared" si="80"/>
        <v>0</v>
      </c>
      <c r="X278" s="423">
        <f>X269-X264</f>
        <v>0</v>
      </c>
      <c r="Y278" s="423">
        <f>Y269-Y264</f>
        <v>0</v>
      </c>
      <c r="Z278" s="423">
        <f t="shared" ref="Z278:AB278" si="81">Z269-Z264</f>
        <v>0</v>
      </c>
      <c r="AA278" s="423">
        <f t="shared" si="81"/>
        <v>0</v>
      </c>
      <c r="AB278" s="423">
        <f t="shared" si="81"/>
        <v>0</v>
      </c>
      <c r="AC278" s="423"/>
      <c r="AD278" s="157"/>
      <c r="AE278" s="157"/>
      <c r="AF278" s="157"/>
      <c r="AI278" s="527"/>
      <c r="AJ278" s="424"/>
      <c r="AL278" s="973"/>
    </row>
    <row r="279" spans="1:39">
      <c r="A279" s="59"/>
      <c r="B279" s="60"/>
      <c r="C279" s="61"/>
      <c r="D279" s="61"/>
      <c r="E279" s="61"/>
      <c r="F279" s="61"/>
      <c r="G279" s="61"/>
      <c r="H279" s="61"/>
      <c r="I279" s="1018"/>
      <c r="J279" s="62"/>
      <c r="K279" s="498"/>
      <c r="L279" s="1698"/>
      <c r="M279" s="1675"/>
      <c r="N279" s="1698"/>
    </row>
    <row r="280" spans="1:39">
      <c r="A280" s="368" t="s">
        <v>42</v>
      </c>
      <c r="B280" s="369" t="s">
        <v>43</v>
      </c>
      <c r="C280" s="370" t="s">
        <v>153</v>
      </c>
      <c r="D280" s="370" t="s">
        <v>125</v>
      </c>
      <c r="E280" s="370" t="s">
        <v>126</v>
      </c>
      <c r="F280" s="370" t="s">
        <v>127</v>
      </c>
      <c r="G280" s="61"/>
      <c r="H280" s="61"/>
      <c r="I280" s="1018"/>
      <c r="J280" s="62"/>
      <c r="K280" s="498"/>
      <c r="L280" s="1698"/>
      <c r="M280" s="1675"/>
      <c r="N280" s="1698"/>
    </row>
    <row r="281" spans="1:39">
      <c r="A281" s="1401" t="s">
        <v>44</v>
      </c>
      <c r="B281" s="64" t="s">
        <v>975</v>
      </c>
      <c r="C281" s="1900">
        <f>B18+B191</f>
        <v>5908780000</v>
      </c>
      <c r="D281" s="223">
        <f>M115+M258</f>
        <v>4641328933</v>
      </c>
      <c r="E281" s="223">
        <f>O115+O258</f>
        <v>4579312071</v>
      </c>
      <c r="F281" s="223">
        <f>AC115+AC258</f>
        <v>2627479896</v>
      </c>
      <c r="G281" s="223"/>
      <c r="H281" s="223"/>
      <c r="I281" s="1018"/>
      <c r="J281" s="62"/>
      <c r="K281" s="498"/>
      <c r="L281" s="1698"/>
      <c r="M281" s="1546"/>
      <c r="N281" s="1698"/>
    </row>
    <row r="282" spans="1:39">
      <c r="A282" s="1401" t="s">
        <v>44</v>
      </c>
      <c r="B282" s="64" t="s">
        <v>976</v>
      </c>
      <c r="C282" s="424">
        <f>B130</f>
        <v>586220000</v>
      </c>
      <c r="D282" s="223">
        <f>M189</f>
        <v>562953000</v>
      </c>
      <c r="E282" s="223">
        <f>O189</f>
        <v>562953000</v>
      </c>
      <c r="F282" s="223">
        <f>AC189</f>
        <v>461961633</v>
      </c>
      <c r="G282" s="61"/>
      <c r="H282" s="61"/>
      <c r="I282" s="1018"/>
      <c r="J282" s="62"/>
      <c r="K282" s="498"/>
      <c r="L282" s="1698"/>
      <c r="M282" s="1675"/>
      <c r="N282" s="1698"/>
    </row>
    <row r="283" spans="1:39">
      <c r="A283" s="1401" t="s">
        <v>874</v>
      </c>
      <c r="B283" s="64" t="s">
        <v>975</v>
      </c>
      <c r="C283" s="1901">
        <f>B116</f>
        <v>240000000</v>
      </c>
      <c r="D283" s="223">
        <f>M119</f>
        <v>0</v>
      </c>
      <c r="E283" s="223">
        <f>O119</f>
        <v>0</v>
      </c>
      <c r="F283" s="223">
        <f>AC119</f>
        <v>0</v>
      </c>
      <c r="G283" s="61"/>
      <c r="H283" s="61"/>
      <c r="I283" s="1018"/>
      <c r="J283" s="62"/>
      <c r="K283" s="498"/>
      <c r="L283" s="1698"/>
      <c r="M283" s="1675"/>
      <c r="N283" s="1698"/>
    </row>
    <row r="284" spans="1:39" s="164" customFormat="1">
      <c r="A284" s="1401" t="s">
        <v>973</v>
      </c>
      <c r="B284" s="64" t="s">
        <v>975</v>
      </c>
      <c r="C284" s="1901">
        <f>B120</f>
        <v>63000000</v>
      </c>
      <c r="D284" s="223">
        <f>M123</f>
        <v>63000000</v>
      </c>
      <c r="E284" s="223">
        <f>O123</f>
        <v>63000000</v>
      </c>
      <c r="F284" s="223">
        <f>AC123</f>
        <v>28510667</v>
      </c>
      <c r="G284" s="223"/>
      <c r="H284" s="223"/>
      <c r="I284" s="1018"/>
      <c r="J284" s="62"/>
      <c r="K284" s="498"/>
      <c r="L284" s="1698"/>
      <c r="M284" s="1546"/>
      <c r="N284" s="1698"/>
      <c r="O284" s="1129"/>
      <c r="P284" s="176"/>
      <c r="Q284" s="165"/>
      <c r="R284" s="165"/>
      <c r="S284" s="165"/>
      <c r="T284" s="165"/>
      <c r="U284" s="165"/>
      <c r="V284" s="165"/>
      <c r="W284" s="165"/>
      <c r="X284" s="165"/>
      <c r="Y284" s="165"/>
      <c r="Z284" s="165"/>
      <c r="AA284" s="165"/>
      <c r="AB284" s="165"/>
      <c r="AC284" s="367"/>
      <c r="AD284" s="549"/>
      <c r="AE284" s="1518"/>
      <c r="AF284" s="70"/>
      <c r="AG284"/>
      <c r="AH284"/>
      <c r="AI284" s="524"/>
      <c r="AJ284" s="324"/>
      <c r="AK284"/>
      <c r="AL284" s="972"/>
      <c r="AM284"/>
    </row>
    <row r="285" spans="1:39" s="164" customFormat="1">
      <c r="A285" s="1401" t="s">
        <v>159</v>
      </c>
      <c r="B285" s="64" t="s">
        <v>975</v>
      </c>
      <c r="C285" s="424">
        <f>B124</f>
        <v>140000000</v>
      </c>
      <c r="D285" s="223">
        <f>M129</f>
        <v>138876000</v>
      </c>
      <c r="E285" s="223">
        <f>O129</f>
        <v>138876000</v>
      </c>
      <c r="F285" s="223">
        <f>AC129</f>
        <v>106624667</v>
      </c>
      <c r="G285" s="61"/>
      <c r="H285" s="61"/>
      <c r="I285" s="1018"/>
      <c r="J285" s="62"/>
      <c r="K285" s="498"/>
      <c r="L285" s="1698"/>
      <c r="M285" s="1675"/>
      <c r="N285" s="1698"/>
      <c r="O285" s="1129"/>
      <c r="P285" s="176"/>
      <c r="Q285" s="165"/>
      <c r="R285" s="165"/>
      <c r="S285" s="165"/>
      <c r="T285" s="165"/>
      <c r="U285" s="165"/>
      <c r="V285" s="165"/>
      <c r="W285" s="165"/>
      <c r="X285" s="165"/>
      <c r="Y285" s="165"/>
      <c r="Z285" s="165"/>
      <c r="AA285" s="165"/>
      <c r="AB285" s="165"/>
      <c r="AC285" s="367"/>
      <c r="AD285" s="549"/>
      <c r="AE285" s="1518"/>
      <c r="AF285" s="70"/>
      <c r="AG285"/>
      <c r="AH285"/>
      <c r="AI285" s="524"/>
      <c r="AJ285" s="324"/>
      <c r="AK285"/>
      <c r="AL285" s="972"/>
      <c r="AM285"/>
    </row>
    <row r="286" spans="1:39" s="164" customFormat="1">
      <c r="A286" s="63"/>
      <c r="B286" s="371" t="s">
        <v>124</v>
      </c>
      <c r="C286" s="371">
        <f>SUM(C281:C285)</f>
        <v>6938000000</v>
      </c>
      <c r="D286" s="371">
        <f t="shared" ref="D286:F286" si="82">SUM(D281:D285)</f>
        <v>5406157933</v>
      </c>
      <c r="E286" s="371">
        <f t="shared" si="82"/>
        <v>5344141071</v>
      </c>
      <c r="F286" s="371">
        <f t="shared" si="82"/>
        <v>3224576863</v>
      </c>
      <c r="G286" s="61"/>
      <c r="H286" s="61"/>
      <c r="I286" s="1018"/>
      <c r="J286" s="62"/>
      <c r="K286" s="498"/>
      <c r="L286" s="1698"/>
      <c r="M286" s="1675"/>
      <c r="N286" s="1698"/>
      <c r="O286" s="1129"/>
      <c r="P286" s="176"/>
      <c r="Q286" s="165"/>
      <c r="R286" s="165"/>
      <c r="S286" s="165"/>
      <c r="T286" s="165"/>
      <c r="U286" s="165"/>
      <c r="V286" s="165"/>
      <c r="W286" s="165"/>
      <c r="X286" s="165"/>
      <c r="Y286" s="165"/>
      <c r="Z286" s="165"/>
      <c r="AA286" s="165"/>
      <c r="AB286" s="165"/>
      <c r="AC286" s="367"/>
      <c r="AD286" s="549"/>
      <c r="AE286" s="1518"/>
      <c r="AF286" s="70"/>
      <c r="AG286"/>
      <c r="AH286"/>
      <c r="AI286" s="524"/>
      <c r="AJ286" s="324"/>
      <c r="AK286"/>
      <c r="AL286" s="972"/>
      <c r="AM286"/>
    </row>
    <row r="287" spans="1:39" s="164" customFormat="1" ht="14.25" customHeight="1">
      <c r="A287" s="425"/>
      <c r="B287" s="60"/>
      <c r="C287" s="426"/>
      <c r="D287" s="427"/>
      <c r="E287" s="428"/>
      <c r="F287" s="429"/>
      <c r="G287" s="429"/>
      <c r="H287" s="429"/>
      <c r="I287" s="1019"/>
      <c r="J287" s="62"/>
      <c r="K287" s="498"/>
      <c r="L287" s="1698"/>
      <c r="M287" s="1675"/>
      <c r="N287" s="1698"/>
      <c r="O287" s="1129"/>
      <c r="P287" s="176"/>
      <c r="Q287" s="165"/>
      <c r="R287" s="165"/>
      <c r="S287" s="165"/>
      <c r="T287" s="165"/>
      <c r="U287" s="165"/>
      <c r="V287" s="165"/>
      <c r="W287" s="165"/>
      <c r="X287" s="165"/>
      <c r="Y287" s="165"/>
      <c r="Z287" s="165"/>
      <c r="AA287" s="165"/>
      <c r="AB287" s="165"/>
      <c r="AC287" s="367"/>
      <c r="AD287" s="549"/>
      <c r="AE287" s="1518"/>
      <c r="AF287" s="70"/>
      <c r="AG287"/>
      <c r="AH287"/>
      <c r="AI287" s="524"/>
      <c r="AJ287" s="324"/>
      <c r="AK287"/>
      <c r="AL287" s="972"/>
      <c r="AM287"/>
    </row>
    <row r="288" spans="1:39" s="164" customFormat="1">
      <c r="A288"/>
      <c r="B288" s="27"/>
      <c r="C288"/>
      <c r="D288"/>
      <c r="E288"/>
      <c r="F288" s="28"/>
      <c r="G288"/>
      <c r="H288"/>
      <c r="I288" s="997"/>
      <c r="J288" s="70"/>
      <c r="L288" s="1110"/>
      <c r="M288" s="364"/>
      <c r="N288" s="1110"/>
      <c r="O288" s="1129"/>
      <c r="P288" s="176"/>
      <c r="Q288" s="165"/>
      <c r="R288" s="165"/>
      <c r="S288" s="165"/>
      <c r="T288" s="165"/>
      <c r="U288" s="165"/>
      <c r="V288" s="165"/>
      <c r="W288" s="165"/>
      <c r="X288" s="165"/>
      <c r="Y288" s="165"/>
      <c r="Z288" s="165"/>
      <c r="AA288" s="165"/>
      <c r="AB288" s="165"/>
      <c r="AC288" s="367"/>
      <c r="AD288" s="549"/>
      <c r="AE288" s="1518"/>
      <c r="AF288" s="70"/>
      <c r="AG288"/>
      <c r="AH288"/>
      <c r="AI288" s="524"/>
      <c r="AJ288" s="324"/>
      <c r="AK288"/>
      <c r="AL288" s="972"/>
      <c r="AM288"/>
    </row>
    <row r="289" spans="1:39" s="164" customFormat="1">
      <c r="A289"/>
      <c r="B289" s="27"/>
      <c r="C289" s="225"/>
      <c r="D289" s="225"/>
      <c r="E289" s="225"/>
      <c r="F289" s="225"/>
      <c r="G289" s="128"/>
      <c r="H289" s="128"/>
      <c r="I289" s="1020"/>
      <c r="J289" s="70"/>
      <c r="L289" s="1110"/>
      <c r="M289" s="364"/>
      <c r="N289" s="1110"/>
      <c r="O289" s="1129"/>
      <c r="P289" s="176"/>
      <c r="Q289" s="165"/>
      <c r="R289" s="165"/>
      <c r="S289" s="165"/>
      <c r="T289" s="165"/>
      <c r="U289" s="165"/>
      <c r="V289" s="165"/>
      <c r="W289" s="165"/>
      <c r="X289" s="165"/>
      <c r="Y289" s="165"/>
      <c r="Z289" s="165"/>
      <c r="AA289" s="165"/>
      <c r="AB289" s="165"/>
      <c r="AC289" s="367"/>
      <c r="AD289" s="549"/>
      <c r="AE289" s="1518"/>
      <c r="AF289" s="70"/>
      <c r="AG289"/>
      <c r="AH289"/>
      <c r="AI289" s="524"/>
      <c r="AJ289" s="324"/>
      <c r="AK289"/>
      <c r="AL289" s="972"/>
      <c r="AM289"/>
    </row>
    <row r="290" spans="1:39" s="164" customFormat="1">
      <c r="A290"/>
      <c r="B290" s="27"/>
      <c r="C290" s="225"/>
      <c r="D290" s="225"/>
      <c r="E290" s="225"/>
      <c r="F290" s="225"/>
      <c r="G290" s="128"/>
      <c r="H290" s="128"/>
      <c r="I290" s="1020"/>
      <c r="J290" s="70"/>
      <c r="L290" s="1110"/>
      <c r="M290" s="364"/>
      <c r="N290" s="1110"/>
      <c r="O290" s="1129"/>
      <c r="P290" s="176"/>
      <c r="Q290" s="165"/>
      <c r="R290" s="165"/>
      <c r="S290" s="165"/>
      <c r="T290" s="165"/>
      <c r="U290" s="165"/>
      <c r="V290" s="165"/>
      <c r="W290" s="165"/>
      <c r="X290" s="165"/>
      <c r="Y290" s="165"/>
      <c r="Z290" s="165"/>
      <c r="AA290" s="165"/>
      <c r="AB290" s="165"/>
      <c r="AC290" s="367"/>
      <c r="AD290" s="549"/>
      <c r="AE290" s="1518"/>
      <c r="AF290" s="70"/>
      <c r="AG290"/>
      <c r="AH290"/>
      <c r="AI290" s="524"/>
      <c r="AJ290" s="324"/>
      <c r="AK290"/>
      <c r="AL290" s="972"/>
      <c r="AM290"/>
    </row>
    <row r="291" spans="1:39" s="164" customFormat="1">
      <c r="A291"/>
      <c r="B291" s="27"/>
      <c r="C291" s="1924" t="s">
        <v>126</v>
      </c>
      <c r="D291" s="225"/>
      <c r="E291" s="225"/>
      <c r="F291" s="225"/>
      <c r="G291" s="128"/>
      <c r="H291" s="128"/>
      <c r="I291" s="1020"/>
      <c r="J291" s="70"/>
      <c r="L291" s="1110"/>
      <c r="M291" s="364"/>
      <c r="N291" s="1110"/>
      <c r="O291" s="1129"/>
      <c r="P291" s="176"/>
      <c r="Q291" s="165"/>
      <c r="R291" s="165"/>
      <c r="S291" s="165"/>
      <c r="T291" s="165"/>
      <c r="U291" s="165"/>
      <c r="V291" s="165"/>
      <c r="W291" s="165"/>
      <c r="X291" s="165"/>
      <c r="Y291" s="165"/>
      <c r="Z291" s="165"/>
      <c r="AA291" s="165"/>
      <c r="AB291" s="165"/>
      <c r="AC291" s="367"/>
      <c r="AD291" s="549"/>
      <c r="AE291" s="1518"/>
      <c r="AF291" s="70"/>
      <c r="AG291"/>
      <c r="AH291"/>
      <c r="AI291" s="524"/>
      <c r="AJ291" s="324"/>
      <c r="AK291"/>
      <c r="AL291" s="972"/>
      <c r="AM291"/>
    </row>
    <row r="292" spans="1:39" s="164" customFormat="1" ht="15">
      <c r="A292" s="1902" t="s">
        <v>160</v>
      </c>
      <c r="B292" s="1903">
        <f>B17</f>
        <v>3580208828</v>
      </c>
      <c r="C292" s="225">
        <f>O115+O123+O129</f>
        <v>2087230227</v>
      </c>
      <c r="D292" s="225"/>
      <c r="E292" s="225"/>
      <c r="F292" s="225"/>
      <c r="G292" s="128"/>
      <c r="H292" s="128"/>
      <c r="I292" s="1020"/>
      <c r="J292" s="70"/>
      <c r="L292" s="1110"/>
      <c r="M292" s="364"/>
      <c r="N292" s="1110"/>
      <c r="O292" s="1129"/>
      <c r="P292" s="176"/>
      <c r="Q292" s="165"/>
      <c r="R292" s="165"/>
      <c r="S292" s="165"/>
      <c r="T292" s="165"/>
      <c r="U292" s="165"/>
      <c r="V292" s="165"/>
      <c r="W292" s="165"/>
      <c r="X292" s="165"/>
      <c r="Y292" s="165"/>
      <c r="Z292" s="165"/>
      <c r="AA292" s="165"/>
      <c r="AB292" s="165"/>
      <c r="AC292" s="367"/>
      <c r="AD292" s="549"/>
      <c r="AE292" s="1518"/>
      <c r="AF292" s="70"/>
      <c r="AG292"/>
      <c r="AH292"/>
      <c r="AI292" s="524"/>
      <c r="AJ292" s="324"/>
      <c r="AK292"/>
      <c r="AL292" s="972"/>
      <c r="AM292"/>
    </row>
    <row r="293" spans="1:39" s="164" customFormat="1" ht="15">
      <c r="A293" s="1902" t="s">
        <v>161</v>
      </c>
      <c r="B293" s="1903">
        <f>B130</f>
        <v>586220000</v>
      </c>
      <c r="C293" s="225">
        <f>O189</f>
        <v>562953000</v>
      </c>
      <c r="D293" s="225"/>
      <c r="E293" s="225"/>
      <c r="F293" s="225"/>
      <c r="G293"/>
      <c r="H293"/>
      <c r="I293" s="997"/>
      <c r="J293" s="70"/>
      <c r="L293" s="1110"/>
      <c r="M293" s="364"/>
      <c r="N293" s="1110"/>
      <c r="O293" s="1129"/>
      <c r="P293" s="176"/>
      <c r="Q293" s="165"/>
      <c r="R293" s="165"/>
      <c r="S293" s="165"/>
      <c r="T293" s="165"/>
      <c r="U293" s="165"/>
      <c r="V293" s="165"/>
      <c r="W293" s="165"/>
      <c r="X293" s="165"/>
      <c r="Y293" s="165"/>
      <c r="Z293" s="165"/>
      <c r="AA293" s="165"/>
      <c r="AB293" s="165"/>
      <c r="AC293" s="367"/>
      <c r="AD293" s="549"/>
      <c r="AE293" s="1518"/>
      <c r="AF293" s="70"/>
      <c r="AG293"/>
      <c r="AH293"/>
      <c r="AI293" s="524"/>
      <c r="AJ293" s="324"/>
      <c r="AK293"/>
      <c r="AL293" s="972"/>
      <c r="AM293"/>
    </row>
    <row r="294" spans="1:39" s="164" customFormat="1" ht="15">
      <c r="A294" s="1902" t="s">
        <v>162</v>
      </c>
      <c r="B294" s="1903">
        <f>B190</f>
        <v>2771571172</v>
      </c>
      <c r="C294" s="225">
        <f>O258</f>
        <v>2693957844</v>
      </c>
      <c r="D294" s="225"/>
      <c r="E294" s="225"/>
      <c r="F294" s="225"/>
      <c r="G294"/>
      <c r="H294"/>
      <c r="I294" s="997"/>
      <c r="J294" s="70"/>
      <c r="L294" s="1110"/>
      <c r="M294" s="364"/>
      <c r="N294" s="1110"/>
      <c r="O294" s="1129"/>
      <c r="P294" s="176"/>
      <c r="Q294" s="165"/>
      <c r="R294" s="165"/>
      <c r="S294" s="165"/>
      <c r="T294" s="165"/>
      <c r="U294" s="165"/>
      <c r="V294" s="165"/>
      <c r="W294" s="165"/>
      <c r="X294" s="165"/>
      <c r="Y294" s="165"/>
      <c r="Z294" s="165"/>
      <c r="AA294" s="165"/>
      <c r="AB294" s="165"/>
      <c r="AC294" s="367"/>
      <c r="AD294" s="549"/>
      <c r="AE294" s="1518"/>
      <c r="AF294" s="70"/>
      <c r="AG294"/>
      <c r="AH294"/>
      <c r="AI294" s="524"/>
      <c r="AJ294" s="324"/>
      <c r="AK294"/>
      <c r="AL294" s="972"/>
      <c r="AM294"/>
    </row>
    <row r="295" spans="1:39" s="164" customFormat="1" ht="15">
      <c r="A295" s="1904"/>
      <c r="B295" s="1905">
        <f>SUM(B292:B294)</f>
        <v>6938000000</v>
      </c>
      <c r="C295" s="1905">
        <f>SUM(C292:C294)</f>
        <v>5344141071</v>
      </c>
      <c r="D295" s="225"/>
      <c r="E295" s="225"/>
      <c r="F295" s="225"/>
      <c r="G295"/>
      <c r="H295"/>
      <c r="I295" s="997"/>
      <c r="J295" s="70"/>
      <c r="L295" s="1110"/>
      <c r="M295" s="364"/>
      <c r="N295" s="1110"/>
      <c r="O295" s="1129"/>
      <c r="P295" s="176"/>
      <c r="Q295" s="165"/>
      <c r="R295" s="165"/>
      <c r="S295" s="165"/>
      <c r="T295" s="165"/>
      <c r="U295" s="165"/>
      <c r="V295" s="165"/>
      <c r="W295" s="165"/>
      <c r="X295" s="165"/>
      <c r="Y295" s="165"/>
      <c r="Z295" s="165"/>
      <c r="AA295" s="165"/>
      <c r="AB295" s="165"/>
      <c r="AC295" s="367"/>
      <c r="AD295" s="549"/>
      <c r="AE295" s="1518"/>
      <c r="AF295" s="70"/>
      <c r="AG295"/>
      <c r="AH295"/>
      <c r="AI295" s="524"/>
      <c r="AJ295" s="324"/>
      <c r="AK295"/>
      <c r="AL295" s="972"/>
      <c r="AM295"/>
    </row>
    <row r="296" spans="1:39" s="164" customFormat="1">
      <c r="A296"/>
      <c r="B296" s="27"/>
      <c r="C296" s="225"/>
      <c r="D296" s="225"/>
      <c r="E296" s="225"/>
      <c r="F296" s="225"/>
      <c r="G296"/>
      <c r="H296"/>
      <c r="I296" s="997"/>
      <c r="J296" s="70"/>
      <c r="L296" s="1110"/>
      <c r="M296" s="364"/>
      <c r="N296" s="1110"/>
      <c r="O296" s="1129"/>
      <c r="P296" s="176"/>
      <c r="Q296" s="165"/>
      <c r="R296" s="165"/>
      <c r="S296" s="165"/>
      <c r="T296" s="165"/>
      <c r="U296" s="165"/>
      <c r="V296" s="165"/>
      <c r="W296" s="165"/>
      <c r="X296" s="165"/>
      <c r="Y296" s="165"/>
      <c r="Z296" s="165"/>
      <c r="AA296" s="165"/>
      <c r="AB296" s="165"/>
      <c r="AC296" s="367"/>
      <c r="AD296" s="549"/>
      <c r="AE296" s="1518"/>
      <c r="AF296" s="70"/>
      <c r="AG296"/>
      <c r="AH296"/>
      <c r="AI296" s="524"/>
      <c r="AJ296" s="324"/>
      <c r="AK296"/>
      <c r="AL296" s="972"/>
      <c r="AM296"/>
    </row>
    <row r="297" spans="1:39" s="164" customFormat="1">
      <c r="A297"/>
      <c r="B297" s="27"/>
      <c r="C297" s="225"/>
      <c r="D297" s="225"/>
      <c r="E297" s="225"/>
      <c r="F297" s="225"/>
      <c r="G297"/>
      <c r="H297"/>
      <c r="I297" s="997"/>
      <c r="J297" s="70"/>
      <c r="L297" s="1110"/>
      <c r="M297" s="364"/>
      <c r="N297" s="1110"/>
      <c r="O297" s="1129"/>
      <c r="P297" s="176"/>
      <c r="Q297" s="165"/>
      <c r="R297" s="165"/>
      <c r="S297" s="165"/>
      <c r="T297" s="165"/>
      <c r="U297" s="165"/>
      <c r="V297" s="165"/>
      <c r="W297" s="165"/>
      <c r="X297" s="165"/>
      <c r="Y297" s="165"/>
      <c r="Z297" s="165"/>
      <c r="AA297" s="165"/>
      <c r="AB297" s="165"/>
      <c r="AC297" s="367"/>
      <c r="AD297" s="549"/>
      <c r="AE297" s="1518"/>
      <c r="AF297" s="70"/>
      <c r="AG297"/>
      <c r="AH297"/>
      <c r="AI297" s="524"/>
      <c r="AJ297" s="324"/>
      <c r="AK297"/>
      <c r="AL297" s="972"/>
      <c r="AM297"/>
    </row>
    <row r="298" spans="1:39" s="164" customFormat="1">
      <c r="A298"/>
      <c r="B298" s="27"/>
      <c r="C298" s="225"/>
      <c r="D298" s="225"/>
      <c r="E298" s="225"/>
      <c r="F298" s="225"/>
      <c r="G298"/>
      <c r="H298"/>
      <c r="I298" s="997"/>
      <c r="J298" s="70"/>
      <c r="L298" s="1110"/>
      <c r="M298" s="364"/>
      <c r="N298" s="1110"/>
      <c r="O298" s="1129"/>
      <c r="P298" s="176"/>
      <c r="Q298" s="165"/>
      <c r="R298" s="165"/>
      <c r="S298" s="165"/>
      <c r="T298" s="165"/>
      <c r="U298" s="165"/>
      <c r="V298" s="165"/>
      <c r="W298" s="165"/>
      <c r="X298" s="165"/>
      <c r="Y298" s="165"/>
      <c r="Z298" s="165"/>
      <c r="AA298" s="165"/>
      <c r="AB298" s="165"/>
      <c r="AC298" s="367"/>
      <c r="AD298" s="549"/>
      <c r="AE298" s="1518"/>
      <c r="AF298" s="70"/>
      <c r="AG298"/>
      <c r="AH298"/>
      <c r="AI298" s="524"/>
      <c r="AJ298" s="324"/>
      <c r="AK298"/>
      <c r="AL298" s="972"/>
      <c r="AM298"/>
    </row>
    <row r="299" spans="1:39" s="164" customFormat="1">
      <c r="A299"/>
      <c r="B299" s="27"/>
      <c r="C299" s="225"/>
      <c r="D299" s="225"/>
      <c r="E299" s="225"/>
      <c r="F299" s="225"/>
      <c r="G299"/>
      <c r="H299"/>
      <c r="I299" s="997"/>
      <c r="J299" s="70"/>
      <c r="L299" s="1110"/>
      <c r="M299" s="364"/>
      <c r="N299" s="1110"/>
      <c r="O299" s="1129"/>
      <c r="P299" s="176"/>
      <c r="Q299" s="165"/>
      <c r="R299" s="165"/>
      <c r="S299" s="165"/>
      <c r="T299" s="165"/>
      <c r="U299" s="165"/>
      <c r="V299" s="165"/>
      <c r="W299" s="165"/>
      <c r="X299" s="165"/>
      <c r="Y299" s="165"/>
      <c r="Z299" s="165"/>
      <c r="AA299" s="165"/>
      <c r="AB299" s="165"/>
      <c r="AC299" s="367"/>
      <c r="AD299" s="549"/>
      <c r="AE299" s="1518"/>
      <c r="AF299" s="70"/>
      <c r="AG299"/>
      <c r="AH299"/>
      <c r="AI299" s="524"/>
      <c r="AJ299" s="324"/>
      <c r="AK299"/>
      <c r="AL299" s="972"/>
      <c r="AM299"/>
    </row>
    <row r="300" spans="1:39" s="164" customFormat="1">
      <c r="A300"/>
      <c r="B300" s="27"/>
      <c r="C300" s="225"/>
      <c r="D300" s="225"/>
      <c r="E300" s="225"/>
      <c r="F300" s="225"/>
      <c r="G300"/>
      <c r="H300"/>
      <c r="I300" s="997"/>
      <c r="J300" s="70"/>
      <c r="L300" s="1110"/>
      <c r="M300" s="364"/>
      <c r="N300" s="1110"/>
      <c r="O300" s="1129"/>
      <c r="P300" s="176"/>
      <c r="Q300" s="165"/>
      <c r="R300" s="165"/>
      <c r="S300" s="165"/>
      <c r="T300" s="165"/>
      <c r="U300" s="165"/>
      <c r="V300" s="165"/>
      <c r="W300" s="165"/>
      <c r="X300" s="165"/>
      <c r="Y300" s="165"/>
      <c r="Z300" s="165"/>
      <c r="AA300" s="165"/>
      <c r="AB300" s="165"/>
      <c r="AC300" s="367"/>
      <c r="AD300" s="549"/>
      <c r="AE300" s="1518"/>
      <c r="AF300" s="70"/>
      <c r="AG300"/>
      <c r="AH300"/>
      <c r="AI300" s="524"/>
      <c r="AJ300" s="324"/>
      <c r="AK300"/>
      <c r="AL300" s="972"/>
      <c r="AM300"/>
    </row>
    <row r="301" spans="1:39">
      <c r="C301" s="225"/>
      <c r="D301" s="225"/>
      <c r="E301" s="225"/>
      <c r="F301" s="225"/>
    </row>
    <row r="303" spans="1:39">
      <c r="A303" s="29"/>
      <c r="B303" s="30"/>
    </row>
    <row r="304" spans="1:39">
      <c r="A304" s="33"/>
      <c r="B304" s="34"/>
      <c r="F304" s="37"/>
    </row>
    <row r="305" spans="1:6">
      <c r="A305" s="33"/>
      <c r="B305" s="34"/>
      <c r="F305" s="37"/>
    </row>
    <row r="306" spans="1:6">
      <c r="A306" s="33"/>
      <c r="B306" s="34"/>
      <c r="F306" s="37"/>
    </row>
    <row r="307" spans="1:6">
      <c r="A307" s="33"/>
      <c r="B307" s="34"/>
      <c r="F307" s="37"/>
    </row>
    <row r="314" spans="1:6">
      <c r="A314" s="33"/>
      <c r="B314" s="34"/>
    </row>
    <row r="315" spans="1:6">
      <c r="A315" s="33"/>
      <c r="B315" s="34"/>
    </row>
    <row r="316" spans="1:6">
      <c r="A316" s="33"/>
      <c r="B316" s="34"/>
    </row>
    <row r="317" spans="1:6">
      <c r="A317" s="33"/>
      <c r="B317" s="34"/>
    </row>
    <row r="318" spans="1:6">
      <c r="A318" s="33"/>
      <c r="B318" s="34"/>
    </row>
    <row r="319" spans="1:6">
      <c r="A319" s="33"/>
      <c r="B319" s="34"/>
    </row>
    <row r="320" spans="1:6">
      <c r="A320" s="33"/>
      <c r="B320" s="34"/>
    </row>
    <row r="321" spans="1:2">
      <c r="A321" s="33"/>
      <c r="B321" s="34"/>
    </row>
    <row r="322" spans="1:2">
      <c r="A322" s="33"/>
      <c r="B322" s="34"/>
    </row>
    <row r="323" spans="1:2">
      <c r="A323" s="33"/>
      <c r="B323" s="34"/>
    </row>
    <row r="324" spans="1:2">
      <c r="A324" s="33"/>
      <c r="B324" s="34"/>
    </row>
    <row r="325" spans="1:2">
      <c r="A325" s="33"/>
      <c r="B325" s="34"/>
    </row>
    <row r="326" spans="1:2">
      <c r="A326" s="33"/>
      <c r="B326" s="34"/>
    </row>
    <row r="327" spans="1:2">
      <c r="A327" s="33"/>
      <c r="B327" s="34"/>
    </row>
    <row r="328" spans="1:2">
      <c r="A328" s="33"/>
      <c r="B328" s="34"/>
    </row>
    <row r="329" spans="1:2">
      <c r="A329" s="33"/>
      <c r="B329" s="34"/>
    </row>
    <row r="330" spans="1:2">
      <c r="A330" s="33"/>
      <c r="B330" s="34"/>
    </row>
    <row r="331" spans="1:2">
      <c r="A331" s="33"/>
      <c r="B331" s="34"/>
    </row>
    <row r="332" spans="1:2">
      <c r="A332" s="33"/>
      <c r="B332" s="34"/>
    </row>
  </sheetData>
  <autoFilter ref="A16:AM262"/>
  <mergeCells count="39">
    <mergeCell ref="AM148:AM179"/>
    <mergeCell ref="L144:L146"/>
    <mergeCell ref="M144:M146"/>
    <mergeCell ref="AJ144:AJ146"/>
    <mergeCell ref="AK144:AK146"/>
    <mergeCell ref="L148:L179"/>
    <mergeCell ref="M148:M179"/>
    <mergeCell ref="AJ148:AJ179"/>
    <mergeCell ref="AK148:AK179"/>
    <mergeCell ref="C270:E270"/>
    <mergeCell ref="C271:D271"/>
    <mergeCell ref="E271:G271"/>
    <mergeCell ref="C272:D272"/>
    <mergeCell ref="E272:G272"/>
    <mergeCell ref="A1:A3"/>
    <mergeCell ref="A4:G4"/>
    <mergeCell ref="O4:AD14"/>
    <mergeCell ref="A5:G5"/>
    <mergeCell ref="A6:G6"/>
    <mergeCell ref="A7:G7"/>
    <mergeCell ref="A8:G8"/>
    <mergeCell ref="A9:G9"/>
    <mergeCell ref="B10:D10"/>
    <mergeCell ref="B11:G11"/>
    <mergeCell ref="B12:G12"/>
    <mergeCell ref="B1:AD1"/>
    <mergeCell ref="B2:AD2"/>
    <mergeCell ref="B3:AD3"/>
    <mergeCell ref="I23:I24"/>
    <mergeCell ref="L23:L24"/>
    <mergeCell ref="M23:M24"/>
    <mergeCell ref="AF23:AF24"/>
    <mergeCell ref="AG23:AG24"/>
    <mergeCell ref="AJ23:AJ24"/>
    <mergeCell ref="AK23:AK24"/>
    <mergeCell ref="L141:L143"/>
    <mergeCell ref="M141:M143"/>
    <mergeCell ref="AJ141:AJ143"/>
    <mergeCell ref="AK141:AK143"/>
  </mergeCells>
  <conditionalFormatting sqref="AD259:AE1048576 AK144 AK147:AK148 AM180:AM188 AD4:AE114 AK1:AK141 AM190:AM1048576 AD116:AE257 AK180:AK1048576 AM1:AM148">
    <cfRule type="cellIs" dxfId="91" priority="18" operator="lessThan">
      <formula>0</formula>
    </cfRule>
  </conditionalFormatting>
  <conditionalFormatting sqref="AD124:AE124">
    <cfRule type="cellIs" dxfId="90" priority="16" operator="lessThan">
      <formula>0</formula>
    </cfRule>
  </conditionalFormatting>
  <conditionalFormatting sqref="AD125:AE128">
    <cfRule type="cellIs" dxfId="89" priority="15" operator="lessThan">
      <formula>0</formula>
    </cfRule>
  </conditionalFormatting>
  <conditionalFormatting sqref="O270">
    <cfRule type="duplicateValues" dxfId="88" priority="14"/>
  </conditionalFormatting>
  <conditionalFormatting sqref="AD124:AE124">
    <cfRule type="cellIs" dxfId="87" priority="13" operator="lessThan">
      <formula>0</formula>
    </cfRule>
  </conditionalFormatting>
  <conditionalFormatting sqref="AD121:AE122">
    <cfRule type="cellIs" dxfId="86" priority="11" operator="lessThan">
      <formula>0</formula>
    </cfRule>
  </conditionalFormatting>
  <conditionalFormatting sqref="AK259:AK1048576 AK144 AK147:AK148 AK1:AK114 AK116:AK141 AK180:AK257">
    <cfRule type="cellIs" dxfId="85" priority="8" operator="lessThan">
      <formula>0</formula>
    </cfRule>
    <cfRule type="cellIs" dxfId="84" priority="9" operator="lessThan">
      <formula>0</formula>
    </cfRule>
  </conditionalFormatting>
  <conditionalFormatting sqref="AM189">
    <cfRule type="cellIs" dxfId="83" priority="3" operator="lessThan">
      <formula>0</formula>
    </cfRule>
  </conditionalFormatting>
  <conditionalFormatting sqref="AM189">
    <cfRule type="cellIs" dxfId="82" priority="1" operator="lessThan">
      <formula>0</formula>
    </cfRule>
    <cfRule type="cellIs" dxfId="81" priority="2" operator="lessThan">
      <formula>0</formula>
    </cfRule>
  </conditionalFormatting>
  <printOptions horizontalCentered="1" verticalCentered="1"/>
  <pageMargins left="0.27559055118110237" right="0.35433070866141736" top="0" bottom="0" header="0" footer="0"/>
  <pageSetup scale="45" fitToHeight="2" orientation="landscape" r:id="rId1"/>
  <headerFooter alignWithMargins="0">
    <oddFooter>&amp;LVersión 3. 23/07/2019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M210"/>
  <sheetViews>
    <sheetView topLeftCell="A40" zoomScale="84" zoomScaleNormal="84" workbookViewId="0">
      <selection activeCell="B13" sqref="B13"/>
    </sheetView>
  </sheetViews>
  <sheetFormatPr baseColWidth="10" defaultRowHeight="12.75"/>
  <cols>
    <col min="1" max="1" width="29.140625" customWidth="1"/>
    <col min="2" max="2" width="17.85546875" style="114" customWidth="1"/>
    <col min="3" max="3" width="29.28515625" customWidth="1"/>
    <col min="4" max="4" width="27.5703125" customWidth="1"/>
    <col min="5" max="5" width="40.7109375" customWidth="1"/>
    <col min="6" max="6" width="40.42578125" customWidth="1"/>
    <col min="7" max="8" width="30.140625" customWidth="1"/>
    <col min="9" max="9" width="13.140625" style="997" customWidth="1"/>
    <col min="10" max="10" width="13.42578125" style="176" customWidth="1"/>
    <col min="11" max="11" width="13.42578125" style="165" customWidth="1"/>
    <col min="12" max="12" width="7.7109375" style="553" customWidth="1"/>
    <col min="13" max="13" width="18.85546875" style="164" customWidth="1"/>
    <col min="14" max="14" width="15.42578125" style="524" customWidth="1"/>
    <col min="15" max="15" width="17.140625" style="116" customWidth="1"/>
    <col min="16" max="16" width="10.85546875" style="176" customWidth="1"/>
    <col min="17" max="17" width="11.42578125" style="116" customWidth="1"/>
    <col min="18" max="18" width="15" style="116" customWidth="1"/>
    <col min="19" max="22" width="14.28515625" style="116" customWidth="1"/>
    <col min="23" max="23" width="13.85546875" style="116" customWidth="1"/>
    <col min="24" max="24" width="14.28515625" style="116" customWidth="1"/>
    <col min="25" max="25" width="18.5703125" style="116" customWidth="1"/>
    <col min="26" max="28" width="11.42578125" style="116" customWidth="1"/>
    <col min="29" max="29" width="18" style="116" customWidth="1"/>
    <col min="30" max="30" width="16.28515625" style="116" customWidth="1"/>
    <col min="31" max="31" width="2" customWidth="1"/>
    <col min="32" max="32" width="8.140625" style="70" hidden="1" customWidth="1"/>
    <col min="33" max="33" width="0" hidden="1" customWidth="1"/>
    <col min="34" max="34" width="13.5703125" hidden="1" customWidth="1"/>
    <col min="35" max="35" width="0" style="104" hidden="1" customWidth="1"/>
    <col min="36" max="36" width="17.28515625" style="114" hidden="1" customWidth="1"/>
    <col min="37" max="37" width="15.85546875" style="114" hidden="1" customWidth="1"/>
    <col min="38" max="38" width="13.85546875" style="873" hidden="1" customWidth="1"/>
    <col min="39" max="39" width="0" hidden="1" customWidth="1"/>
  </cols>
  <sheetData>
    <row r="1" spans="1:37" ht="42" customHeight="1" thickBot="1">
      <c r="A1" s="2105"/>
      <c r="B1" s="2135" t="s">
        <v>648</v>
      </c>
      <c r="C1" s="2136"/>
      <c r="D1" s="2136"/>
      <c r="E1" s="2136"/>
      <c r="F1" s="2136"/>
      <c r="G1" s="2136"/>
      <c r="H1" s="2136"/>
      <c r="I1" s="2136"/>
      <c r="J1" s="2136"/>
      <c r="K1" s="2136"/>
      <c r="L1" s="2136"/>
      <c r="M1" s="2136"/>
      <c r="N1" s="2136"/>
      <c r="O1" s="2136"/>
      <c r="P1" s="2136"/>
      <c r="Q1" s="2136"/>
      <c r="R1" s="2136"/>
      <c r="S1" s="2136"/>
      <c r="T1" s="2136"/>
      <c r="U1" s="2136"/>
      <c r="V1" s="2136"/>
      <c r="W1" s="2136"/>
      <c r="X1" s="2136"/>
      <c r="Y1" s="2136"/>
      <c r="Z1" s="2136"/>
      <c r="AA1" s="2136"/>
      <c r="AB1" s="2136"/>
      <c r="AC1" s="2136"/>
      <c r="AD1" s="2137"/>
    </row>
    <row r="2" spans="1:37" ht="42" customHeight="1" thickBot="1">
      <c r="A2" s="2106"/>
      <c r="B2" s="2135" t="s">
        <v>1222</v>
      </c>
      <c r="C2" s="2136"/>
      <c r="D2" s="2136"/>
      <c r="E2" s="2136"/>
      <c r="F2" s="2136"/>
      <c r="G2" s="2136"/>
      <c r="H2" s="2136"/>
      <c r="I2" s="2136"/>
      <c r="J2" s="2136"/>
      <c r="K2" s="2136"/>
      <c r="L2" s="2136"/>
      <c r="M2" s="2136"/>
      <c r="N2" s="2136"/>
      <c r="O2" s="2136"/>
      <c r="P2" s="2136"/>
      <c r="Q2" s="2136"/>
      <c r="R2" s="2136"/>
      <c r="S2" s="2136"/>
      <c r="T2" s="2136"/>
      <c r="U2" s="2136"/>
      <c r="V2" s="2136"/>
      <c r="W2" s="2136"/>
      <c r="X2" s="2136"/>
      <c r="Y2" s="2136"/>
      <c r="Z2" s="2136"/>
      <c r="AA2" s="2136"/>
      <c r="AB2" s="2136"/>
      <c r="AC2" s="2136"/>
      <c r="AD2" s="2137"/>
    </row>
    <row r="3" spans="1:37" ht="42" customHeight="1" thickBot="1">
      <c r="A3" s="2107"/>
      <c r="B3" s="2135" t="s">
        <v>1207</v>
      </c>
      <c r="C3" s="2136"/>
      <c r="D3" s="2136"/>
      <c r="E3" s="2136"/>
      <c r="F3" s="2136"/>
      <c r="G3" s="2136"/>
      <c r="H3" s="2136"/>
      <c r="I3" s="2136"/>
      <c r="J3" s="2136"/>
      <c r="K3" s="2136"/>
      <c r="L3" s="2136"/>
      <c r="M3" s="2136"/>
      <c r="N3" s="2136"/>
      <c r="O3" s="2136"/>
      <c r="P3" s="2136"/>
      <c r="Q3" s="2136"/>
      <c r="R3" s="2136"/>
      <c r="S3" s="2136"/>
      <c r="T3" s="2136"/>
      <c r="U3" s="2136"/>
      <c r="V3" s="2136"/>
      <c r="W3" s="2136"/>
      <c r="X3" s="2136"/>
      <c r="Y3" s="2136"/>
      <c r="Z3" s="2136"/>
      <c r="AA3" s="2136"/>
      <c r="AB3" s="2136"/>
      <c r="AC3" s="2136"/>
      <c r="AD3" s="2137"/>
    </row>
    <row r="4" spans="1:37">
      <c r="A4" s="2139" t="s">
        <v>0</v>
      </c>
      <c r="B4" s="2120"/>
      <c r="C4" s="2120"/>
      <c r="D4" s="2120"/>
      <c r="E4" s="2120"/>
      <c r="F4" s="2120"/>
      <c r="G4" s="2120"/>
      <c r="H4" s="1914"/>
      <c r="I4" s="203"/>
      <c r="J4" s="203"/>
      <c r="K4" s="1266"/>
      <c r="L4" s="1051"/>
      <c r="M4" s="1387"/>
      <c r="N4" s="1048"/>
      <c r="O4" s="198"/>
      <c r="P4" s="215"/>
      <c r="Q4" s="198"/>
      <c r="R4" s="198"/>
      <c r="S4" s="198"/>
      <c r="T4" s="198"/>
      <c r="U4" s="198"/>
      <c r="V4" s="198"/>
      <c r="W4" s="198"/>
      <c r="X4" s="198"/>
      <c r="Y4" s="198"/>
      <c r="Z4" s="198"/>
      <c r="AA4" s="198"/>
      <c r="AB4" s="198"/>
      <c r="AC4" s="198"/>
      <c r="AD4" s="611"/>
    </row>
    <row r="5" spans="1:37">
      <c r="A5" s="2119" t="s">
        <v>437</v>
      </c>
      <c r="B5" s="2120"/>
      <c r="C5" s="2120"/>
      <c r="D5" s="2120"/>
      <c r="E5" s="2120"/>
      <c r="F5" s="2120"/>
      <c r="G5" s="2120"/>
      <c r="H5" s="1914"/>
      <c r="I5" s="203"/>
      <c r="J5" s="203"/>
      <c r="K5" s="1266"/>
      <c r="L5" s="1051"/>
      <c r="M5" s="1387"/>
      <c r="N5" s="1048"/>
      <c r="O5" s="198"/>
      <c r="P5" s="215"/>
      <c r="Q5" s="198"/>
      <c r="R5" s="198"/>
      <c r="S5" s="198"/>
      <c r="T5" s="198"/>
      <c r="U5" s="198"/>
      <c r="V5" s="198"/>
      <c r="W5" s="198"/>
      <c r="X5" s="198"/>
      <c r="Y5" s="198"/>
      <c r="Z5" s="198"/>
      <c r="AA5" s="198"/>
      <c r="AB5" s="198"/>
      <c r="AC5" s="198"/>
      <c r="AD5" s="611"/>
    </row>
    <row r="6" spans="1:37">
      <c r="A6" s="2139" t="s">
        <v>45</v>
      </c>
      <c r="B6" s="2120"/>
      <c r="C6" s="2120"/>
      <c r="D6" s="2120"/>
      <c r="E6" s="2120"/>
      <c r="F6" s="2120"/>
      <c r="G6" s="2120"/>
      <c r="H6" s="1914"/>
      <c r="I6" s="203"/>
      <c r="J6" s="203"/>
      <c r="K6" s="1266"/>
      <c r="L6" s="1051"/>
      <c r="M6" s="1387"/>
      <c r="N6" s="1048"/>
      <c r="O6" s="198"/>
      <c r="P6" s="215"/>
      <c r="Q6" s="198"/>
      <c r="R6" s="198"/>
      <c r="S6" s="198"/>
      <c r="T6" s="198"/>
      <c r="U6" s="198"/>
      <c r="V6" s="198"/>
      <c r="W6" s="198"/>
      <c r="X6" s="198"/>
      <c r="Y6" s="198"/>
      <c r="Z6" s="198"/>
      <c r="AA6" s="198"/>
      <c r="AB6" s="198"/>
      <c r="AC6" s="198"/>
      <c r="AD6" s="611"/>
    </row>
    <row r="7" spans="1:37">
      <c r="A7" s="2139" t="s">
        <v>46</v>
      </c>
      <c r="B7" s="2120"/>
      <c r="C7" s="2120"/>
      <c r="D7" s="2120"/>
      <c r="E7" s="2120"/>
      <c r="F7" s="2120"/>
      <c r="G7" s="2120"/>
      <c r="H7" s="1914"/>
      <c r="I7" s="203"/>
      <c r="J7" s="203"/>
      <c r="K7" s="1266"/>
      <c r="L7" s="1051"/>
      <c r="M7" s="1387"/>
      <c r="N7" s="1048"/>
      <c r="O7" s="198"/>
      <c r="P7" s="215"/>
      <c r="Q7" s="198"/>
      <c r="R7" s="198"/>
      <c r="S7" s="198"/>
      <c r="T7" s="198"/>
      <c r="U7" s="198"/>
      <c r="V7" s="198"/>
      <c r="W7" s="198"/>
      <c r="X7" s="198"/>
      <c r="Y7" s="198"/>
      <c r="Z7" s="198"/>
      <c r="AA7" s="198"/>
      <c r="AB7" s="198"/>
      <c r="AC7" s="198"/>
      <c r="AD7" s="611"/>
    </row>
    <row r="8" spans="1:37">
      <c r="A8" s="2139" t="s">
        <v>47</v>
      </c>
      <c r="B8" s="2120"/>
      <c r="C8" s="2120"/>
      <c r="D8" s="2120"/>
      <c r="E8" s="2120"/>
      <c r="F8" s="2120"/>
      <c r="G8" s="2120"/>
      <c r="H8" s="1914"/>
      <c r="I8" s="203"/>
      <c r="J8" s="203"/>
      <c r="K8" s="1266"/>
      <c r="L8" s="1051"/>
      <c r="M8" s="1387"/>
      <c r="N8" s="1048"/>
      <c r="O8" s="198"/>
      <c r="P8" s="215"/>
      <c r="Q8" s="198"/>
      <c r="R8" s="198"/>
      <c r="S8" s="198"/>
      <c r="T8" s="198"/>
      <c r="U8" s="198"/>
      <c r="V8" s="198"/>
      <c r="W8" s="198"/>
      <c r="X8" s="198"/>
      <c r="Y8" s="198"/>
      <c r="Z8" s="198"/>
      <c r="AA8" s="198"/>
      <c r="AB8" s="198"/>
      <c r="AC8" s="198"/>
      <c r="AD8" s="611"/>
    </row>
    <row r="9" spans="1:37">
      <c r="A9" s="2121" t="s">
        <v>48</v>
      </c>
      <c r="B9" s="2122"/>
      <c r="C9" s="2122"/>
      <c r="D9" s="2122"/>
      <c r="E9" s="2122"/>
      <c r="F9" s="2122"/>
      <c r="G9" s="2122"/>
      <c r="H9" s="1915"/>
      <c r="I9" s="203"/>
      <c r="J9" s="203"/>
      <c r="K9" s="1266"/>
      <c r="L9" s="1051"/>
      <c r="M9" s="1387"/>
      <c r="N9" s="1048"/>
      <c r="O9" s="198"/>
      <c r="P9" s="215"/>
      <c r="Q9" s="198"/>
      <c r="R9" s="198"/>
      <c r="S9" s="198"/>
      <c r="T9" s="198"/>
      <c r="U9" s="198"/>
      <c r="V9" s="198"/>
      <c r="W9" s="198"/>
      <c r="X9" s="198"/>
      <c r="Y9" s="198"/>
      <c r="Z9" s="198"/>
      <c r="AA9" s="198"/>
      <c r="AB9" s="198"/>
      <c r="AC9" s="198"/>
      <c r="AD9" s="611"/>
    </row>
    <row r="10" spans="1:37">
      <c r="A10" s="299" t="s">
        <v>2</v>
      </c>
      <c r="B10" s="2120" t="s">
        <v>49</v>
      </c>
      <c r="C10" s="2120"/>
      <c r="D10" s="2120"/>
      <c r="E10" s="300"/>
      <c r="F10" s="300"/>
      <c r="G10" s="302"/>
      <c r="H10" s="300"/>
      <c r="I10" s="203"/>
      <c r="J10" s="203"/>
      <c r="K10" s="1266"/>
      <c r="L10" s="1051"/>
      <c r="M10" s="1387"/>
      <c r="N10" s="1048"/>
      <c r="O10" s="198"/>
      <c r="P10" s="215"/>
      <c r="Q10" s="198"/>
      <c r="R10" s="198"/>
      <c r="S10" s="198"/>
      <c r="T10" s="198"/>
      <c r="U10" s="198"/>
      <c r="V10" s="198"/>
      <c r="W10" s="198"/>
      <c r="X10" s="198"/>
      <c r="Y10" s="198"/>
      <c r="Z10" s="198"/>
      <c r="AA10" s="198"/>
      <c r="AB10" s="198"/>
      <c r="AC10" s="198"/>
      <c r="AD10" s="611"/>
    </row>
    <row r="11" spans="1:37">
      <c r="A11" s="299" t="s">
        <v>4</v>
      </c>
      <c r="B11" s="2120" t="s">
        <v>50</v>
      </c>
      <c r="C11" s="2120"/>
      <c r="D11" s="2120"/>
      <c r="E11" s="2120"/>
      <c r="F11" s="2120"/>
      <c r="G11" s="2120"/>
      <c r="H11" s="1914"/>
      <c r="I11" s="203"/>
      <c r="J11" s="203"/>
      <c r="K11" s="1266"/>
      <c r="L11" s="1051"/>
      <c r="M11" s="1387"/>
      <c r="N11" s="1048"/>
      <c r="O11" s="198"/>
      <c r="P11" s="215"/>
      <c r="Q11" s="198"/>
      <c r="R11" s="198"/>
      <c r="S11" s="198"/>
      <c r="T11" s="198"/>
      <c r="U11" s="198"/>
      <c r="V11" s="198"/>
      <c r="W11" s="198"/>
      <c r="X11" s="198"/>
      <c r="Y11" s="198"/>
      <c r="Z11" s="198"/>
      <c r="AA11" s="198"/>
      <c r="AB11" s="198"/>
      <c r="AC11" s="198"/>
      <c r="AD11" s="611"/>
    </row>
    <row r="12" spans="1:37">
      <c r="A12" s="301" t="s">
        <v>6</v>
      </c>
      <c r="B12" s="2120" t="s">
        <v>51</v>
      </c>
      <c r="C12" s="2120"/>
      <c r="D12" s="2120"/>
      <c r="E12" s="2120"/>
      <c r="F12" s="2120"/>
      <c r="G12" s="2120"/>
      <c r="H12" s="1914"/>
      <c r="I12" s="203"/>
      <c r="J12" s="203"/>
      <c r="K12" s="1266"/>
      <c r="L12" s="1051"/>
      <c r="M12" s="1387"/>
      <c r="N12" s="1048"/>
      <c r="O12" s="198"/>
      <c r="P12" s="215"/>
      <c r="Q12" s="198"/>
      <c r="R12" s="198"/>
      <c r="S12" s="198"/>
      <c r="T12" s="198"/>
      <c r="U12" s="198"/>
      <c r="V12" s="198"/>
      <c r="W12" s="198"/>
      <c r="X12" s="198"/>
      <c r="Y12" s="198"/>
      <c r="Z12" s="198"/>
      <c r="AA12" s="198"/>
      <c r="AB12" s="198"/>
      <c r="AC12" s="198"/>
      <c r="AD12" s="611"/>
    </row>
    <row r="13" spans="1:37">
      <c r="A13" s="42" t="s">
        <v>8</v>
      </c>
      <c r="B13" s="562">
        <v>43724</v>
      </c>
      <c r="C13" s="43"/>
      <c r="D13" s="43"/>
      <c r="E13" s="43"/>
      <c r="F13" s="43"/>
      <c r="G13" s="71"/>
      <c r="H13" s="43"/>
      <c r="I13" s="203"/>
      <c r="J13" s="203"/>
      <c r="K13" s="1266"/>
      <c r="L13" s="1051"/>
      <c r="M13" s="1387"/>
      <c r="N13" s="1048"/>
      <c r="O13" s="198"/>
      <c r="P13" s="215"/>
      <c r="Q13" s="198"/>
      <c r="R13" s="198"/>
      <c r="S13" s="198"/>
      <c r="T13" s="198"/>
      <c r="U13" s="198"/>
      <c r="V13" s="198"/>
      <c r="W13" s="198"/>
      <c r="X13" s="198"/>
      <c r="Y13" s="198"/>
      <c r="Z13" s="198"/>
      <c r="AA13" s="198"/>
      <c r="AB13" s="198"/>
      <c r="AC13" s="198"/>
      <c r="AD13" s="611"/>
    </row>
    <row r="14" spans="1:37">
      <c r="A14" s="44" t="s">
        <v>9</v>
      </c>
      <c r="B14" s="318">
        <f>D15-E15</f>
        <v>0</v>
      </c>
      <c r="C14" s="1418" t="s">
        <v>136</v>
      </c>
      <c r="D14" s="1418" t="s">
        <v>1044</v>
      </c>
      <c r="E14" s="1418" t="s">
        <v>1045</v>
      </c>
      <c r="F14" s="319"/>
      <c r="G14" s="319"/>
      <c r="H14" s="1931"/>
      <c r="I14" s="204"/>
      <c r="J14" s="204"/>
      <c r="K14" s="1267"/>
      <c r="L14" s="1052"/>
      <c r="M14" s="1388"/>
      <c r="N14" s="1049"/>
      <c r="O14" s="199"/>
      <c r="P14" s="216"/>
      <c r="Q14" s="199"/>
      <c r="R14" s="199"/>
      <c r="S14" s="199"/>
      <c r="T14" s="199"/>
      <c r="U14" s="199"/>
      <c r="V14" s="199"/>
      <c r="W14" s="199"/>
      <c r="X14" s="199"/>
      <c r="Y14" s="199"/>
      <c r="Z14" s="199"/>
      <c r="AA14" s="199"/>
      <c r="AB14" s="199"/>
      <c r="AC14" s="199"/>
      <c r="AD14" s="612"/>
    </row>
    <row r="15" spans="1:37" ht="13.5" thickBot="1">
      <c r="A15" s="47" t="s">
        <v>52</v>
      </c>
      <c r="B15" s="273">
        <f>C15+B14</f>
        <v>5578162000</v>
      </c>
      <c r="C15" s="320">
        <v>5578162000</v>
      </c>
      <c r="D15" s="321"/>
      <c r="E15" s="321"/>
      <c r="F15" s="321"/>
      <c r="G15" s="321"/>
      <c r="H15" s="1968"/>
      <c r="I15" s="205"/>
      <c r="J15" s="205"/>
      <c r="K15" s="1519"/>
      <c r="L15" s="1043"/>
      <c r="M15" s="482"/>
      <c r="N15" s="1102"/>
      <c r="O15" s="200"/>
      <c r="P15" s="217"/>
      <c r="Q15" s="200"/>
      <c r="R15" s="200"/>
      <c r="S15" s="200"/>
      <c r="T15" s="200"/>
      <c r="U15" s="200"/>
      <c r="V15" s="200"/>
      <c r="W15" s="200"/>
      <c r="X15" s="200"/>
      <c r="Y15" s="200"/>
      <c r="Z15" s="200"/>
      <c r="AA15" s="200"/>
      <c r="AB15" s="200"/>
      <c r="AC15" s="201"/>
      <c r="AD15" s="613"/>
    </row>
    <row r="16" spans="1:37" ht="25.5">
      <c r="A16" s="49" t="s">
        <v>11</v>
      </c>
      <c r="B16" s="274" t="s">
        <v>12</v>
      </c>
      <c r="C16" s="50" t="s">
        <v>13</v>
      </c>
      <c r="D16" s="50" t="s">
        <v>14</v>
      </c>
      <c r="E16" s="50" t="s">
        <v>15</v>
      </c>
      <c r="F16" s="50" t="s">
        <v>436</v>
      </c>
      <c r="G16" s="50" t="s">
        <v>16</v>
      </c>
      <c r="H16" s="1969" t="s">
        <v>1379</v>
      </c>
      <c r="I16" s="206" t="s">
        <v>527</v>
      </c>
      <c r="J16" s="206" t="s">
        <v>95</v>
      </c>
      <c r="K16" s="1520" t="s">
        <v>130</v>
      </c>
      <c r="L16" s="106" t="s">
        <v>96</v>
      </c>
      <c r="M16" s="5" t="s">
        <v>17</v>
      </c>
      <c r="N16" s="98" t="s">
        <v>97</v>
      </c>
      <c r="O16" s="5" t="s">
        <v>116</v>
      </c>
      <c r="P16" s="235" t="s">
        <v>98</v>
      </c>
      <c r="Q16" s="229" t="s">
        <v>99</v>
      </c>
      <c r="R16" s="5" t="s">
        <v>100</v>
      </c>
      <c r="S16" s="5" t="s">
        <v>101</v>
      </c>
      <c r="T16" s="5" t="s">
        <v>102</v>
      </c>
      <c r="U16" s="5" t="s">
        <v>103</v>
      </c>
      <c r="V16" s="5" t="s">
        <v>104</v>
      </c>
      <c r="W16" s="5" t="s">
        <v>105</v>
      </c>
      <c r="X16" s="5" t="s">
        <v>106</v>
      </c>
      <c r="Y16" s="5" t="s">
        <v>107</v>
      </c>
      <c r="Z16" s="5" t="s">
        <v>108</v>
      </c>
      <c r="AA16" s="5" t="s">
        <v>109</v>
      </c>
      <c r="AB16" s="5" t="s">
        <v>110</v>
      </c>
      <c r="AC16" s="5" t="s">
        <v>111</v>
      </c>
      <c r="AD16" s="254" t="s">
        <v>112</v>
      </c>
      <c r="AF16" s="914" t="s">
        <v>138</v>
      </c>
      <c r="AG16" s="916" t="s">
        <v>114</v>
      </c>
      <c r="AH16" s="916" t="s">
        <v>115</v>
      </c>
      <c r="AI16" s="1095" t="s">
        <v>119</v>
      </c>
      <c r="AJ16" s="917" t="s">
        <v>122</v>
      </c>
      <c r="AK16" s="918" t="s">
        <v>129</v>
      </c>
    </row>
    <row r="17" spans="1:39" ht="38.25">
      <c r="A17" s="614" t="s">
        <v>53</v>
      </c>
      <c r="B17" s="609">
        <f>B18+B34+B39</f>
        <v>1467892861</v>
      </c>
      <c r="C17" s="780"/>
      <c r="D17" s="780"/>
      <c r="E17" s="610"/>
      <c r="F17" s="610"/>
      <c r="G17" s="1972"/>
      <c r="H17" s="1991"/>
      <c r="I17" s="1027"/>
      <c r="J17" s="372"/>
      <c r="K17" s="1521"/>
      <c r="L17" s="1044"/>
      <c r="M17" s="1045"/>
      <c r="N17" s="470"/>
      <c r="O17" s="373"/>
      <c r="P17" s="374"/>
      <c r="Q17" s="375"/>
      <c r="R17" s="376"/>
      <c r="S17" s="376"/>
      <c r="T17" s="376"/>
      <c r="U17" s="376"/>
      <c r="V17" s="376"/>
      <c r="W17" s="376"/>
      <c r="X17" s="376"/>
      <c r="Y17" s="376"/>
      <c r="Z17" s="376"/>
      <c r="AA17" s="376"/>
      <c r="AB17" s="376"/>
      <c r="AC17" s="413"/>
      <c r="AD17" s="404"/>
      <c r="AF17" s="944"/>
      <c r="AG17" s="377"/>
      <c r="AH17" s="377"/>
      <c r="AI17" s="471"/>
      <c r="AJ17" s="437"/>
      <c r="AK17" s="1616"/>
    </row>
    <row r="18" spans="1:39" s="8" customFormat="1" ht="28.5" customHeight="1">
      <c r="A18" s="791" t="s">
        <v>53</v>
      </c>
      <c r="B18" s="505">
        <f>1389775000-21560000+29452861</f>
        <v>1397667861</v>
      </c>
      <c r="C18" s="1365" t="s">
        <v>36</v>
      </c>
      <c r="D18" s="1366" t="s">
        <v>858</v>
      </c>
      <c r="E18" s="1366" t="s">
        <v>857</v>
      </c>
      <c r="F18" s="1366" t="s">
        <v>55</v>
      </c>
      <c r="G18" s="1973" t="s">
        <v>56</v>
      </c>
      <c r="H18" s="1992" t="s">
        <v>1380</v>
      </c>
      <c r="I18" s="1028"/>
      <c r="J18" s="441">
        <v>0</v>
      </c>
      <c r="K18" s="436"/>
      <c r="L18" s="1053"/>
      <c r="M18" s="439"/>
      <c r="N18" s="1098"/>
      <c r="O18" s="439"/>
      <c r="P18" s="378"/>
      <c r="Q18" s="379"/>
      <c r="R18" s="380"/>
      <c r="S18" s="380"/>
      <c r="T18" s="380"/>
      <c r="U18" s="380"/>
      <c r="V18" s="380"/>
      <c r="W18" s="380"/>
      <c r="X18" s="380"/>
      <c r="Y18" s="380"/>
      <c r="Z18" s="380"/>
      <c r="AA18" s="380"/>
      <c r="AB18" s="380"/>
      <c r="AC18" s="381">
        <v>0</v>
      </c>
      <c r="AD18" s="405"/>
      <c r="AF18" s="944"/>
      <c r="AG18" s="377"/>
      <c r="AH18" s="377"/>
      <c r="AI18" s="471"/>
      <c r="AJ18" s="437"/>
      <c r="AK18" s="1616"/>
      <c r="AL18" s="872"/>
    </row>
    <row r="19" spans="1:39" s="8" customFormat="1">
      <c r="A19" s="853" t="s">
        <v>53</v>
      </c>
      <c r="B19" s="807">
        <f>M19</f>
        <v>98400861</v>
      </c>
      <c r="C19" s="520" t="s">
        <v>36</v>
      </c>
      <c r="D19" s="520" t="s">
        <v>858</v>
      </c>
      <c r="E19" s="520" t="s">
        <v>857</v>
      </c>
      <c r="F19" s="520" t="s">
        <v>55</v>
      </c>
      <c r="G19" s="1974" t="s">
        <v>56</v>
      </c>
      <c r="H19" s="1993" t="s">
        <v>1380</v>
      </c>
      <c r="I19" s="850">
        <v>125</v>
      </c>
      <c r="J19" s="850">
        <v>0</v>
      </c>
      <c r="K19" s="230"/>
      <c r="L19" s="1054">
        <v>292</v>
      </c>
      <c r="M19" s="466">
        <f>120348654-21947793</f>
        <v>98400861</v>
      </c>
      <c r="N19" s="517">
        <v>353</v>
      </c>
      <c r="O19" s="163">
        <v>98400861</v>
      </c>
      <c r="P19" s="236">
        <v>286</v>
      </c>
      <c r="Q19" s="240"/>
      <c r="R19" s="153"/>
      <c r="S19" s="153"/>
      <c r="T19" s="153"/>
      <c r="U19" s="153">
        <v>11115808</v>
      </c>
      <c r="V19" s="153">
        <v>11521682</v>
      </c>
      <c r="W19" s="153">
        <v>10969396</v>
      </c>
      <c r="X19" s="153">
        <v>10702896</v>
      </c>
      <c r="Y19" s="153">
        <v>12822582</v>
      </c>
      <c r="Z19" s="153"/>
      <c r="AA19" s="153"/>
      <c r="AB19" s="153"/>
      <c r="AC19" s="183">
        <f>SUM(Q19:AB19)</f>
        <v>57132364</v>
      </c>
      <c r="AD19" s="406">
        <f>O19-AC19</f>
        <v>41268497</v>
      </c>
      <c r="AF19" s="924">
        <v>125</v>
      </c>
      <c r="AG19" s="261" t="s">
        <v>343</v>
      </c>
      <c r="AH19" s="279" t="s">
        <v>823</v>
      </c>
      <c r="AI19" s="851">
        <f>P19</f>
        <v>286</v>
      </c>
      <c r="AJ19" s="316">
        <f>170000000-9685189-19503064-42410886</f>
        <v>98400861</v>
      </c>
      <c r="AK19" s="926">
        <f t="shared" ref="AK19:AK32" si="0">AJ19-O19</f>
        <v>0</v>
      </c>
      <c r="AL19" s="872"/>
      <c r="AM19" s="314">
        <f>AJ19-M19</f>
        <v>0</v>
      </c>
    </row>
    <row r="20" spans="1:39" s="8" customFormat="1">
      <c r="A20" s="853" t="s">
        <v>53</v>
      </c>
      <c r="B20" s="807">
        <f t="shared" ref="B20:B21" si="1">M20</f>
        <v>0</v>
      </c>
      <c r="C20" s="520" t="s">
        <v>36</v>
      </c>
      <c r="D20" s="520" t="s">
        <v>858</v>
      </c>
      <c r="E20" s="520" t="s">
        <v>857</v>
      </c>
      <c r="F20" s="520" t="s">
        <v>55</v>
      </c>
      <c r="G20" s="1974" t="s">
        <v>56</v>
      </c>
      <c r="H20" s="1993" t="s">
        <v>1380</v>
      </c>
      <c r="I20" s="850" t="s">
        <v>178</v>
      </c>
      <c r="J20" s="850"/>
      <c r="K20" s="230"/>
      <c r="L20" s="1054"/>
      <c r="M20" s="466"/>
      <c r="N20" s="517"/>
      <c r="O20" s="163"/>
      <c r="P20" s="236">
        <v>286</v>
      </c>
      <c r="Q20" s="240"/>
      <c r="R20" s="153"/>
      <c r="S20" s="153"/>
      <c r="T20" s="153"/>
      <c r="U20" s="153"/>
      <c r="V20" s="153"/>
      <c r="W20" s="153"/>
      <c r="X20" s="153"/>
      <c r="Y20" s="153"/>
      <c r="Z20" s="153"/>
      <c r="AA20" s="153"/>
      <c r="AB20" s="153"/>
      <c r="AC20" s="183">
        <f t="shared" ref="AC20:AC21" si="2">SUM(Q20:AB20)</f>
        <v>0</v>
      </c>
      <c r="AD20" s="406">
        <f t="shared" ref="AD20:AD21" si="3">O20-AC20</f>
        <v>0</v>
      </c>
      <c r="AF20" s="924" t="s">
        <v>349</v>
      </c>
      <c r="AG20" s="261" t="s">
        <v>1338</v>
      </c>
      <c r="AH20" s="279" t="s">
        <v>823</v>
      </c>
      <c r="AI20" s="851">
        <f>P20</f>
        <v>286</v>
      </c>
      <c r="AJ20" s="316">
        <v>9000000</v>
      </c>
      <c r="AK20" s="926">
        <f t="shared" si="0"/>
        <v>9000000</v>
      </c>
      <c r="AL20" s="872"/>
      <c r="AM20" s="314">
        <f>AJ20-M20</f>
        <v>9000000</v>
      </c>
    </row>
    <row r="21" spans="1:39" s="8" customFormat="1">
      <c r="A21" s="853" t="s">
        <v>53</v>
      </c>
      <c r="B21" s="807">
        <f t="shared" si="1"/>
        <v>0</v>
      </c>
      <c r="C21" s="520" t="s">
        <v>36</v>
      </c>
      <c r="D21" s="520" t="s">
        <v>858</v>
      </c>
      <c r="E21" s="520" t="s">
        <v>857</v>
      </c>
      <c r="F21" s="520" t="s">
        <v>55</v>
      </c>
      <c r="G21" s="1974" t="s">
        <v>56</v>
      </c>
      <c r="H21" s="1993" t="s">
        <v>1380</v>
      </c>
      <c r="I21" s="850">
        <v>195</v>
      </c>
      <c r="J21" s="850">
        <v>0</v>
      </c>
      <c r="K21" s="230"/>
      <c r="L21" s="1054">
        <v>543</v>
      </c>
      <c r="M21" s="466">
        <f>409775000-409775000</f>
        <v>0</v>
      </c>
      <c r="N21" s="517"/>
      <c r="O21" s="163"/>
      <c r="P21" s="236" t="s">
        <v>178</v>
      </c>
      <c r="Q21" s="240"/>
      <c r="R21" s="153"/>
      <c r="S21" s="153"/>
      <c r="T21" s="153"/>
      <c r="U21" s="153"/>
      <c r="V21" s="153"/>
      <c r="W21" s="153"/>
      <c r="X21" s="153"/>
      <c r="Y21" s="153"/>
      <c r="Z21" s="153"/>
      <c r="AA21" s="153"/>
      <c r="AB21" s="153"/>
      <c r="AC21" s="183">
        <f t="shared" si="2"/>
        <v>0</v>
      </c>
      <c r="AD21" s="406">
        <f t="shared" si="3"/>
        <v>0</v>
      </c>
      <c r="AF21" s="924">
        <v>195</v>
      </c>
      <c r="AG21" s="261" t="s">
        <v>354</v>
      </c>
      <c r="AH21" s="279" t="s">
        <v>178</v>
      </c>
      <c r="AI21" s="851" t="str">
        <f t="shared" ref="AI21:AI32" si="4">P21</f>
        <v>-</v>
      </c>
      <c r="AJ21" s="316">
        <f>199775000+210000000-409775000</f>
        <v>0</v>
      </c>
      <c r="AK21" s="926">
        <f t="shared" si="0"/>
        <v>0</v>
      </c>
      <c r="AL21" s="872"/>
      <c r="AM21" s="314">
        <f t="shared" ref="AM21:AM32" si="5">AJ21-M21</f>
        <v>0</v>
      </c>
    </row>
    <row r="22" spans="1:39" s="8" customFormat="1">
      <c r="A22" s="853" t="s">
        <v>53</v>
      </c>
      <c r="B22" s="807">
        <f t="shared" ref="B22:B32" si="6">M22</f>
        <v>409775000</v>
      </c>
      <c r="C22" s="520" t="s">
        <v>36</v>
      </c>
      <c r="D22" s="520" t="s">
        <v>858</v>
      </c>
      <c r="E22" s="520" t="s">
        <v>857</v>
      </c>
      <c r="F22" s="520" t="s">
        <v>55</v>
      </c>
      <c r="G22" s="1974" t="s">
        <v>56</v>
      </c>
      <c r="H22" s="1993" t="s">
        <v>1380</v>
      </c>
      <c r="I22" s="850" t="s">
        <v>1163</v>
      </c>
      <c r="J22" s="850"/>
      <c r="K22" s="230"/>
      <c r="L22" s="1054">
        <v>594</v>
      </c>
      <c r="M22" s="466">
        <v>409775000</v>
      </c>
      <c r="N22" s="517">
        <v>762</v>
      </c>
      <c r="O22" s="466">
        <v>409775000</v>
      </c>
      <c r="P22" s="236">
        <v>441</v>
      </c>
      <c r="Q22" s="240"/>
      <c r="R22" s="153"/>
      <c r="S22" s="153"/>
      <c r="T22" s="153"/>
      <c r="U22" s="153"/>
      <c r="V22" s="153"/>
      <c r="W22" s="153"/>
      <c r="X22" s="153"/>
      <c r="Y22" s="153"/>
      <c r="Z22" s="153"/>
      <c r="AA22" s="153"/>
      <c r="AB22" s="153"/>
      <c r="AC22" s="183">
        <f t="shared" ref="AC22:AC32" si="7">SUM(Q22:AB22)</f>
        <v>0</v>
      </c>
      <c r="AD22" s="406">
        <f t="shared" ref="AD22:AD32" si="8">O22-AC22</f>
        <v>409775000</v>
      </c>
      <c r="AF22" s="923" t="s">
        <v>1163</v>
      </c>
      <c r="AG22" s="261" t="s">
        <v>354</v>
      </c>
      <c r="AH22" s="279" t="s">
        <v>1274</v>
      </c>
      <c r="AI22" s="851">
        <f t="shared" si="4"/>
        <v>441</v>
      </c>
      <c r="AJ22" s="316">
        <v>409775000</v>
      </c>
      <c r="AK22" s="926">
        <f t="shared" si="0"/>
        <v>0</v>
      </c>
      <c r="AL22" s="872"/>
      <c r="AM22" s="314">
        <f t="shared" si="5"/>
        <v>0</v>
      </c>
    </row>
    <row r="23" spans="1:39" s="8" customFormat="1">
      <c r="A23" s="853" t="s">
        <v>53</v>
      </c>
      <c r="B23" s="807">
        <f t="shared" si="6"/>
        <v>403292658</v>
      </c>
      <c r="C23" s="520" t="s">
        <v>36</v>
      </c>
      <c r="D23" s="520" t="s">
        <v>858</v>
      </c>
      <c r="E23" s="520" t="s">
        <v>857</v>
      </c>
      <c r="F23" s="520" t="s">
        <v>55</v>
      </c>
      <c r="G23" s="1974" t="s">
        <v>56</v>
      </c>
      <c r="H23" s="1993" t="s">
        <v>1380</v>
      </c>
      <c r="I23" s="850">
        <v>197</v>
      </c>
      <c r="J23" s="850">
        <v>0</v>
      </c>
      <c r="K23" s="230"/>
      <c r="L23" s="1054">
        <v>330</v>
      </c>
      <c r="M23" s="466">
        <f>436109132-32816474</f>
        <v>403292658</v>
      </c>
      <c r="N23" s="517">
        <v>459</v>
      </c>
      <c r="O23" s="163">
        <v>403292658</v>
      </c>
      <c r="P23" s="236">
        <v>323</v>
      </c>
      <c r="Q23" s="240"/>
      <c r="R23" s="153"/>
      <c r="S23" s="153"/>
      <c r="T23" s="153"/>
      <c r="U23" s="153"/>
      <c r="V23" s="153">
        <v>29722021</v>
      </c>
      <c r="W23" s="153">
        <v>61118549</v>
      </c>
      <c r="X23" s="153">
        <v>61118549</v>
      </c>
      <c r="Y23" s="153">
        <v>60460184</v>
      </c>
      <c r="Z23" s="153"/>
      <c r="AA23" s="153"/>
      <c r="AB23" s="153"/>
      <c r="AC23" s="183">
        <f t="shared" si="7"/>
        <v>212419303</v>
      </c>
      <c r="AD23" s="406">
        <f t="shared" si="8"/>
        <v>190873355</v>
      </c>
      <c r="AF23" s="924">
        <v>197</v>
      </c>
      <c r="AG23" s="261" t="s">
        <v>347</v>
      </c>
      <c r="AH23" s="279" t="s">
        <v>988</v>
      </c>
      <c r="AI23" s="851">
        <f t="shared" si="4"/>
        <v>323</v>
      </c>
      <c r="AJ23" s="316">
        <f>493789594-90496936</f>
        <v>403292658</v>
      </c>
      <c r="AK23" s="926">
        <f t="shared" si="0"/>
        <v>0</v>
      </c>
      <c r="AL23" s="872"/>
      <c r="AM23" s="314">
        <f t="shared" si="5"/>
        <v>0</v>
      </c>
    </row>
    <row r="24" spans="1:39" s="8" customFormat="1">
      <c r="A24" s="853" t="s">
        <v>53</v>
      </c>
      <c r="B24" s="807">
        <f t="shared" si="6"/>
        <v>8000000</v>
      </c>
      <c r="C24" s="520" t="s">
        <v>36</v>
      </c>
      <c r="D24" s="520" t="s">
        <v>858</v>
      </c>
      <c r="E24" s="520" t="s">
        <v>857</v>
      </c>
      <c r="F24" s="520" t="s">
        <v>55</v>
      </c>
      <c r="G24" s="1974" t="s">
        <v>56</v>
      </c>
      <c r="H24" s="1993" t="s">
        <v>1380</v>
      </c>
      <c r="I24" s="1435" t="s">
        <v>349</v>
      </c>
      <c r="J24" s="850">
        <v>637</v>
      </c>
      <c r="K24" s="230">
        <v>8000000</v>
      </c>
      <c r="L24" s="1054"/>
      <c r="M24" s="466">
        <v>8000000</v>
      </c>
      <c r="N24" s="517"/>
      <c r="O24" s="163"/>
      <c r="P24" s="236">
        <v>323</v>
      </c>
      <c r="Q24" s="240"/>
      <c r="R24" s="153"/>
      <c r="S24" s="153"/>
      <c r="T24" s="153"/>
      <c r="U24" s="153"/>
      <c r="V24" s="153"/>
      <c r="W24" s="153"/>
      <c r="X24" s="153"/>
      <c r="Y24" s="153"/>
      <c r="Z24" s="153"/>
      <c r="AA24" s="153"/>
      <c r="AB24" s="153"/>
      <c r="AC24" s="183">
        <f t="shared" ref="AC24" si="9">SUM(Q24:AB24)</f>
        <v>0</v>
      </c>
      <c r="AD24" s="406">
        <f t="shared" ref="AD24" si="10">O24-AC24</f>
        <v>0</v>
      </c>
      <c r="AF24" s="923" t="s">
        <v>349</v>
      </c>
      <c r="AG24" s="261" t="s">
        <v>1337</v>
      </c>
      <c r="AH24" s="279" t="s">
        <v>988</v>
      </c>
      <c r="AI24" s="851">
        <f t="shared" si="4"/>
        <v>323</v>
      </c>
      <c r="AJ24" s="316">
        <v>8000000</v>
      </c>
      <c r="AK24" s="926">
        <f t="shared" si="0"/>
        <v>8000000</v>
      </c>
      <c r="AL24" s="872"/>
      <c r="AM24" s="314">
        <f t="shared" si="5"/>
        <v>0</v>
      </c>
    </row>
    <row r="25" spans="1:39" s="8" customFormat="1">
      <c r="A25" s="853" t="s">
        <v>53</v>
      </c>
      <c r="B25" s="807">
        <f t="shared" si="6"/>
        <v>206210406</v>
      </c>
      <c r="C25" s="520" t="s">
        <v>36</v>
      </c>
      <c r="D25" s="520" t="s">
        <v>858</v>
      </c>
      <c r="E25" s="520" t="s">
        <v>857</v>
      </c>
      <c r="F25" s="520" t="s">
        <v>55</v>
      </c>
      <c r="G25" s="1974" t="s">
        <v>56</v>
      </c>
      <c r="H25" s="1993" t="s">
        <v>1380</v>
      </c>
      <c r="I25" s="850">
        <v>198</v>
      </c>
      <c r="J25" s="850">
        <v>0</v>
      </c>
      <c r="K25" s="230"/>
      <c r="L25" s="1054">
        <v>155</v>
      </c>
      <c r="M25" s="466">
        <v>206210406</v>
      </c>
      <c r="N25" s="517">
        <v>183</v>
      </c>
      <c r="O25" s="163">
        <v>206210406</v>
      </c>
      <c r="P25" s="236">
        <v>305</v>
      </c>
      <c r="Q25" s="240"/>
      <c r="R25" s="153"/>
      <c r="S25" s="153">
        <v>47717674</v>
      </c>
      <c r="T25" s="153">
        <f>VLOOKUP(N25,[7]Hoja2!N$132:T$199,7,0)</f>
        <v>56611306</v>
      </c>
      <c r="U25" s="153">
        <v>57562983</v>
      </c>
      <c r="V25" s="153">
        <v>29281710</v>
      </c>
      <c r="W25" s="153"/>
      <c r="X25" s="153"/>
      <c r="Y25" s="153"/>
      <c r="Z25" s="153"/>
      <c r="AA25" s="153"/>
      <c r="AB25" s="153"/>
      <c r="AC25" s="183">
        <f t="shared" si="7"/>
        <v>191173673</v>
      </c>
      <c r="AD25" s="406">
        <f t="shared" si="8"/>
        <v>15036733</v>
      </c>
      <c r="AF25" s="924">
        <v>198</v>
      </c>
      <c r="AG25" s="261" t="s">
        <v>355</v>
      </c>
      <c r="AH25" s="279" t="str">
        <f>VLOOKUP(N25,[5]Hoja2!J$169:N$229,5,0)</f>
        <v>UNION TEMPORAL ANE 2018</v>
      </c>
      <c r="AI25" s="851">
        <f t="shared" si="4"/>
        <v>305</v>
      </c>
      <c r="AJ25" s="316">
        <v>206210406</v>
      </c>
      <c r="AK25" s="926">
        <f t="shared" si="0"/>
        <v>0</v>
      </c>
      <c r="AL25" s="872"/>
      <c r="AM25" s="314">
        <f t="shared" si="5"/>
        <v>0</v>
      </c>
    </row>
    <row r="26" spans="1:39" s="8" customFormat="1">
      <c r="A26" s="853" t="s">
        <v>53</v>
      </c>
      <c r="B26" s="807">
        <f t="shared" si="6"/>
        <v>0</v>
      </c>
      <c r="C26" s="520" t="s">
        <v>36</v>
      </c>
      <c r="D26" s="520" t="s">
        <v>858</v>
      </c>
      <c r="E26" s="520" t="s">
        <v>857</v>
      </c>
      <c r="F26" s="520" t="s">
        <v>55</v>
      </c>
      <c r="G26" s="1974" t="s">
        <v>56</v>
      </c>
      <c r="H26" s="1993" t="s">
        <v>1380</v>
      </c>
      <c r="I26" s="850">
        <v>200</v>
      </c>
      <c r="J26" s="850">
        <v>0</v>
      </c>
      <c r="K26" s="230"/>
      <c r="L26" s="1054"/>
      <c r="M26" s="466"/>
      <c r="N26" s="517"/>
      <c r="O26" s="163"/>
      <c r="P26" s="236" t="s">
        <v>178</v>
      </c>
      <c r="Q26" s="240"/>
      <c r="R26" s="153"/>
      <c r="S26" s="153"/>
      <c r="T26" s="153"/>
      <c r="U26" s="153"/>
      <c r="V26" s="153"/>
      <c r="W26" s="153"/>
      <c r="X26" s="153"/>
      <c r="Y26" s="153"/>
      <c r="Z26" s="153"/>
      <c r="AA26" s="153"/>
      <c r="AB26" s="153"/>
      <c r="AC26" s="183">
        <f t="shared" si="7"/>
        <v>0</v>
      </c>
      <c r="AD26" s="406">
        <f t="shared" si="8"/>
        <v>0</v>
      </c>
      <c r="AF26" s="924">
        <v>200</v>
      </c>
      <c r="AG26" s="261" t="s">
        <v>356</v>
      </c>
      <c r="AH26" s="279" t="s">
        <v>178</v>
      </c>
      <c r="AI26" s="851" t="str">
        <f t="shared" si="4"/>
        <v>-</v>
      </c>
      <c r="AJ26" s="316">
        <f>200000000-21560000-100000000-42000000+53560000</f>
        <v>90000000</v>
      </c>
      <c r="AK26" s="926">
        <f>AJ26-O26</f>
        <v>90000000</v>
      </c>
      <c r="AL26" s="872"/>
      <c r="AM26" s="314">
        <f t="shared" si="5"/>
        <v>90000000</v>
      </c>
    </row>
    <row r="27" spans="1:39" s="8" customFormat="1">
      <c r="A27" s="853" t="s">
        <v>53</v>
      </c>
      <c r="B27" s="807">
        <f t="shared" si="6"/>
        <v>120000000</v>
      </c>
      <c r="C27" s="520" t="s">
        <v>36</v>
      </c>
      <c r="D27" s="520" t="s">
        <v>858</v>
      </c>
      <c r="E27" s="520" t="s">
        <v>857</v>
      </c>
      <c r="F27" s="520" t="s">
        <v>55</v>
      </c>
      <c r="G27" s="1974" t="s">
        <v>56</v>
      </c>
      <c r="H27" s="1993" t="s">
        <v>1380</v>
      </c>
      <c r="I27" s="850" t="s">
        <v>150</v>
      </c>
      <c r="J27" s="850">
        <v>0</v>
      </c>
      <c r="K27" s="230"/>
      <c r="L27" s="1054">
        <v>4</v>
      </c>
      <c r="M27" s="466">
        <v>120000000</v>
      </c>
      <c r="N27" s="1104" t="s">
        <v>1363</v>
      </c>
      <c r="O27" s="163">
        <f>5808174+5537654+5205314+6676774+7299424+4523654+9673979+3909311+6773226</f>
        <v>55407510</v>
      </c>
      <c r="P27" s="1219" t="s">
        <v>530</v>
      </c>
      <c r="Q27" s="240">
        <v>5808174</v>
      </c>
      <c r="R27" s="153">
        <v>5537654</v>
      </c>
      <c r="S27" s="153">
        <v>5205314</v>
      </c>
      <c r="T27" s="153">
        <f>6462564+214210</f>
        <v>6676774</v>
      </c>
      <c r="U27" s="153">
        <f>4954084</f>
        <v>4954084</v>
      </c>
      <c r="V27" s="153">
        <v>6868994</v>
      </c>
      <c r="W27" s="153">
        <v>6414669</v>
      </c>
      <c r="X27" s="154">
        <f>7046561+122060</f>
        <v>7168621</v>
      </c>
      <c r="Y27" s="153">
        <v>6773226</v>
      </c>
      <c r="Z27" s="153"/>
      <c r="AA27" s="153"/>
      <c r="AB27" s="153"/>
      <c r="AC27" s="183">
        <f t="shared" si="7"/>
        <v>55407510</v>
      </c>
      <c r="AD27" s="406">
        <f t="shared" si="8"/>
        <v>0</v>
      </c>
      <c r="AF27" s="923" t="s">
        <v>349</v>
      </c>
      <c r="AG27" s="261" t="s">
        <v>357</v>
      </c>
      <c r="AH27" s="279" t="s">
        <v>178</v>
      </c>
      <c r="AI27" s="851" t="str">
        <f t="shared" si="4"/>
        <v>Servicios públicos</v>
      </c>
      <c r="AJ27" s="316">
        <v>120000000</v>
      </c>
      <c r="AK27" s="926">
        <f t="shared" si="0"/>
        <v>64592490</v>
      </c>
      <c r="AL27" s="872"/>
      <c r="AM27" s="314">
        <f t="shared" si="5"/>
        <v>0</v>
      </c>
    </row>
    <row r="28" spans="1:39" s="8" customFormat="1">
      <c r="A28" s="853" t="s">
        <v>53</v>
      </c>
      <c r="B28" s="807">
        <f t="shared" si="6"/>
        <v>9685189</v>
      </c>
      <c r="C28" s="520" t="s">
        <v>36</v>
      </c>
      <c r="D28" s="520" t="s">
        <v>858</v>
      </c>
      <c r="E28" s="520" t="s">
        <v>857</v>
      </c>
      <c r="F28" s="520" t="s">
        <v>55</v>
      </c>
      <c r="G28" s="1974" t="s">
        <v>56</v>
      </c>
      <c r="H28" s="1993" t="s">
        <v>1380</v>
      </c>
      <c r="I28" s="1041" t="s">
        <v>349</v>
      </c>
      <c r="J28" s="850">
        <v>0</v>
      </c>
      <c r="K28" s="230"/>
      <c r="L28" s="1054">
        <v>338</v>
      </c>
      <c r="M28" s="466">
        <v>9685189</v>
      </c>
      <c r="N28" s="517">
        <v>328</v>
      </c>
      <c r="O28" s="163">
        <v>9685189</v>
      </c>
      <c r="P28" s="1058" t="s">
        <v>781</v>
      </c>
      <c r="Q28" s="240"/>
      <c r="R28" s="153"/>
      <c r="S28" s="153"/>
      <c r="T28" s="153">
        <v>9685189</v>
      </c>
      <c r="U28" s="153"/>
      <c r="V28" s="153"/>
      <c r="W28" s="153"/>
      <c r="X28" s="153"/>
      <c r="Y28" s="153"/>
      <c r="Z28" s="153"/>
      <c r="AA28" s="153"/>
      <c r="AB28" s="153"/>
      <c r="AC28" s="183">
        <f t="shared" si="7"/>
        <v>9685189</v>
      </c>
      <c r="AD28" s="406">
        <f t="shared" si="8"/>
        <v>0</v>
      </c>
      <c r="AF28" s="923" t="s">
        <v>349</v>
      </c>
      <c r="AG28" s="261" t="s">
        <v>780</v>
      </c>
      <c r="AH28" s="279" t="s">
        <v>817</v>
      </c>
      <c r="AI28" s="851" t="str">
        <f t="shared" si="4"/>
        <v>304-2018</v>
      </c>
      <c r="AJ28" s="316">
        <v>9685189</v>
      </c>
      <c r="AK28" s="926">
        <f t="shared" si="0"/>
        <v>0</v>
      </c>
      <c r="AL28" s="872"/>
      <c r="AM28" s="314">
        <f t="shared" si="5"/>
        <v>0</v>
      </c>
    </row>
    <row r="29" spans="1:39" s="8" customFormat="1">
      <c r="A29" s="853" t="s">
        <v>53</v>
      </c>
      <c r="B29" s="807">
        <f t="shared" si="6"/>
        <v>14869165</v>
      </c>
      <c r="C29" s="520" t="s">
        <v>36</v>
      </c>
      <c r="D29" s="520" t="s">
        <v>858</v>
      </c>
      <c r="E29" s="520" t="s">
        <v>857</v>
      </c>
      <c r="F29" s="520" t="s">
        <v>55</v>
      </c>
      <c r="G29" s="1974" t="s">
        <v>56</v>
      </c>
      <c r="H29" s="1993" t="s">
        <v>1380</v>
      </c>
      <c r="I29" s="1041">
        <v>554</v>
      </c>
      <c r="J29" s="850"/>
      <c r="K29" s="230"/>
      <c r="L29" s="1054">
        <v>604</v>
      </c>
      <c r="M29" s="466">
        <f>19310000-4440835</f>
        <v>14869165</v>
      </c>
      <c r="N29" s="517">
        <v>765</v>
      </c>
      <c r="O29" s="163">
        <v>14869165</v>
      </c>
      <c r="P29" s="1058">
        <v>440</v>
      </c>
      <c r="Q29" s="240"/>
      <c r="R29" s="153"/>
      <c r="S29" s="153"/>
      <c r="T29" s="153"/>
      <c r="U29" s="153"/>
      <c r="V29" s="153"/>
      <c r="W29" s="153"/>
      <c r="X29" s="153"/>
      <c r="Y29" s="153"/>
      <c r="Z29" s="153"/>
      <c r="AA29" s="153"/>
      <c r="AB29" s="153"/>
      <c r="AC29" s="183">
        <f t="shared" si="7"/>
        <v>0</v>
      </c>
      <c r="AD29" s="406">
        <f t="shared" si="8"/>
        <v>14869165</v>
      </c>
      <c r="AF29" s="923">
        <v>554</v>
      </c>
      <c r="AG29" s="261" t="s">
        <v>1153</v>
      </c>
      <c r="AH29" s="279" t="s">
        <v>1275</v>
      </c>
      <c r="AI29" s="851">
        <f t="shared" si="4"/>
        <v>440</v>
      </c>
      <c r="AJ29" s="316">
        <f>21000000-6130835</f>
        <v>14869165</v>
      </c>
      <c r="AK29" s="926">
        <f t="shared" si="0"/>
        <v>0</v>
      </c>
      <c r="AL29" s="872"/>
      <c r="AM29" s="314">
        <f t="shared" si="5"/>
        <v>0</v>
      </c>
    </row>
    <row r="30" spans="1:39" s="8" customFormat="1">
      <c r="A30" s="853" t="s">
        <v>53</v>
      </c>
      <c r="B30" s="807">
        <f t="shared" si="6"/>
        <v>0</v>
      </c>
      <c r="C30" s="520" t="s">
        <v>36</v>
      </c>
      <c r="D30" s="520" t="s">
        <v>858</v>
      </c>
      <c r="E30" s="520" t="s">
        <v>857</v>
      </c>
      <c r="F30" s="520" t="s">
        <v>55</v>
      </c>
      <c r="G30" s="1974" t="s">
        <v>56</v>
      </c>
      <c r="H30" s="1993" t="s">
        <v>1380</v>
      </c>
      <c r="I30" s="1041" t="s">
        <v>178</v>
      </c>
      <c r="J30" s="850"/>
      <c r="K30" s="230"/>
      <c r="L30" s="1054"/>
      <c r="M30" s="466"/>
      <c r="N30" s="517"/>
      <c r="O30" s="466"/>
      <c r="P30" s="1058">
        <v>440</v>
      </c>
      <c r="Q30" s="240"/>
      <c r="R30" s="153"/>
      <c r="S30" s="153"/>
      <c r="T30" s="153"/>
      <c r="U30" s="153"/>
      <c r="V30" s="153"/>
      <c r="W30" s="153"/>
      <c r="X30" s="153"/>
      <c r="Y30" s="153"/>
      <c r="Z30" s="153"/>
      <c r="AA30" s="153"/>
      <c r="AB30" s="153"/>
      <c r="AC30" s="183">
        <f t="shared" ref="AC30" si="11">SUM(Q30:AB30)</f>
        <v>0</v>
      </c>
      <c r="AD30" s="406">
        <f t="shared" ref="AD30" si="12">O30-AC30</f>
        <v>0</v>
      </c>
      <c r="AF30" s="923" t="s">
        <v>349</v>
      </c>
      <c r="AG30" s="261" t="s">
        <v>1336</v>
      </c>
      <c r="AH30" s="279" t="s">
        <v>1275</v>
      </c>
      <c r="AI30" s="851">
        <f t="shared" ref="AI30" si="13">P30</f>
        <v>440</v>
      </c>
      <c r="AJ30" s="316">
        <v>7434582</v>
      </c>
      <c r="AK30" s="926">
        <f t="shared" si="0"/>
        <v>7434582</v>
      </c>
      <c r="AL30" s="872"/>
      <c r="AM30" s="314">
        <f t="shared" si="5"/>
        <v>7434582</v>
      </c>
    </row>
    <row r="31" spans="1:39" s="8" customFormat="1">
      <c r="A31" s="853" t="s">
        <v>53</v>
      </c>
      <c r="B31" s="807">
        <f t="shared" si="6"/>
        <v>20483032</v>
      </c>
      <c r="C31" s="520" t="s">
        <v>36</v>
      </c>
      <c r="D31" s="520" t="s">
        <v>858</v>
      </c>
      <c r="E31" s="520" t="s">
        <v>857</v>
      </c>
      <c r="F31" s="520" t="s">
        <v>55</v>
      </c>
      <c r="G31" s="1974" t="s">
        <v>56</v>
      </c>
      <c r="H31" s="1993" t="s">
        <v>1380</v>
      </c>
      <c r="I31" s="1041">
        <v>555</v>
      </c>
      <c r="J31" s="850"/>
      <c r="K31" s="230"/>
      <c r="L31" s="1054">
        <v>576</v>
      </c>
      <c r="M31" s="466">
        <v>20483032</v>
      </c>
      <c r="N31" s="517">
        <v>643</v>
      </c>
      <c r="O31" s="466">
        <v>20483032</v>
      </c>
      <c r="P31" s="1058">
        <v>402</v>
      </c>
      <c r="Q31" s="240"/>
      <c r="R31" s="153"/>
      <c r="S31" s="153"/>
      <c r="T31" s="153"/>
      <c r="U31" s="153"/>
      <c r="V31" s="153"/>
      <c r="W31" s="153"/>
      <c r="X31" s="153"/>
      <c r="Y31" s="153"/>
      <c r="Z31" s="153"/>
      <c r="AA31" s="153"/>
      <c r="AB31" s="153"/>
      <c r="AC31" s="183">
        <f t="shared" si="7"/>
        <v>0</v>
      </c>
      <c r="AD31" s="406">
        <f t="shared" si="8"/>
        <v>20483032</v>
      </c>
      <c r="AF31" s="923">
        <v>555</v>
      </c>
      <c r="AG31" s="261" t="s">
        <v>1154</v>
      </c>
      <c r="AH31" s="279" t="s">
        <v>1157</v>
      </c>
      <c r="AI31" s="851">
        <f t="shared" si="4"/>
        <v>402</v>
      </c>
      <c r="AJ31" s="316">
        <v>21000000</v>
      </c>
      <c r="AK31" s="926">
        <f t="shared" si="0"/>
        <v>516968</v>
      </c>
      <c r="AL31" s="872"/>
      <c r="AM31" s="314">
        <f t="shared" si="5"/>
        <v>516968</v>
      </c>
    </row>
    <row r="32" spans="1:39" s="8" customFormat="1">
      <c r="A32" s="853" t="s">
        <v>53</v>
      </c>
      <c r="B32" s="807">
        <f t="shared" si="6"/>
        <v>0</v>
      </c>
      <c r="C32" s="520" t="s">
        <v>36</v>
      </c>
      <c r="D32" s="520" t="s">
        <v>858</v>
      </c>
      <c r="E32" s="520" t="s">
        <v>857</v>
      </c>
      <c r="F32" s="520" t="s">
        <v>55</v>
      </c>
      <c r="G32" s="1974" t="s">
        <v>56</v>
      </c>
      <c r="H32" s="1993" t="s">
        <v>1380</v>
      </c>
      <c r="I32" s="1041" t="s">
        <v>178</v>
      </c>
      <c r="J32" s="207">
        <v>0</v>
      </c>
      <c r="K32" s="522"/>
      <c r="L32" s="282"/>
      <c r="M32" s="196"/>
      <c r="N32" s="282"/>
      <c r="O32" s="153"/>
      <c r="P32" s="236"/>
      <c r="Q32" s="240"/>
      <c r="R32" s="153"/>
      <c r="S32" s="153"/>
      <c r="T32" s="153"/>
      <c r="U32" s="153"/>
      <c r="V32" s="153"/>
      <c r="W32" s="153"/>
      <c r="X32" s="153"/>
      <c r="Y32" s="153"/>
      <c r="Z32" s="153"/>
      <c r="AA32" s="153"/>
      <c r="AB32" s="153"/>
      <c r="AC32" s="183">
        <f t="shared" si="7"/>
        <v>0</v>
      </c>
      <c r="AD32" s="406">
        <f t="shared" si="8"/>
        <v>0</v>
      </c>
      <c r="AF32" s="923" t="s">
        <v>349</v>
      </c>
      <c r="AG32" s="261" t="s">
        <v>520</v>
      </c>
      <c r="AH32" s="261"/>
      <c r="AI32" s="851">
        <f t="shared" si="4"/>
        <v>0</v>
      </c>
      <c r="AJ32" s="316"/>
      <c r="AK32" s="926">
        <f t="shared" si="0"/>
        <v>0</v>
      </c>
      <c r="AL32" s="872"/>
      <c r="AM32" s="314">
        <f t="shared" si="5"/>
        <v>0</v>
      </c>
    </row>
    <row r="33" spans="1:39" s="8" customFormat="1">
      <c r="A33" s="167" t="s">
        <v>24</v>
      </c>
      <c r="B33" s="506">
        <f>B18-SUM(B19:B32)</f>
        <v>106951550</v>
      </c>
      <c r="C33" s="83"/>
      <c r="D33" s="83"/>
      <c r="E33" s="83"/>
      <c r="F33" s="83"/>
      <c r="G33" s="1631"/>
      <c r="H33" s="1948"/>
      <c r="I33" s="1003"/>
      <c r="J33" s="208"/>
      <c r="K33" s="1522"/>
      <c r="L33" s="358"/>
      <c r="M33" s="162">
        <f>SUM(M19:M32)</f>
        <v>1290716311</v>
      </c>
      <c r="N33" s="358"/>
      <c r="O33" s="162">
        <f>SUM(O19:O32)</f>
        <v>1218123821</v>
      </c>
      <c r="P33" s="243"/>
      <c r="Q33" s="162">
        <f>SUM(Q19:Q32)</f>
        <v>5808174</v>
      </c>
      <c r="R33" s="162">
        <f>SUM(R19:R32)</f>
        <v>5537654</v>
      </c>
      <c r="S33" s="162">
        <f>SUM(S19:S32)</f>
        <v>52922988</v>
      </c>
      <c r="T33" s="162">
        <f t="shared" ref="T33:AB33" si="14">SUM(T19:T32)</f>
        <v>72973269</v>
      </c>
      <c r="U33" s="162">
        <f t="shared" si="14"/>
        <v>73632875</v>
      </c>
      <c r="V33" s="162">
        <f t="shared" si="14"/>
        <v>77394407</v>
      </c>
      <c r="W33" s="162">
        <f t="shared" si="14"/>
        <v>78502614</v>
      </c>
      <c r="X33" s="162">
        <f t="shared" si="14"/>
        <v>78990066</v>
      </c>
      <c r="Y33" s="162">
        <f t="shared" si="14"/>
        <v>80055992</v>
      </c>
      <c r="Z33" s="162">
        <f t="shared" si="14"/>
        <v>0</v>
      </c>
      <c r="AA33" s="162">
        <f t="shared" si="14"/>
        <v>0</v>
      </c>
      <c r="AB33" s="162">
        <f t="shared" si="14"/>
        <v>0</v>
      </c>
      <c r="AC33" s="162">
        <f>SUM(AC19:AC32)</f>
        <v>525818039</v>
      </c>
      <c r="AD33" s="162">
        <f>SUM(AD19:AD32)</f>
        <v>692305782</v>
      </c>
      <c r="AF33" s="922"/>
      <c r="AG33" s="54"/>
      <c r="AH33" s="54"/>
      <c r="AI33" s="358"/>
      <c r="AJ33" s="54">
        <f>SUM(AJ19:AJ32)</f>
        <v>1397667861</v>
      </c>
      <c r="AK33" s="181">
        <f>SUM(AK19:AK32)</f>
        <v>179544040</v>
      </c>
      <c r="AL33" s="872">
        <f>B18-AJ33</f>
        <v>0</v>
      </c>
    </row>
    <row r="34" spans="1:39" s="8" customFormat="1" ht="31.5" customHeight="1">
      <c r="A34" s="614" t="s">
        <v>53</v>
      </c>
      <c r="B34" s="505">
        <v>69775000</v>
      </c>
      <c r="C34" s="1365" t="s">
        <v>57</v>
      </c>
      <c r="D34" s="1366" t="s">
        <v>858</v>
      </c>
      <c r="E34" s="1366" t="s">
        <v>857</v>
      </c>
      <c r="F34" s="1366" t="s">
        <v>55</v>
      </c>
      <c r="G34" s="1973" t="s">
        <v>56</v>
      </c>
      <c r="H34" s="1992" t="s">
        <v>1380</v>
      </c>
      <c r="I34" s="1028"/>
      <c r="J34" s="415">
        <v>0</v>
      </c>
      <c r="K34" s="484"/>
      <c r="L34" s="472"/>
      <c r="M34" s="416"/>
      <c r="N34" s="472"/>
      <c r="O34" s="380"/>
      <c r="P34" s="378"/>
      <c r="Q34" s="379"/>
      <c r="R34" s="380"/>
      <c r="S34" s="380"/>
      <c r="T34" s="380"/>
      <c r="U34" s="380"/>
      <c r="V34" s="380"/>
      <c r="W34" s="380"/>
      <c r="X34" s="380"/>
      <c r="Y34" s="380"/>
      <c r="Z34" s="380"/>
      <c r="AA34" s="380"/>
      <c r="AB34" s="380"/>
      <c r="AC34" s="381">
        <v>0</v>
      </c>
      <c r="AD34" s="405"/>
      <c r="AF34" s="944"/>
      <c r="AG34" s="377"/>
      <c r="AH34" s="377"/>
      <c r="AI34" s="471"/>
      <c r="AJ34" s="437"/>
      <c r="AK34" s="1616"/>
      <c r="AL34" s="872"/>
    </row>
    <row r="35" spans="1:39" s="130" customFormat="1">
      <c r="A35" s="82" t="s">
        <v>53</v>
      </c>
      <c r="B35" s="507">
        <f>M35</f>
        <v>0</v>
      </c>
      <c r="C35" s="79" t="s">
        <v>57</v>
      </c>
      <c r="D35" s="79" t="s">
        <v>858</v>
      </c>
      <c r="E35" s="79" t="s">
        <v>857</v>
      </c>
      <c r="F35" s="79" t="s">
        <v>55</v>
      </c>
      <c r="G35" s="1936" t="s">
        <v>56</v>
      </c>
      <c r="H35" s="1994" t="s">
        <v>1380</v>
      </c>
      <c r="I35" s="1988">
        <v>195</v>
      </c>
      <c r="J35" s="207">
        <v>0</v>
      </c>
      <c r="K35" s="196"/>
      <c r="L35" s="282">
        <v>545</v>
      </c>
      <c r="M35" s="196">
        <f>69775000-69775000</f>
        <v>0</v>
      </c>
      <c r="N35" s="282"/>
      <c r="O35" s="481"/>
      <c r="P35" s="238"/>
      <c r="Q35" s="355"/>
      <c r="R35" s="355"/>
      <c r="S35" s="355"/>
      <c r="T35" s="355"/>
      <c r="U35" s="355"/>
      <c r="V35" s="355"/>
      <c r="W35" s="481"/>
      <c r="X35" s="153"/>
      <c r="Y35" s="153"/>
      <c r="Z35" s="481"/>
      <c r="AA35" s="481"/>
      <c r="AB35" s="481"/>
      <c r="AC35" s="183">
        <f>SUM(Q35:AB35)</f>
        <v>0</v>
      </c>
      <c r="AD35" s="406">
        <f>O35-AC35</f>
        <v>0</v>
      </c>
      <c r="AF35" s="928">
        <v>195</v>
      </c>
      <c r="AG35" s="322" t="s">
        <v>354</v>
      </c>
      <c r="AH35" s="328" t="s">
        <v>178</v>
      </c>
      <c r="AI35" s="1454">
        <f>P35</f>
        <v>0</v>
      </c>
      <c r="AJ35" s="929">
        <f>69775000-69775000</f>
        <v>0</v>
      </c>
      <c r="AK35" s="930">
        <f>AJ35-O35</f>
        <v>0</v>
      </c>
      <c r="AL35" s="874"/>
      <c r="AM35" s="314">
        <f t="shared" ref="AM35:AM37" si="15">AJ35-M35</f>
        <v>0</v>
      </c>
    </row>
    <row r="36" spans="1:39" s="130" customFormat="1">
      <c r="A36" s="82" t="s">
        <v>53</v>
      </c>
      <c r="B36" s="507">
        <f t="shared" ref="B36:B37" si="16">M36</f>
        <v>69775000</v>
      </c>
      <c r="C36" s="79" t="s">
        <v>57</v>
      </c>
      <c r="D36" s="79" t="s">
        <v>858</v>
      </c>
      <c r="E36" s="79" t="s">
        <v>857</v>
      </c>
      <c r="F36" s="79" t="s">
        <v>55</v>
      </c>
      <c r="G36" s="1936" t="s">
        <v>56</v>
      </c>
      <c r="H36" s="1994" t="s">
        <v>1380</v>
      </c>
      <c r="I36" s="1453" t="s">
        <v>1163</v>
      </c>
      <c r="J36" s="207"/>
      <c r="K36" s="1452"/>
      <c r="L36" s="282">
        <v>594</v>
      </c>
      <c r="M36" s="196">
        <v>69775000</v>
      </c>
      <c r="N36" s="282">
        <v>762</v>
      </c>
      <c r="O36" s="196">
        <v>69775000</v>
      </c>
      <c r="P36" s="238">
        <v>441</v>
      </c>
      <c r="Q36" s="355"/>
      <c r="R36" s="355"/>
      <c r="S36" s="355"/>
      <c r="T36" s="355"/>
      <c r="U36" s="355"/>
      <c r="V36" s="355"/>
      <c r="W36" s="481"/>
      <c r="X36" s="481"/>
      <c r="Y36" s="153"/>
      <c r="Z36" s="481"/>
      <c r="AA36" s="481"/>
      <c r="AB36" s="481"/>
      <c r="AC36" s="183">
        <f t="shared" ref="AC36:AC37" si="17">SUM(Q36:AB36)</f>
        <v>0</v>
      </c>
      <c r="AD36" s="406">
        <f t="shared" ref="AD36:AD37" si="18">O36-AC36</f>
        <v>69775000</v>
      </c>
      <c r="AF36" s="928" t="s">
        <v>1163</v>
      </c>
      <c r="AG36" s="322" t="s">
        <v>354</v>
      </c>
      <c r="AH36" s="328" t="s">
        <v>1274</v>
      </c>
      <c r="AI36" s="1454">
        <f t="shared" ref="AI36:AI37" si="19">P36</f>
        <v>441</v>
      </c>
      <c r="AJ36" s="929">
        <v>69775000</v>
      </c>
      <c r="AK36" s="930">
        <f t="shared" ref="AK36:AK37" si="20">AJ36-O36</f>
        <v>0</v>
      </c>
      <c r="AL36" s="874"/>
      <c r="AM36" s="314">
        <f t="shared" si="15"/>
        <v>0</v>
      </c>
    </row>
    <row r="37" spans="1:39" s="130" customFormat="1">
      <c r="A37" s="82" t="s">
        <v>53</v>
      </c>
      <c r="B37" s="507">
        <f t="shared" si="16"/>
        <v>0</v>
      </c>
      <c r="C37" s="79" t="s">
        <v>57</v>
      </c>
      <c r="D37" s="79" t="s">
        <v>858</v>
      </c>
      <c r="E37" s="79" t="s">
        <v>857</v>
      </c>
      <c r="F37" s="79" t="s">
        <v>55</v>
      </c>
      <c r="G37" s="1936" t="s">
        <v>56</v>
      </c>
      <c r="H37" s="1994" t="s">
        <v>1380</v>
      </c>
      <c r="I37" s="1453" t="s">
        <v>178</v>
      </c>
      <c r="J37" s="207"/>
      <c r="K37" s="1452"/>
      <c r="L37" s="282"/>
      <c r="M37" s="196"/>
      <c r="N37" s="282"/>
      <c r="O37" s="481"/>
      <c r="P37" s="238"/>
      <c r="Q37" s="355"/>
      <c r="R37" s="355"/>
      <c r="S37" s="355"/>
      <c r="T37" s="355"/>
      <c r="U37" s="355"/>
      <c r="V37" s="355"/>
      <c r="W37" s="481"/>
      <c r="X37" s="481"/>
      <c r="Y37" s="481"/>
      <c r="Z37" s="481"/>
      <c r="AA37" s="481"/>
      <c r="AB37" s="481"/>
      <c r="AC37" s="183">
        <f t="shared" si="17"/>
        <v>0</v>
      </c>
      <c r="AD37" s="406">
        <f t="shared" si="18"/>
        <v>0</v>
      </c>
      <c r="AF37" s="928"/>
      <c r="AG37" s="322"/>
      <c r="AH37" s="328"/>
      <c r="AI37" s="1454">
        <f t="shared" si="19"/>
        <v>0</v>
      </c>
      <c r="AJ37" s="929"/>
      <c r="AK37" s="930">
        <f t="shared" si="20"/>
        <v>0</v>
      </c>
      <c r="AL37" s="874"/>
      <c r="AM37" s="314">
        <f t="shared" si="15"/>
        <v>0</v>
      </c>
    </row>
    <row r="38" spans="1:39" s="8" customFormat="1">
      <c r="A38" s="167" t="s">
        <v>24</v>
      </c>
      <c r="B38" s="506">
        <f>B34-SUM(B35:B37)</f>
        <v>0</v>
      </c>
      <c r="C38" s="83"/>
      <c r="D38" s="83"/>
      <c r="E38" s="83"/>
      <c r="F38" s="83"/>
      <c r="G38" s="1631"/>
      <c r="H38" s="1948"/>
      <c r="I38" s="1003"/>
      <c r="J38" s="208"/>
      <c r="K38" s="1522"/>
      <c r="L38" s="358"/>
      <c r="M38" s="162">
        <f>SUM(M35:M37)</f>
        <v>69775000</v>
      </c>
      <c r="N38" s="358"/>
      <c r="O38" s="162">
        <f>SUM(O35:O37)</f>
        <v>69775000</v>
      </c>
      <c r="P38" s="243"/>
      <c r="Q38" s="162">
        <f>SUM(Q35:Q37)</f>
        <v>0</v>
      </c>
      <c r="R38" s="162">
        <f t="shared" ref="R38:AD38" si="21">SUM(R35:R37)</f>
        <v>0</v>
      </c>
      <c r="S38" s="162">
        <f t="shared" si="21"/>
        <v>0</v>
      </c>
      <c r="T38" s="162">
        <f t="shared" si="21"/>
        <v>0</v>
      </c>
      <c r="U38" s="162">
        <f t="shared" si="21"/>
        <v>0</v>
      </c>
      <c r="V38" s="162">
        <f t="shared" si="21"/>
        <v>0</v>
      </c>
      <c r="W38" s="162">
        <f t="shared" si="21"/>
        <v>0</v>
      </c>
      <c r="X38" s="162">
        <f t="shared" si="21"/>
        <v>0</v>
      </c>
      <c r="Y38" s="162">
        <f t="shared" si="21"/>
        <v>0</v>
      </c>
      <c r="Z38" s="162">
        <f t="shared" si="21"/>
        <v>0</v>
      </c>
      <c r="AA38" s="162">
        <f t="shared" si="21"/>
        <v>0</v>
      </c>
      <c r="AB38" s="162">
        <f t="shared" si="21"/>
        <v>0</v>
      </c>
      <c r="AC38" s="162">
        <f t="shared" si="21"/>
        <v>0</v>
      </c>
      <c r="AD38" s="162">
        <f t="shared" si="21"/>
        <v>69775000</v>
      </c>
      <c r="AF38" s="922"/>
      <c r="AG38" s="54"/>
      <c r="AH38" s="54"/>
      <c r="AI38" s="358"/>
      <c r="AJ38" s="162">
        <f t="shared" ref="AJ38:AK38" si="22">SUM(AJ35:AJ37)</f>
        <v>69775000</v>
      </c>
      <c r="AK38" s="162">
        <f t="shared" si="22"/>
        <v>0</v>
      </c>
      <c r="AL38" s="872">
        <f>B34-AJ38</f>
        <v>0</v>
      </c>
    </row>
    <row r="39" spans="1:39" s="8" customFormat="1" ht="27.75" customHeight="1">
      <c r="A39" s="614" t="s">
        <v>53</v>
      </c>
      <c r="B39" s="505">
        <v>450000</v>
      </c>
      <c r="C39" s="1365" t="s">
        <v>974</v>
      </c>
      <c r="D39" s="1366" t="s">
        <v>858</v>
      </c>
      <c r="E39" s="1366" t="s">
        <v>54</v>
      </c>
      <c r="F39" s="1366" t="s">
        <v>55</v>
      </c>
      <c r="G39" s="1973" t="s">
        <v>56</v>
      </c>
      <c r="H39" s="1992" t="s">
        <v>1380</v>
      </c>
      <c r="I39" s="1028"/>
      <c r="J39" s="779"/>
      <c r="K39" s="486"/>
      <c r="L39" s="1332"/>
      <c r="M39" s="1333"/>
      <c r="N39" s="1332"/>
      <c r="O39" s="1333"/>
      <c r="P39" s="1375"/>
      <c r="Q39" s="1335"/>
      <c r="R39" s="1333"/>
      <c r="S39" s="1333"/>
      <c r="T39" s="1333"/>
      <c r="U39" s="1333"/>
      <c r="V39" s="1333"/>
      <c r="W39" s="1333"/>
      <c r="X39" s="1333"/>
      <c r="Y39" s="1333"/>
      <c r="Z39" s="1333"/>
      <c r="AA39" s="1333"/>
      <c r="AB39" s="1333"/>
      <c r="AC39" s="1376">
        <f>SUM(Q39:AB39)</f>
        <v>0</v>
      </c>
      <c r="AD39" s="1377">
        <f>O39-AC39</f>
        <v>0</v>
      </c>
      <c r="AF39" s="944"/>
      <c r="AG39" s="377"/>
      <c r="AH39" s="377"/>
      <c r="AI39" s="471"/>
      <c r="AJ39" s="437"/>
      <c r="AK39" s="1616"/>
      <c r="AL39" s="872"/>
    </row>
    <row r="40" spans="1:39" s="130" customFormat="1">
      <c r="A40" s="82" t="s">
        <v>53</v>
      </c>
      <c r="B40" s="507">
        <f>M40</f>
        <v>0</v>
      </c>
      <c r="C40" s="1400" t="s">
        <v>974</v>
      </c>
      <c r="D40" s="520" t="s">
        <v>858</v>
      </c>
      <c r="E40" s="520" t="s">
        <v>857</v>
      </c>
      <c r="F40" s="520" t="s">
        <v>55</v>
      </c>
      <c r="G40" s="1975" t="s">
        <v>56</v>
      </c>
      <c r="H40" s="1995" t="s">
        <v>1380</v>
      </c>
      <c r="I40" s="1988">
        <v>195</v>
      </c>
      <c r="J40" s="209">
        <v>0</v>
      </c>
      <c r="K40" s="486"/>
      <c r="L40" s="99">
        <v>544</v>
      </c>
      <c r="M40" s="139">
        <f>450000-450000</f>
        <v>0</v>
      </c>
      <c r="N40" s="99"/>
      <c r="O40" s="139"/>
      <c r="P40" s="1433"/>
      <c r="Q40" s="234"/>
      <c r="R40" s="138"/>
      <c r="S40" s="138"/>
      <c r="T40" s="138"/>
      <c r="U40" s="138"/>
      <c r="V40" s="138"/>
      <c r="W40" s="138"/>
      <c r="X40" s="138"/>
      <c r="Y40" s="138"/>
      <c r="Z40" s="138"/>
      <c r="AA40" s="138"/>
      <c r="AB40" s="138"/>
      <c r="AC40" s="183">
        <f>SUM(Q40:AB40)</f>
        <v>0</v>
      </c>
      <c r="AD40" s="406">
        <f>O40-AC40</f>
        <v>0</v>
      </c>
      <c r="AF40" s="928">
        <v>195</v>
      </c>
      <c r="AG40" s="322" t="s">
        <v>354</v>
      </c>
      <c r="AH40" s="328" t="s">
        <v>178</v>
      </c>
      <c r="AI40" s="851">
        <f>P40</f>
        <v>0</v>
      </c>
      <c r="AJ40" s="929">
        <f>450000-450000</f>
        <v>0</v>
      </c>
      <c r="AK40" s="930">
        <f>AJ40-O40</f>
        <v>0</v>
      </c>
      <c r="AL40" s="874"/>
      <c r="AM40" s="314">
        <f t="shared" ref="AM40:AM42" si="23">AJ40-M40</f>
        <v>0</v>
      </c>
    </row>
    <row r="41" spans="1:39" s="130" customFormat="1">
      <c r="A41" s="82" t="s">
        <v>53</v>
      </c>
      <c r="B41" s="507">
        <f t="shared" ref="B41:B42" si="24">M41</f>
        <v>450000</v>
      </c>
      <c r="C41" s="1400" t="s">
        <v>974</v>
      </c>
      <c r="D41" s="520" t="s">
        <v>858</v>
      </c>
      <c r="E41" s="520" t="s">
        <v>857</v>
      </c>
      <c r="F41" s="520" t="s">
        <v>55</v>
      </c>
      <c r="G41" s="1975" t="s">
        <v>56</v>
      </c>
      <c r="H41" s="1995" t="s">
        <v>1380</v>
      </c>
      <c r="I41" s="1451" t="s">
        <v>1163</v>
      </c>
      <c r="J41" s="209"/>
      <c r="K41" s="486"/>
      <c r="L41" s="99">
        <v>594</v>
      </c>
      <c r="M41" s="139">
        <v>450000</v>
      </c>
      <c r="N41" s="99">
        <v>762</v>
      </c>
      <c r="O41" s="139">
        <v>438475</v>
      </c>
      <c r="P41" s="1433">
        <v>441</v>
      </c>
      <c r="Q41" s="234"/>
      <c r="R41" s="138"/>
      <c r="S41" s="138"/>
      <c r="T41" s="138"/>
      <c r="U41" s="138"/>
      <c r="V41" s="138"/>
      <c r="W41" s="138"/>
      <c r="X41" s="138"/>
      <c r="Y41" s="153"/>
      <c r="Z41" s="138"/>
      <c r="AA41" s="138"/>
      <c r="AB41" s="138"/>
      <c r="AC41" s="183">
        <f t="shared" ref="AC41:AC42" si="25">SUM(Q41:AB41)</f>
        <v>0</v>
      </c>
      <c r="AD41" s="406">
        <f t="shared" ref="AD41:AD42" si="26">O41-AC41</f>
        <v>438475</v>
      </c>
      <c r="AF41" s="928" t="s">
        <v>1163</v>
      </c>
      <c r="AG41" s="322" t="s">
        <v>354</v>
      </c>
      <c r="AH41" s="328" t="s">
        <v>1274</v>
      </c>
      <c r="AI41" s="1454">
        <f t="shared" ref="AI41" si="27">P41</f>
        <v>441</v>
      </c>
      <c r="AJ41" s="929">
        <v>450000</v>
      </c>
      <c r="AK41" s="930">
        <f t="shared" ref="AK41:AK42" si="28">AJ41-O41</f>
        <v>11525</v>
      </c>
      <c r="AL41" s="874"/>
      <c r="AM41" s="314">
        <f t="shared" si="23"/>
        <v>0</v>
      </c>
    </row>
    <row r="42" spans="1:39" s="130" customFormat="1">
      <c r="A42" s="82" t="s">
        <v>53</v>
      </c>
      <c r="B42" s="507">
        <f t="shared" si="24"/>
        <v>0</v>
      </c>
      <c r="C42" s="1400" t="s">
        <v>974</v>
      </c>
      <c r="D42" s="520" t="s">
        <v>858</v>
      </c>
      <c r="E42" s="520" t="s">
        <v>857</v>
      </c>
      <c r="F42" s="520" t="s">
        <v>55</v>
      </c>
      <c r="G42" s="1975" t="s">
        <v>56</v>
      </c>
      <c r="H42" s="1995" t="s">
        <v>1380</v>
      </c>
      <c r="I42" s="1451" t="s">
        <v>178</v>
      </c>
      <c r="J42" s="209"/>
      <c r="K42" s="486"/>
      <c r="L42" s="99"/>
      <c r="M42" s="139"/>
      <c r="N42" s="99"/>
      <c r="O42" s="139"/>
      <c r="P42" s="1433"/>
      <c r="Q42" s="234"/>
      <c r="R42" s="138"/>
      <c r="S42" s="138"/>
      <c r="T42" s="138"/>
      <c r="U42" s="138"/>
      <c r="V42" s="138"/>
      <c r="W42" s="138"/>
      <c r="X42" s="138"/>
      <c r="Y42" s="138"/>
      <c r="Z42" s="138"/>
      <c r="AA42" s="138"/>
      <c r="AB42" s="138"/>
      <c r="AC42" s="183">
        <f t="shared" si="25"/>
        <v>0</v>
      </c>
      <c r="AD42" s="406">
        <f t="shared" si="26"/>
        <v>0</v>
      </c>
      <c r="AF42" s="928"/>
      <c r="AG42" s="322"/>
      <c r="AH42" s="328"/>
      <c r="AI42" s="851"/>
      <c r="AJ42" s="929"/>
      <c r="AK42" s="930">
        <f t="shared" si="28"/>
        <v>0</v>
      </c>
      <c r="AL42" s="874"/>
      <c r="AM42" s="314">
        <f t="shared" si="23"/>
        <v>0</v>
      </c>
    </row>
    <row r="43" spans="1:39" s="8" customFormat="1">
      <c r="A43" s="167" t="s">
        <v>24</v>
      </c>
      <c r="B43" s="506">
        <f>B39--SUM(B40:B40)</f>
        <v>450000</v>
      </c>
      <c r="C43" s="83"/>
      <c r="D43" s="83"/>
      <c r="E43" s="83"/>
      <c r="F43" s="83"/>
      <c r="G43" s="1631"/>
      <c r="H43" s="1948"/>
      <c r="I43" s="1003"/>
      <c r="J43" s="208"/>
      <c r="K43" s="1522"/>
      <c r="L43" s="358"/>
      <c r="M43" s="162">
        <f>SUM(M40:M42)</f>
        <v>450000</v>
      </c>
      <c r="N43" s="358"/>
      <c r="O43" s="162">
        <f>SUM(O40:O42)</f>
        <v>438475</v>
      </c>
      <c r="P43" s="243"/>
      <c r="Q43" s="162">
        <f>SUM(Q40:Q42)</f>
        <v>0</v>
      </c>
      <c r="R43" s="162">
        <f t="shared" ref="R43:AD43" si="29">SUM(R40:R42)</f>
        <v>0</v>
      </c>
      <c r="S43" s="162">
        <f t="shared" si="29"/>
        <v>0</v>
      </c>
      <c r="T43" s="162">
        <f t="shared" si="29"/>
        <v>0</v>
      </c>
      <c r="U43" s="162">
        <f t="shared" si="29"/>
        <v>0</v>
      </c>
      <c r="V43" s="162">
        <f t="shared" si="29"/>
        <v>0</v>
      </c>
      <c r="W43" s="162">
        <f t="shared" si="29"/>
        <v>0</v>
      </c>
      <c r="X43" s="162">
        <f t="shared" si="29"/>
        <v>0</v>
      </c>
      <c r="Y43" s="162">
        <f t="shared" si="29"/>
        <v>0</v>
      </c>
      <c r="Z43" s="162">
        <f t="shared" si="29"/>
        <v>0</v>
      </c>
      <c r="AA43" s="162">
        <f t="shared" si="29"/>
        <v>0</v>
      </c>
      <c r="AB43" s="162">
        <f t="shared" si="29"/>
        <v>0</v>
      </c>
      <c r="AC43" s="162">
        <f t="shared" si="29"/>
        <v>0</v>
      </c>
      <c r="AD43" s="162">
        <f t="shared" si="29"/>
        <v>438475</v>
      </c>
      <c r="AF43" s="922"/>
      <c r="AG43" s="54"/>
      <c r="AH43" s="54"/>
      <c r="AI43" s="358"/>
      <c r="AJ43" s="162">
        <f t="shared" ref="AJ43:AK43" si="30">SUM(AJ40:AJ42)</f>
        <v>450000</v>
      </c>
      <c r="AK43" s="162">
        <f t="shared" si="30"/>
        <v>11525</v>
      </c>
      <c r="AL43" s="872">
        <f>B39-AJ43</f>
        <v>0</v>
      </c>
    </row>
    <row r="44" spans="1:39" s="6" customFormat="1" ht="31.5" customHeight="1">
      <c r="A44" s="789" t="s">
        <v>117</v>
      </c>
      <c r="B44" s="504">
        <f>B45+B66</f>
        <v>508490000</v>
      </c>
      <c r="C44" s="1367" t="s">
        <v>36</v>
      </c>
      <c r="D44" s="1367" t="s">
        <v>859</v>
      </c>
      <c r="E44" s="1367" t="s">
        <v>54</v>
      </c>
      <c r="F44" s="1367" t="s">
        <v>58</v>
      </c>
      <c r="G44" s="1976" t="s">
        <v>56</v>
      </c>
      <c r="H44" s="1996" t="s">
        <v>1380</v>
      </c>
      <c r="I44" s="1029"/>
      <c r="J44" s="382"/>
      <c r="K44" s="1523"/>
      <c r="L44" s="473"/>
      <c r="M44" s="383"/>
      <c r="N44" s="473"/>
      <c r="O44" s="347"/>
      <c r="P44" s="384"/>
      <c r="Q44" s="385"/>
      <c r="R44" s="347"/>
      <c r="S44" s="347"/>
      <c r="T44" s="347"/>
      <c r="U44" s="347"/>
      <c r="V44" s="347"/>
      <c r="W44" s="347"/>
      <c r="X44" s="347"/>
      <c r="Y44" s="347"/>
      <c r="Z44" s="347"/>
      <c r="AA44" s="347"/>
      <c r="AB44" s="347"/>
      <c r="AC44" s="386"/>
      <c r="AD44" s="407"/>
      <c r="AF44" s="948"/>
      <c r="AG44" s="444"/>
      <c r="AH44" s="444"/>
      <c r="AI44" s="1460"/>
      <c r="AJ44" s="350"/>
      <c r="AK44" s="1461"/>
      <c r="AL44" s="872"/>
    </row>
    <row r="45" spans="1:39" s="630" customFormat="1">
      <c r="A45" s="86" t="s">
        <v>59</v>
      </c>
      <c r="B45" s="505">
        <f>370060000-1570000</f>
        <v>368490000</v>
      </c>
      <c r="C45" s="85" t="s">
        <v>36</v>
      </c>
      <c r="D45" s="85" t="s">
        <v>859</v>
      </c>
      <c r="E45" s="85" t="s">
        <v>857</v>
      </c>
      <c r="F45" s="85" t="s">
        <v>857</v>
      </c>
      <c r="G45" s="1949" t="s">
        <v>56</v>
      </c>
      <c r="H45" s="1997" t="s">
        <v>1380</v>
      </c>
      <c r="I45" s="1005" t="s">
        <v>178</v>
      </c>
      <c r="J45" s="855">
        <v>0</v>
      </c>
      <c r="K45" s="1524"/>
      <c r="L45" s="857"/>
      <c r="M45" s="856"/>
      <c r="N45" s="857"/>
      <c r="O45" s="348"/>
      <c r="P45" s="389"/>
      <c r="Q45" s="352"/>
      <c r="R45" s="348"/>
      <c r="S45" s="348"/>
      <c r="T45" s="348"/>
      <c r="U45" s="348"/>
      <c r="V45" s="348"/>
      <c r="W45" s="348"/>
      <c r="X45" s="348"/>
      <c r="Y45" s="348"/>
      <c r="Z45" s="348"/>
      <c r="AA45" s="348"/>
      <c r="AB45" s="348"/>
      <c r="AC45" s="354">
        <f>SUM(Q45:AB45)</f>
        <v>0</v>
      </c>
      <c r="AD45" s="408">
        <f>O45-AC45</f>
        <v>0</v>
      </c>
      <c r="AF45" s="1617"/>
      <c r="AG45" s="1618"/>
      <c r="AH45" s="1618"/>
      <c r="AI45" s="1619"/>
      <c r="AJ45" s="1620"/>
      <c r="AK45" s="1621"/>
      <c r="AL45" s="872"/>
    </row>
    <row r="46" spans="1:39" s="630" customFormat="1">
      <c r="A46" s="86" t="s">
        <v>59</v>
      </c>
      <c r="B46" s="849">
        <f>M46</f>
        <v>6000000</v>
      </c>
      <c r="C46" s="85" t="s">
        <v>36</v>
      </c>
      <c r="D46" s="85" t="s">
        <v>859</v>
      </c>
      <c r="E46" s="85" t="s">
        <v>857</v>
      </c>
      <c r="F46" s="85" t="s">
        <v>857</v>
      </c>
      <c r="G46" s="1949" t="s">
        <v>56</v>
      </c>
      <c r="H46" s="1997" t="s">
        <v>1380</v>
      </c>
      <c r="I46" s="850">
        <v>132</v>
      </c>
      <c r="J46" s="858">
        <v>0</v>
      </c>
      <c r="K46" s="233"/>
      <c r="L46" s="1054">
        <v>379</v>
      </c>
      <c r="M46" s="628">
        <v>6000000</v>
      </c>
      <c r="N46" s="627">
        <v>466</v>
      </c>
      <c r="O46" s="153">
        <v>6000000</v>
      </c>
      <c r="P46" s="236">
        <v>322</v>
      </c>
      <c r="Q46" s="240"/>
      <c r="R46" s="153"/>
      <c r="S46" s="153"/>
      <c r="T46" s="153"/>
      <c r="U46" s="153"/>
      <c r="V46" s="153"/>
      <c r="W46" s="153"/>
      <c r="X46" s="153"/>
      <c r="Y46" s="153"/>
      <c r="Z46" s="153"/>
      <c r="AA46" s="153"/>
      <c r="AB46" s="153"/>
      <c r="AC46" s="183">
        <f t="shared" ref="AC46" si="31">SUM(Q46:AB46)</f>
        <v>0</v>
      </c>
      <c r="AD46" s="406">
        <f t="shared" ref="AD46" si="32">O46-AC46</f>
        <v>6000000</v>
      </c>
      <c r="AF46" s="924">
        <v>132</v>
      </c>
      <c r="AG46" s="785" t="s">
        <v>311</v>
      </c>
      <c r="AH46" s="365" t="s">
        <v>1010</v>
      </c>
      <c r="AI46" s="851">
        <f t="shared" ref="AI46:AI64" si="33">P46</f>
        <v>322</v>
      </c>
      <c r="AJ46" s="629">
        <v>6000000</v>
      </c>
      <c r="AK46" s="930">
        <f t="shared" ref="AK46:AK64" si="34">AJ46-O46</f>
        <v>0</v>
      </c>
      <c r="AL46" s="872"/>
      <c r="AM46" s="314">
        <f t="shared" ref="AM46:AM64" si="35">AJ46-M46</f>
        <v>0</v>
      </c>
    </row>
    <row r="47" spans="1:39" s="630" customFormat="1">
      <c r="A47" s="86" t="s">
        <v>59</v>
      </c>
      <c r="B47" s="849">
        <f t="shared" ref="B47:B64" si="36">M47</f>
        <v>0</v>
      </c>
      <c r="C47" s="85" t="s">
        <v>36</v>
      </c>
      <c r="D47" s="85" t="s">
        <v>859</v>
      </c>
      <c r="E47" s="85" t="s">
        <v>857</v>
      </c>
      <c r="F47" s="85" t="s">
        <v>857</v>
      </c>
      <c r="G47" s="1949" t="s">
        <v>56</v>
      </c>
      <c r="H47" s="1997" t="s">
        <v>1380</v>
      </c>
      <c r="I47" s="850">
        <v>136</v>
      </c>
      <c r="J47" s="858">
        <v>0</v>
      </c>
      <c r="K47" s="233"/>
      <c r="L47" s="1054"/>
      <c r="M47" s="782"/>
      <c r="N47" s="783"/>
      <c r="O47" s="153"/>
      <c r="P47" s="236" t="s">
        <v>178</v>
      </c>
      <c r="Q47" s="240"/>
      <c r="R47" s="153"/>
      <c r="S47" s="153"/>
      <c r="T47" s="153"/>
      <c r="U47" s="153"/>
      <c r="V47" s="153"/>
      <c r="W47" s="153"/>
      <c r="X47" s="153"/>
      <c r="Y47" s="153"/>
      <c r="Z47" s="153"/>
      <c r="AA47" s="153"/>
      <c r="AB47" s="153"/>
      <c r="AC47" s="183">
        <f t="shared" ref="AC47:AC64" si="37">SUM(Q47:AB47)</f>
        <v>0</v>
      </c>
      <c r="AD47" s="406">
        <f t="shared" ref="AD47:AD64" si="38">O47-AC47</f>
        <v>0</v>
      </c>
      <c r="AF47" s="924">
        <v>136</v>
      </c>
      <c r="AG47" s="785" t="s">
        <v>358</v>
      </c>
      <c r="AH47" s="365" t="s">
        <v>178</v>
      </c>
      <c r="AI47" s="851" t="str">
        <f t="shared" si="33"/>
        <v>-</v>
      </c>
      <c r="AJ47" s="629">
        <v>50000000</v>
      </c>
      <c r="AK47" s="930">
        <f t="shared" si="34"/>
        <v>50000000</v>
      </c>
      <c r="AL47" s="872"/>
      <c r="AM47" s="314">
        <f t="shared" si="35"/>
        <v>50000000</v>
      </c>
    </row>
    <row r="48" spans="1:39" s="630" customFormat="1">
      <c r="A48" s="86" t="s">
        <v>59</v>
      </c>
      <c r="B48" s="849">
        <f t="shared" si="36"/>
        <v>0</v>
      </c>
      <c r="C48" s="85" t="s">
        <v>36</v>
      </c>
      <c r="D48" s="85" t="s">
        <v>859</v>
      </c>
      <c r="E48" s="85" t="s">
        <v>857</v>
      </c>
      <c r="F48" s="85" t="s">
        <v>857</v>
      </c>
      <c r="G48" s="1949" t="s">
        <v>56</v>
      </c>
      <c r="H48" s="1997" t="s">
        <v>1380</v>
      </c>
      <c r="I48" s="850">
        <v>151</v>
      </c>
      <c r="J48" s="858">
        <v>0</v>
      </c>
      <c r="K48" s="233"/>
      <c r="L48" s="1054"/>
      <c r="M48" s="782"/>
      <c r="N48" s="783"/>
      <c r="O48" s="153"/>
      <c r="P48" s="236"/>
      <c r="Q48" s="240"/>
      <c r="R48" s="153"/>
      <c r="S48" s="153"/>
      <c r="T48" s="153"/>
      <c r="U48" s="153"/>
      <c r="V48" s="153"/>
      <c r="W48" s="153"/>
      <c r="X48" s="153"/>
      <c r="Y48" s="153"/>
      <c r="Z48" s="153"/>
      <c r="AA48" s="153"/>
      <c r="AB48" s="153"/>
      <c r="AC48" s="183">
        <f t="shared" si="37"/>
        <v>0</v>
      </c>
      <c r="AD48" s="406">
        <f t="shared" si="38"/>
        <v>0</v>
      </c>
      <c r="AF48" s="924">
        <v>151</v>
      </c>
      <c r="AG48" s="785" t="s">
        <v>359</v>
      </c>
      <c r="AH48" s="365" t="s">
        <v>178</v>
      </c>
      <c r="AI48" s="851">
        <f t="shared" si="33"/>
        <v>0</v>
      </c>
      <c r="AJ48" s="629">
        <v>15000000</v>
      </c>
      <c r="AK48" s="930">
        <f t="shared" si="34"/>
        <v>15000000</v>
      </c>
      <c r="AL48" s="872"/>
      <c r="AM48" s="314">
        <f t="shared" si="35"/>
        <v>15000000</v>
      </c>
    </row>
    <row r="49" spans="1:39" s="630" customFormat="1">
      <c r="A49" s="86" t="s">
        <v>59</v>
      </c>
      <c r="B49" s="849">
        <f t="shared" si="36"/>
        <v>5385243</v>
      </c>
      <c r="C49" s="85" t="s">
        <v>36</v>
      </c>
      <c r="D49" s="85" t="s">
        <v>859</v>
      </c>
      <c r="E49" s="85" t="s">
        <v>857</v>
      </c>
      <c r="F49" s="85" t="s">
        <v>857</v>
      </c>
      <c r="G49" s="1949" t="s">
        <v>56</v>
      </c>
      <c r="H49" s="1997" t="s">
        <v>1380</v>
      </c>
      <c r="I49" s="850">
        <v>176</v>
      </c>
      <c r="J49" s="858">
        <v>0</v>
      </c>
      <c r="K49" s="233"/>
      <c r="L49" s="1054">
        <v>546</v>
      </c>
      <c r="M49" s="628">
        <v>5385243</v>
      </c>
      <c r="N49" s="627">
        <v>761</v>
      </c>
      <c r="O49" s="154">
        <v>4398478</v>
      </c>
      <c r="P49" s="1058">
        <v>438</v>
      </c>
      <c r="Q49" s="240"/>
      <c r="R49" s="153"/>
      <c r="S49" s="153"/>
      <c r="T49" s="153"/>
      <c r="U49" s="153"/>
      <c r="V49" s="153"/>
      <c r="W49" s="153"/>
      <c r="X49" s="153"/>
      <c r="Y49" s="153">
        <v>4398478</v>
      </c>
      <c r="Z49" s="153"/>
      <c r="AA49" s="153"/>
      <c r="AB49" s="153"/>
      <c r="AC49" s="183">
        <f t="shared" si="37"/>
        <v>4398478</v>
      </c>
      <c r="AD49" s="406">
        <f t="shared" si="38"/>
        <v>0</v>
      </c>
      <c r="AF49" s="924">
        <v>176</v>
      </c>
      <c r="AG49" s="785" t="s">
        <v>1125</v>
      </c>
      <c r="AH49" s="365" t="s">
        <v>1273</v>
      </c>
      <c r="AI49" s="851">
        <f t="shared" si="33"/>
        <v>438</v>
      </c>
      <c r="AJ49" s="629">
        <f>5718016+630000</f>
        <v>6348016</v>
      </c>
      <c r="AK49" s="930">
        <f t="shared" si="34"/>
        <v>1949538</v>
      </c>
      <c r="AL49" s="872"/>
      <c r="AM49" s="314">
        <f t="shared" si="35"/>
        <v>962773</v>
      </c>
    </row>
    <row r="50" spans="1:39" s="630" customFormat="1">
      <c r="A50" s="86" t="s">
        <v>59</v>
      </c>
      <c r="B50" s="849">
        <f t="shared" si="36"/>
        <v>0</v>
      </c>
      <c r="C50" s="85" t="s">
        <v>36</v>
      </c>
      <c r="D50" s="85" t="s">
        <v>859</v>
      </c>
      <c r="E50" s="85" t="s">
        <v>857</v>
      </c>
      <c r="F50" s="85" t="s">
        <v>857</v>
      </c>
      <c r="G50" s="1949" t="s">
        <v>56</v>
      </c>
      <c r="H50" s="1997" t="s">
        <v>1380</v>
      </c>
      <c r="I50" s="850">
        <v>178</v>
      </c>
      <c r="J50" s="858">
        <v>0</v>
      </c>
      <c r="K50" s="233"/>
      <c r="L50" s="1054"/>
      <c r="M50" s="628"/>
      <c r="N50" s="627"/>
      <c r="O50" s="154"/>
      <c r="P50" s="1058"/>
      <c r="Q50" s="240"/>
      <c r="R50" s="153"/>
      <c r="S50" s="153"/>
      <c r="T50" s="153"/>
      <c r="U50" s="153"/>
      <c r="V50" s="153"/>
      <c r="W50" s="153"/>
      <c r="X50" s="153"/>
      <c r="Y50" s="153"/>
      <c r="Z50" s="153"/>
      <c r="AA50" s="153"/>
      <c r="AB50" s="153"/>
      <c r="AC50" s="183">
        <f t="shared" si="37"/>
        <v>0</v>
      </c>
      <c r="AD50" s="406">
        <f t="shared" si="38"/>
        <v>0</v>
      </c>
      <c r="AF50" s="924">
        <v>178</v>
      </c>
      <c r="AG50" s="785" t="s">
        <v>360</v>
      </c>
      <c r="AH50" s="365" t="s">
        <v>178</v>
      </c>
      <c r="AI50" s="851">
        <f t="shared" si="33"/>
        <v>0</v>
      </c>
      <c r="AJ50" s="629">
        <f>113341984-113341984</f>
        <v>0</v>
      </c>
      <c r="AK50" s="930">
        <f t="shared" si="34"/>
        <v>0</v>
      </c>
      <c r="AL50" s="872"/>
      <c r="AM50" s="314">
        <f t="shared" si="35"/>
        <v>0</v>
      </c>
    </row>
    <row r="51" spans="1:39" s="630" customFormat="1">
      <c r="A51" s="86" t="s">
        <v>59</v>
      </c>
      <c r="B51" s="849">
        <f t="shared" si="36"/>
        <v>81481954</v>
      </c>
      <c r="C51" s="85" t="s">
        <v>36</v>
      </c>
      <c r="D51" s="85" t="s">
        <v>859</v>
      </c>
      <c r="E51" s="85" t="s">
        <v>857</v>
      </c>
      <c r="F51" s="85" t="s">
        <v>857</v>
      </c>
      <c r="G51" s="1949" t="s">
        <v>56</v>
      </c>
      <c r="H51" s="1997" t="s">
        <v>1380</v>
      </c>
      <c r="I51" s="850">
        <v>201</v>
      </c>
      <c r="J51" s="858">
        <v>0</v>
      </c>
      <c r="K51" s="233"/>
      <c r="L51" s="1054">
        <v>410</v>
      </c>
      <c r="M51" s="628">
        <f>119916580-38434626</f>
        <v>81481954</v>
      </c>
      <c r="N51" s="627">
        <v>575</v>
      </c>
      <c r="O51" s="153">
        <v>81481954</v>
      </c>
      <c r="P51" s="236">
        <v>371</v>
      </c>
      <c r="Q51" s="240"/>
      <c r="R51" s="153"/>
      <c r="S51" s="153"/>
      <c r="T51" s="153"/>
      <c r="U51" s="153"/>
      <c r="V51" s="153"/>
      <c r="W51" s="153"/>
      <c r="X51" s="153">
        <v>81481954</v>
      </c>
      <c r="Y51" s="153"/>
      <c r="Z51" s="153"/>
      <c r="AA51" s="153"/>
      <c r="AB51" s="153"/>
      <c r="AC51" s="183">
        <f t="shared" si="37"/>
        <v>81481954</v>
      </c>
      <c r="AD51" s="406">
        <f t="shared" si="38"/>
        <v>0</v>
      </c>
      <c r="AF51" s="924">
        <v>201</v>
      </c>
      <c r="AG51" s="785" t="s">
        <v>315</v>
      </c>
      <c r="AH51" s="365" t="s">
        <v>852</v>
      </c>
      <c r="AI51" s="851">
        <f t="shared" si="33"/>
        <v>371</v>
      </c>
      <c r="AJ51" s="629">
        <f>120000000-38518046</f>
        <v>81481954</v>
      </c>
      <c r="AK51" s="930">
        <f t="shared" si="34"/>
        <v>0</v>
      </c>
      <c r="AL51" s="872"/>
      <c r="AM51" s="314">
        <f t="shared" si="35"/>
        <v>0</v>
      </c>
    </row>
    <row r="52" spans="1:39" s="630" customFormat="1">
      <c r="A52" s="86" t="s">
        <v>59</v>
      </c>
      <c r="B52" s="849">
        <f t="shared" si="36"/>
        <v>17518046</v>
      </c>
      <c r="C52" s="85" t="s">
        <v>36</v>
      </c>
      <c r="D52" s="85" t="s">
        <v>859</v>
      </c>
      <c r="E52" s="85" t="s">
        <v>857</v>
      </c>
      <c r="F52" s="85" t="s">
        <v>857</v>
      </c>
      <c r="G52" s="1949" t="s">
        <v>56</v>
      </c>
      <c r="H52" s="1997" t="s">
        <v>1380</v>
      </c>
      <c r="I52" s="1435" t="s">
        <v>178</v>
      </c>
      <c r="J52" s="858"/>
      <c r="K52" s="233"/>
      <c r="L52" s="1054">
        <v>609</v>
      </c>
      <c r="M52" s="628">
        <v>17518046</v>
      </c>
      <c r="N52" s="627">
        <v>713</v>
      </c>
      <c r="O52" s="153">
        <v>17518046</v>
      </c>
      <c r="P52" s="236">
        <v>371</v>
      </c>
      <c r="Q52" s="240"/>
      <c r="R52" s="153"/>
      <c r="S52" s="153"/>
      <c r="T52" s="153"/>
      <c r="U52" s="153"/>
      <c r="V52" s="153"/>
      <c r="W52" s="153"/>
      <c r="X52" s="153"/>
      <c r="Y52" s="153">
        <v>17518046</v>
      </c>
      <c r="Z52" s="153"/>
      <c r="AA52" s="153"/>
      <c r="AB52" s="153"/>
      <c r="AC52" s="183">
        <f t="shared" si="37"/>
        <v>17518046</v>
      </c>
      <c r="AD52" s="406">
        <f t="shared" si="38"/>
        <v>0</v>
      </c>
      <c r="AF52" s="923" t="s">
        <v>349</v>
      </c>
      <c r="AG52" s="785" t="s">
        <v>1161</v>
      </c>
      <c r="AH52" s="365" t="s">
        <v>852</v>
      </c>
      <c r="AI52" s="851">
        <f t="shared" si="33"/>
        <v>371</v>
      </c>
      <c r="AJ52" s="629">
        <v>17518046</v>
      </c>
      <c r="AK52" s="930">
        <f t="shared" si="34"/>
        <v>0</v>
      </c>
      <c r="AL52" s="872"/>
      <c r="AM52" s="314">
        <f t="shared" si="35"/>
        <v>0</v>
      </c>
    </row>
    <row r="53" spans="1:39" s="630" customFormat="1">
      <c r="A53" s="86" t="s">
        <v>59</v>
      </c>
      <c r="B53" s="849">
        <f t="shared" si="36"/>
        <v>17985693</v>
      </c>
      <c r="C53" s="85" t="s">
        <v>36</v>
      </c>
      <c r="D53" s="85" t="s">
        <v>859</v>
      </c>
      <c r="E53" s="85" t="s">
        <v>857</v>
      </c>
      <c r="F53" s="85" t="s">
        <v>857</v>
      </c>
      <c r="G53" s="1949" t="s">
        <v>56</v>
      </c>
      <c r="H53" s="1997" t="s">
        <v>1380</v>
      </c>
      <c r="I53" s="850">
        <v>202</v>
      </c>
      <c r="J53" s="858">
        <v>0</v>
      </c>
      <c r="K53" s="233"/>
      <c r="L53" s="1054">
        <v>400</v>
      </c>
      <c r="M53" s="628">
        <f>37741308-19755615</f>
        <v>17985693</v>
      </c>
      <c r="N53" s="627">
        <v>502</v>
      </c>
      <c r="O53" s="153">
        <v>17985693</v>
      </c>
      <c r="P53" s="236">
        <v>360</v>
      </c>
      <c r="Q53" s="240"/>
      <c r="R53" s="153"/>
      <c r="S53" s="153"/>
      <c r="T53" s="153"/>
      <c r="U53" s="153"/>
      <c r="V53" s="153"/>
      <c r="W53" s="153"/>
      <c r="X53" s="153"/>
      <c r="Y53" s="153"/>
      <c r="Z53" s="153"/>
      <c r="AA53" s="153"/>
      <c r="AB53" s="153"/>
      <c r="AC53" s="183">
        <f t="shared" si="37"/>
        <v>0</v>
      </c>
      <c r="AD53" s="406">
        <f t="shared" si="38"/>
        <v>17985693</v>
      </c>
      <c r="AF53" s="924">
        <v>202</v>
      </c>
      <c r="AG53" s="785" t="s">
        <v>361</v>
      </c>
      <c r="AH53" s="365" t="s">
        <v>852</v>
      </c>
      <c r="AI53" s="851">
        <f t="shared" si="33"/>
        <v>360</v>
      </c>
      <c r="AJ53" s="629">
        <f>38000000-20014307</f>
        <v>17985693</v>
      </c>
      <c r="AK53" s="930">
        <f t="shared" si="34"/>
        <v>0</v>
      </c>
      <c r="AL53" s="872"/>
      <c r="AM53" s="314">
        <f t="shared" si="35"/>
        <v>0</v>
      </c>
    </row>
    <row r="54" spans="1:39" s="630" customFormat="1">
      <c r="A54" s="86" t="s">
        <v>59</v>
      </c>
      <c r="B54" s="849">
        <f t="shared" si="36"/>
        <v>13200000</v>
      </c>
      <c r="C54" s="85" t="s">
        <v>36</v>
      </c>
      <c r="D54" s="85" t="s">
        <v>859</v>
      </c>
      <c r="E54" s="85" t="s">
        <v>857</v>
      </c>
      <c r="F54" s="85" t="s">
        <v>857</v>
      </c>
      <c r="G54" s="1949" t="s">
        <v>56</v>
      </c>
      <c r="H54" s="1997" t="s">
        <v>1380</v>
      </c>
      <c r="I54" s="1435" t="s">
        <v>803</v>
      </c>
      <c r="J54" s="858">
        <v>0</v>
      </c>
      <c r="K54" s="233"/>
      <c r="L54" s="626">
        <v>25</v>
      </c>
      <c r="M54" s="628">
        <f>21945000-8745000</f>
        <v>13200000</v>
      </c>
      <c r="N54" s="1300">
        <v>159</v>
      </c>
      <c r="O54" s="163">
        <f>13200000</f>
        <v>13200000</v>
      </c>
      <c r="P54" s="236">
        <v>138</v>
      </c>
      <c r="Q54" s="153"/>
      <c r="R54" s="153"/>
      <c r="S54" s="153">
        <v>4986695</v>
      </c>
      <c r="T54" s="153">
        <f>2933275+2346755</f>
        <v>5280030</v>
      </c>
      <c r="U54" s="153">
        <v>2933275</v>
      </c>
      <c r="V54" s="153"/>
      <c r="W54" s="153"/>
      <c r="X54" s="153"/>
      <c r="Y54" s="153"/>
      <c r="Z54" s="153"/>
      <c r="AA54" s="153"/>
      <c r="AB54" s="153"/>
      <c r="AC54" s="183">
        <f t="shared" si="37"/>
        <v>13200000</v>
      </c>
      <c r="AD54" s="406">
        <f t="shared" si="38"/>
        <v>0</v>
      </c>
      <c r="AF54" s="924">
        <v>203</v>
      </c>
      <c r="AG54" s="785" t="s">
        <v>361</v>
      </c>
      <c r="AH54" s="279" t="s">
        <v>852</v>
      </c>
      <c r="AI54" s="851">
        <f t="shared" si="33"/>
        <v>138</v>
      </c>
      <c r="AJ54" s="629">
        <f>22000000-8800000</f>
        <v>13200000</v>
      </c>
      <c r="AK54" s="930">
        <f t="shared" si="34"/>
        <v>0</v>
      </c>
      <c r="AL54" s="872"/>
      <c r="AM54" s="314">
        <f t="shared" si="35"/>
        <v>0</v>
      </c>
    </row>
    <row r="55" spans="1:39" s="630" customFormat="1">
      <c r="A55" s="86" t="s">
        <v>59</v>
      </c>
      <c r="B55" s="849">
        <f t="shared" si="36"/>
        <v>6160000</v>
      </c>
      <c r="C55" s="85" t="s">
        <v>36</v>
      </c>
      <c r="D55" s="85" t="s">
        <v>859</v>
      </c>
      <c r="E55" s="85" t="s">
        <v>857</v>
      </c>
      <c r="F55" s="85" t="s">
        <v>857</v>
      </c>
      <c r="G55" s="1949" t="s">
        <v>56</v>
      </c>
      <c r="H55" s="1997" t="s">
        <v>1380</v>
      </c>
      <c r="I55" s="1435" t="s">
        <v>349</v>
      </c>
      <c r="J55" s="858">
        <v>0</v>
      </c>
      <c r="K55" s="233"/>
      <c r="L55" s="627">
        <v>341</v>
      </c>
      <c r="M55" s="628">
        <v>6160000</v>
      </c>
      <c r="N55" s="627">
        <v>391</v>
      </c>
      <c r="O55" s="154">
        <v>6160000</v>
      </c>
      <c r="P55" s="236">
        <v>138</v>
      </c>
      <c r="Q55" s="240"/>
      <c r="R55" s="153"/>
      <c r="S55" s="153"/>
      <c r="T55" s="153"/>
      <c r="U55" s="153">
        <v>2346755</v>
      </c>
      <c r="V55" s="153"/>
      <c r="W55" s="153">
        <v>3813245</v>
      </c>
      <c r="X55" s="153"/>
      <c r="Y55" s="153"/>
      <c r="Z55" s="153"/>
      <c r="AA55" s="153"/>
      <c r="AB55" s="153"/>
      <c r="AC55" s="183">
        <f t="shared" si="37"/>
        <v>6160000</v>
      </c>
      <c r="AD55" s="406">
        <f t="shared" si="38"/>
        <v>0</v>
      </c>
      <c r="AF55" s="923" t="s">
        <v>349</v>
      </c>
      <c r="AG55" s="785" t="s">
        <v>1129</v>
      </c>
      <c r="AH55" s="279" t="s">
        <v>852</v>
      </c>
      <c r="AI55" s="851">
        <f t="shared" si="33"/>
        <v>138</v>
      </c>
      <c r="AJ55" s="629">
        <v>6600000</v>
      </c>
      <c r="AK55" s="930">
        <f t="shared" si="34"/>
        <v>440000</v>
      </c>
      <c r="AL55" s="872"/>
      <c r="AM55" s="314">
        <f t="shared" si="35"/>
        <v>440000</v>
      </c>
    </row>
    <row r="56" spans="1:39" s="630" customFormat="1">
      <c r="A56" s="86" t="s">
        <v>59</v>
      </c>
      <c r="B56" s="849">
        <f t="shared" si="36"/>
        <v>0</v>
      </c>
      <c r="C56" s="85" t="s">
        <v>36</v>
      </c>
      <c r="D56" s="85" t="s">
        <v>859</v>
      </c>
      <c r="E56" s="85" t="s">
        <v>857</v>
      </c>
      <c r="F56" s="85" t="s">
        <v>857</v>
      </c>
      <c r="G56" s="1949" t="s">
        <v>56</v>
      </c>
      <c r="H56" s="1997" t="s">
        <v>1380</v>
      </c>
      <c r="I56" s="1402">
        <v>553</v>
      </c>
      <c r="J56" s="858">
        <v>541</v>
      </c>
      <c r="K56" s="233">
        <f>21000000-21000000</f>
        <v>0</v>
      </c>
      <c r="L56" s="627">
        <v>592</v>
      </c>
      <c r="M56" s="628">
        <f>21000000-21000000</f>
        <v>0</v>
      </c>
      <c r="N56" s="627"/>
      <c r="O56" s="154"/>
      <c r="P56" s="236"/>
      <c r="Q56" s="240"/>
      <c r="R56" s="153"/>
      <c r="S56" s="153"/>
      <c r="T56" s="153"/>
      <c r="U56" s="153"/>
      <c r="V56" s="153"/>
      <c r="W56" s="153"/>
      <c r="X56" s="153"/>
      <c r="Y56" s="153"/>
      <c r="Z56" s="153"/>
      <c r="AA56" s="153"/>
      <c r="AB56" s="153"/>
      <c r="AC56" s="183">
        <f t="shared" si="37"/>
        <v>0</v>
      </c>
      <c r="AD56" s="406">
        <f t="shared" si="38"/>
        <v>0</v>
      </c>
      <c r="AF56" s="923">
        <v>553</v>
      </c>
      <c r="AG56" s="785" t="s">
        <v>1155</v>
      </c>
      <c r="AH56" s="279"/>
      <c r="AI56" s="851">
        <f t="shared" si="33"/>
        <v>0</v>
      </c>
      <c r="AJ56" s="629">
        <f>21000000-21000000</f>
        <v>0</v>
      </c>
      <c r="AK56" s="930">
        <f t="shared" si="34"/>
        <v>0</v>
      </c>
      <c r="AL56" s="872"/>
      <c r="AM56" s="314">
        <f t="shared" si="35"/>
        <v>0</v>
      </c>
    </row>
    <row r="57" spans="1:39" s="630" customFormat="1">
      <c r="A57" s="86" t="s">
        <v>59</v>
      </c>
      <c r="B57" s="849">
        <f t="shared" si="36"/>
        <v>21000000</v>
      </c>
      <c r="C57" s="85" t="s">
        <v>36</v>
      </c>
      <c r="D57" s="85" t="s">
        <v>859</v>
      </c>
      <c r="E57" s="85" t="s">
        <v>857</v>
      </c>
      <c r="F57" s="85" t="s">
        <v>857</v>
      </c>
      <c r="G57" s="1949" t="s">
        <v>56</v>
      </c>
      <c r="H57" s="1997" t="s">
        <v>1380</v>
      </c>
      <c r="I57" s="1402" t="s">
        <v>1271</v>
      </c>
      <c r="J57" s="858">
        <v>548</v>
      </c>
      <c r="K57" s="233">
        <v>21000000</v>
      </c>
      <c r="L57" s="627">
        <v>641</v>
      </c>
      <c r="M57" s="628">
        <v>21000000</v>
      </c>
      <c r="N57" s="627">
        <v>820</v>
      </c>
      <c r="O57" s="154">
        <v>21000000</v>
      </c>
      <c r="P57" s="236">
        <v>455</v>
      </c>
      <c r="Q57" s="240"/>
      <c r="R57" s="153"/>
      <c r="S57" s="153"/>
      <c r="T57" s="153"/>
      <c r="U57" s="153"/>
      <c r="V57" s="153"/>
      <c r="W57" s="153"/>
      <c r="X57" s="153"/>
      <c r="Y57" s="153"/>
      <c r="Z57" s="153"/>
      <c r="AA57" s="153"/>
      <c r="AB57" s="153"/>
      <c r="AC57" s="183">
        <f t="shared" si="37"/>
        <v>0</v>
      </c>
      <c r="AD57" s="406">
        <f t="shared" si="38"/>
        <v>21000000</v>
      </c>
      <c r="AF57" s="923" t="s">
        <v>1271</v>
      </c>
      <c r="AG57" s="785" t="s">
        <v>1239</v>
      </c>
      <c r="AH57" s="279" t="s">
        <v>1344</v>
      </c>
      <c r="AI57" s="851">
        <f t="shared" si="33"/>
        <v>455</v>
      </c>
      <c r="AJ57" s="629">
        <v>21000000</v>
      </c>
      <c r="AK57" s="930">
        <f t="shared" si="34"/>
        <v>0</v>
      </c>
      <c r="AL57" s="872"/>
      <c r="AM57" s="314">
        <f t="shared" si="35"/>
        <v>0</v>
      </c>
    </row>
    <row r="58" spans="1:39" s="630" customFormat="1">
      <c r="A58" s="86" t="s">
        <v>59</v>
      </c>
      <c r="B58" s="849">
        <f t="shared" si="36"/>
        <v>23000000</v>
      </c>
      <c r="C58" s="85" t="s">
        <v>36</v>
      </c>
      <c r="D58" s="85" t="s">
        <v>859</v>
      </c>
      <c r="E58" s="85" t="s">
        <v>857</v>
      </c>
      <c r="F58" s="85" t="s">
        <v>857</v>
      </c>
      <c r="G58" s="1949" t="s">
        <v>56</v>
      </c>
      <c r="H58" s="1997" t="s">
        <v>1380</v>
      </c>
      <c r="I58" s="1402">
        <v>573</v>
      </c>
      <c r="J58" s="858">
        <v>574</v>
      </c>
      <c r="K58" s="233">
        <v>23000000</v>
      </c>
      <c r="L58" s="627">
        <v>663</v>
      </c>
      <c r="M58" s="628">
        <v>23000000</v>
      </c>
      <c r="N58" s="627">
        <v>837</v>
      </c>
      <c r="O58" s="154">
        <v>23000000</v>
      </c>
      <c r="P58" s="236">
        <v>462</v>
      </c>
      <c r="Q58" s="240"/>
      <c r="R58" s="153"/>
      <c r="S58" s="153"/>
      <c r="T58" s="153"/>
      <c r="U58" s="153"/>
      <c r="V58" s="153"/>
      <c r="W58" s="153"/>
      <c r="X58" s="153"/>
      <c r="Y58" s="153"/>
      <c r="Z58" s="153"/>
      <c r="AA58" s="153"/>
      <c r="AB58" s="153"/>
      <c r="AC58" s="183">
        <f t="shared" ref="AC58:AC63" si="39">SUM(Q58:AB58)</f>
        <v>0</v>
      </c>
      <c r="AD58" s="406">
        <f t="shared" ref="AD58:AD63" si="40">O58-AC58</f>
        <v>23000000</v>
      </c>
      <c r="AF58" s="923">
        <v>573</v>
      </c>
      <c r="AG58" s="785" t="s">
        <v>1284</v>
      </c>
      <c r="AH58" s="279" t="s">
        <v>1367</v>
      </c>
      <c r="AI58" s="851">
        <f t="shared" si="33"/>
        <v>462</v>
      </c>
      <c r="AJ58" s="629">
        <v>23000000</v>
      </c>
      <c r="AK58" s="930">
        <f t="shared" si="34"/>
        <v>0</v>
      </c>
      <c r="AL58" s="872"/>
      <c r="AM58" s="314">
        <f t="shared" si="35"/>
        <v>0</v>
      </c>
    </row>
    <row r="59" spans="1:39" s="630" customFormat="1">
      <c r="A59" s="86" t="s">
        <v>59</v>
      </c>
      <c r="B59" s="849">
        <f t="shared" si="36"/>
        <v>0</v>
      </c>
      <c r="C59" s="85" t="s">
        <v>36</v>
      </c>
      <c r="D59" s="85" t="s">
        <v>859</v>
      </c>
      <c r="E59" s="85" t="s">
        <v>857</v>
      </c>
      <c r="F59" s="85" t="s">
        <v>857</v>
      </c>
      <c r="G59" s="1949" t="s">
        <v>56</v>
      </c>
      <c r="H59" s="1997" t="s">
        <v>1380</v>
      </c>
      <c r="I59" s="1402">
        <v>574</v>
      </c>
      <c r="J59" s="858"/>
      <c r="K59" s="233"/>
      <c r="L59" s="627"/>
      <c r="M59" s="628"/>
      <c r="N59" s="627"/>
      <c r="O59" s="154"/>
      <c r="P59" s="236"/>
      <c r="Q59" s="240"/>
      <c r="R59" s="153"/>
      <c r="S59" s="153"/>
      <c r="T59" s="153"/>
      <c r="U59" s="153"/>
      <c r="V59" s="153"/>
      <c r="W59" s="153"/>
      <c r="X59" s="153"/>
      <c r="Y59" s="153"/>
      <c r="Z59" s="153"/>
      <c r="AA59" s="153"/>
      <c r="AB59" s="153"/>
      <c r="AC59" s="183">
        <f t="shared" si="39"/>
        <v>0</v>
      </c>
      <c r="AD59" s="406">
        <f t="shared" si="40"/>
        <v>0</v>
      </c>
      <c r="AF59" s="923">
        <v>574</v>
      </c>
      <c r="AG59" s="785" t="s">
        <v>1285</v>
      </c>
      <c r="AH59" s="279"/>
      <c r="AI59" s="851">
        <f t="shared" si="33"/>
        <v>0</v>
      </c>
      <c r="AJ59" s="629">
        <v>11000000</v>
      </c>
      <c r="AK59" s="930">
        <f t="shared" si="34"/>
        <v>11000000</v>
      </c>
      <c r="AL59" s="872"/>
      <c r="AM59" s="314">
        <f t="shared" si="35"/>
        <v>11000000</v>
      </c>
    </row>
    <row r="60" spans="1:39" s="630" customFormat="1">
      <c r="A60" s="86" t="s">
        <v>59</v>
      </c>
      <c r="B60" s="849">
        <f t="shared" si="36"/>
        <v>15976464</v>
      </c>
      <c r="C60" s="85" t="s">
        <v>36</v>
      </c>
      <c r="D60" s="85" t="s">
        <v>859</v>
      </c>
      <c r="E60" s="85" t="s">
        <v>857</v>
      </c>
      <c r="F60" s="85" t="s">
        <v>857</v>
      </c>
      <c r="G60" s="1949" t="s">
        <v>56</v>
      </c>
      <c r="H60" s="1997" t="s">
        <v>1380</v>
      </c>
      <c r="I60" s="1402">
        <v>575</v>
      </c>
      <c r="J60" s="858">
        <v>579</v>
      </c>
      <c r="K60" s="233">
        <v>15976464</v>
      </c>
      <c r="L60" s="627">
        <v>668</v>
      </c>
      <c r="M60" s="628">
        <v>15976464</v>
      </c>
      <c r="N60" s="627">
        <v>839</v>
      </c>
      <c r="O60" s="154">
        <v>9000140</v>
      </c>
      <c r="P60" s="236">
        <v>463</v>
      </c>
      <c r="Q60" s="240"/>
      <c r="R60" s="153"/>
      <c r="S60" s="153"/>
      <c r="T60" s="153"/>
      <c r="U60" s="153"/>
      <c r="V60" s="153"/>
      <c r="W60" s="153"/>
      <c r="X60" s="153"/>
      <c r="Y60" s="153"/>
      <c r="Z60" s="153"/>
      <c r="AA60" s="153"/>
      <c r="AB60" s="153"/>
      <c r="AC60" s="183">
        <f t="shared" si="39"/>
        <v>0</v>
      </c>
      <c r="AD60" s="406">
        <f t="shared" si="40"/>
        <v>9000140</v>
      </c>
      <c r="AF60" s="923">
        <v>575</v>
      </c>
      <c r="AG60" s="785" t="s">
        <v>1286</v>
      </c>
      <c r="AH60" s="279" t="s">
        <v>1366</v>
      </c>
      <c r="AI60" s="851">
        <f t="shared" si="33"/>
        <v>463</v>
      </c>
      <c r="AJ60" s="629">
        <v>16000000</v>
      </c>
      <c r="AK60" s="930">
        <f t="shared" si="34"/>
        <v>6999860</v>
      </c>
      <c r="AL60" s="872"/>
      <c r="AM60" s="314">
        <f t="shared" si="35"/>
        <v>23536</v>
      </c>
    </row>
    <row r="61" spans="1:39" s="630" customFormat="1">
      <c r="A61" s="86" t="s">
        <v>59</v>
      </c>
      <c r="B61" s="849">
        <f t="shared" si="36"/>
        <v>4271550</v>
      </c>
      <c r="C61" s="85" t="s">
        <v>36</v>
      </c>
      <c r="D61" s="85" t="s">
        <v>859</v>
      </c>
      <c r="E61" s="85" t="s">
        <v>857</v>
      </c>
      <c r="F61" s="85" t="s">
        <v>857</v>
      </c>
      <c r="G61" s="1949" t="s">
        <v>56</v>
      </c>
      <c r="H61" s="1997" t="s">
        <v>1380</v>
      </c>
      <c r="I61" s="1402">
        <v>576</v>
      </c>
      <c r="J61" s="858">
        <v>581</v>
      </c>
      <c r="K61" s="233">
        <v>4271550</v>
      </c>
      <c r="L61" s="627">
        <v>669</v>
      </c>
      <c r="M61" s="233">
        <v>4271550</v>
      </c>
      <c r="N61" s="627"/>
      <c r="O61" s="154"/>
      <c r="P61" s="236"/>
      <c r="Q61" s="240"/>
      <c r="R61" s="153"/>
      <c r="S61" s="153"/>
      <c r="T61" s="153"/>
      <c r="U61" s="153"/>
      <c r="V61" s="153"/>
      <c r="W61" s="153"/>
      <c r="X61" s="153"/>
      <c r="Y61" s="153"/>
      <c r="Z61" s="153"/>
      <c r="AA61" s="153"/>
      <c r="AB61" s="153"/>
      <c r="AC61" s="183">
        <f t="shared" si="39"/>
        <v>0</v>
      </c>
      <c r="AD61" s="406">
        <f t="shared" si="40"/>
        <v>0</v>
      </c>
      <c r="AF61" s="923">
        <v>576</v>
      </c>
      <c r="AG61" s="785" t="s">
        <v>1287</v>
      </c>
      <c r="AH61" s="279"/>
      <c r="AI61" s="851">
        <f t="shared" si="33"/>
        <v>0</v>
      </c>
      <c r="AJ61" s="629">
        <v>15000000</v>
      </c>
      <c r="AK61" s="930">
        <f t="shared" si="34"/>
        <v>15000000</v>
      </c>
      <c r="AL61" s="872"/>
      <c r="AM61" s="314">
        <f t="shared" si="35"/>
        <v>10728450</v>
      </c>
    </row>
    <row r="62" spans="1:39" s="630" customFormat="1">
      <c r="A62" s="86" t="s">
        <v>59</v>
      </c>
      <c r="B62" s="849">
        <f t="shared" si="36"/>
        <v>27000000</v>
      </c>
      <c r="C62" s="85" t="s">
        <v>36</v>
      </c>
      <c r="D62" s="85" t="s">
        <v>859</v>
      </c>
      <c r="E62" s="85" t="s">
        <v>857</v>
      </c>
      <c r="F62" s="85" t="s">
        <v>857</v>
      </c>
      <c r="G62" s="1949" t="s">
        <v>56</v>
      </c>
      <c r="H62" s="1997" t="s">
        <v>1380</v>
      </c>
      <c r="I62" s="1402">
        <v>577</v>
      </c>
      <c r="J62" s="858">
        <v>588</v>
      </c>
      <c r="K62" s="233">
        <v>27000000</v>
      </c>
      <c r="L62" s="627">
        <v>672</v>
      </c>
      <c r="M62" s="628">
        <v>27000000</v>
      </c>
      <c r="N62" s="627"/>
      <c r="O62" s="154"/>
      <c r="P62" s="236"/>
      <c r="Q62" s="240"/>
      <c r="R62" s="153"/>
      <c r="S62" s="153"/>
      <c r="T62" s="153"/>
      <c r="U62" s="153"/>
      <c r="V62" s="153"/>
      <c r="W62" s="153"/>
      <c r="X62" s="153"/>
      <c r="Y62" s="153"/>
      <c r="Z62" s="153"/>
      <c r="AA62" s="153"/>
      <c r="AB62" s="153"/>
      <c r="AC62" s="183">
        <f t="shared" si="39"/>
        <v>0</v>
      </c>
      <c r="AD62" s="406">
        <f t="shared" si="40"/>
        <v>0</v>
      </c>
      <c r="AF62" s="923">
        <v>577</v>
      </c>
      <c r="AG62" s="785" t="s">
        <v>1288</v>
      </c>
      <c r="AH62" s="279"/>
      <c r="AI62" s="851">
        <f t="shared" si="33"/>
        <v>0</v>
      </c>
      <c r="AJ62" s="629">
        <v>27000000</v>
      </c>
      <c r="AK62" s="930">
        <f t="shared" si="34"/>
        <v>27000000</v>
      </c>
      <c r="AL62" s="872"/>
      <c r="AM62" s="314">
        <f t="shared" si="35"/>
        <v>0</v>
      </c>
    </row>
    <row r="63" spans="1:39" s="630" customFormat="1">
      <c r="A63" s="86" t="s">
        <v>59</v>
      </c>
      <c r="B63" s="849">
        <f t="shared" si="36"/>
        <v>0</v>
      </c>
      <c r="C63" s="85" t="s">
        <v>36</v>
      </c>
      <c r="D63" s="85" t="s">
        <v>859</v>
      </c>
      <c r="E63" s="85" t="s">
        <v>857</v>
      </c>
      <c r="F63" s="85" t="s">
        <v>857</v>
      </c>
      <c r="G63" s="1949" t="s">
        <v>56</v>
      </c>
      <c r="H63" s="1997" t="s">
        <v>1380</v>
      </c>
      <c r="I63" s="1402" t="s">
        <v>178</v>
      </c>
      <c r="J63" s="858"/>
      <c r="K63" s="233"/>
      <c r="L63" s="627"/>
      <c r="M63" s="628"/>
      <c r="N63" s="627"/>
      <c r="O63" s="154"/>
      <c r="P63" s="236"/>
      <c r="Q63" s="240"/>
      <c r="R63" s="153"/>
      <c r="S63" s="153"/>
      <c r="T63" s="153"/>
      <c r="U63" s="153"/>
      <c r="V63" s="153"/>
      <c r="W63" s="153"/>
      <c r="X63" s="153"/>
      <c r="Y63" s="153"/>
      <c r="Z63" s="153"/>
      <c r="AA63" s="153"/>
      <c r="AB63" s="153"/>
      <c r="AC63" s="183">
        <f t="shared" si="39"/>
        <v>0</v>
      </c>
      <c r="AD63" s="406">
        <f t="shared" si="40"/>
        <v>0</v>
      </c>
      <c r="AF63" s="923" t="s">
        <v>149</v>
      </c>
      <c r="AG63" s="785"/>
      <c r="AH63" s="279"/>
      <c r="AI63" s="851">
        <f t="shared" si="33"/>
        <v>0</v>
      </c>
      <c r="AJ63" s="629">
        <f>5000000-5000000</f>
        <v>0</v>
      </c>
      <c r="AK63" s="930">
        <f t="shared" si="34"/>
        <v>0</v>
      </c>
      <c r="AL63" s="872"/>
      <c r="AM63" s="314">
        <f t="shared" si="35"/>
        <v>0</v>
      </c>
    </row>
    <row r="64" spans="1:39" s="630" customFormat="1">
      <c r="A64" s="86" t="s">
        <v>59</v>
      </c>
      <c r="B64" s="849">
        <f t="shared" si="36"/>
        <v>0</v>
      </c>
      <c r="C64" s="85" t="s">
        <v>36</v>
      </c>
      <c r="D64" s="85" t="s">
        <v>859</v>
      </c>
      <c r="E64" s="85" t="s">
        <v>857</v>
      </c>
      <c r="F64" s="85" t="s">
        <v>857</v>
      </c>
      <c r="G64" s="1949" t="s">
        <v>56</v>
      </c>
      <c r="H64" s="1997" t="s">
        <v>1380</v>
      </c>
      <c r="I64" s="1042" t="s">
        <v>178</v>
      </c>
      <c r="J64" s="858">
        <v>0</v>
      </c>
      <c r="K64" s="806"/>
      <c r="L64" s="627"/>
      <c r="M64" s="859"/>
      <c r="N64" s="860"/>
      <c r="O64" s="153"/>
      <c r="P64" s="236"/>
      <c r="Q64" s="240"/>
      <c r="R64" s="153"/>
      <c r="S64" s="153"/>
      <c r="T64" s="153"/>
      <c r="U64" s="153"/>
      <c r="V64" s="153"/>
      <c r="W64" s="153"/>
      <c r="X64" s="153"/>
      <c r="Y64" s="153"/>
      <c r="Z64" s="153"/>
      <c r="AA64" s="153"/>
      <c r="AB64" s="153"/>
      <c r="AC64" s="183">
        <f t="shared" si="37"/>
        <v>0</v>
      </c>
      <c r="AD64" s="406">
        <f t="shared" si="38"/>
        <v>0</v>
      </c>
      <c r="AF64" s="924" t="s">
        <v>349</v>
      </c>
      <c r="AG64" s="785" t="s">
        <v>520</v>
      </c>
      <c r="AH64" s="785"/>
      <c r="AI64" s="851">
        <f t="shared" si="33"/>
        <v>0</v>
      </c>
      <c r="AJ64" s="629">
        <f>17518046-17518046+21341984+20014307</f>
        <v>41356291</v>
      </c>
      <c r="AK64" s="930">
        <f t="shared" si="34"/>
        <v>41356291</v>
      </c>
      <c r="AL64" s="872"/>
      <c r="AM64" s="314">
        <f t="shared" si="35"/>
        <v>41356291</v>
      </c>
    </row>
    <row r="65" spans="1:39" s="8" customFormat="1">
      <c r="A65" s="168" t="s">
        <v>24</v>
      </c>
      <c r="B65" s="276">
        <f>B45-SUM(B46:B64)</f>
        <v>129511050</v>
      </c>
      <c r="C65" s="84"/>
      <c r="D65" s="84"/>
      <c r="E65" s="84"/>
      <c r="F65" s="84"/>
      <c r="G65" s="1951"/>
      <c r="H65" s="1957"/>
      <c r="I65" s="1006"/>
      <c r="J65" s="210"/>
      <c r="K65" s="1525"/>
      <c r="L65" s="101"/>
      <c r="M65" s="142">
        <f>SUM(M46:M64)</f>
        <v>238978950</v>
      </c>
      <c r="N65" s="101"/>
      <c r="O65" s="142">
        <f>SUM(O46:O64)</f>
        <v>199744311</v>
      </c>
      <c r="P65" s="244"/>
      <c r="Q65" s="142">
        <f t="shared" ref="Q65:AD65" si="41">SUM(Q46:Q64)</f>
        <v>0</v>
      </c>
      <c r="R65" s="142">
        <f t="shared" si="41"/>
        <v>0</v>
      </c>
      <c r="S65" s="142">
        <f t="shared" si="41"/>
        <v>4986695</v>
      </c>
      <c r="T65" s="142">
        <f t="shared" si="41"/>
        <v>5280030</v>
      </c>
      <c r="U65" s="142">
        <f t="shared" si="41"/>
        <v>5280030</v>
      </c>
      <c r="V65" s="142">
        <f t="shared" si="41"/>
        <v>0</v>
      </c>
      <c r="W65" s="142">
        <f t="shared" si="41"/>
        <v>3813245</v>
      </c>
      <c r="X65" s="142">
        <f t="shared" si="41"/>
        <v>81481954</v>
      </c>
      <c r="Y65" s="142">
        <f t="shared" si="41"/>
        <v>21916524</v>
      </c>
      <c r="Z65" s="142">
        <f t="shared" si="41"/>
        <v>0</v>
      </c>
      <c r="AA65" s="142">
        <f t="shared" si="41"/>
        <v>0</v>
      </c>
      <c r="AB65" s="142">
        <f t="shared" si="41"/>
        <v>0</v>
      </c>
      <c r="AC65" s="142">
        <f t="shared" si="41"/>
        <v>122758478</v>
      </c>
      <c r="AD65" s="142">
        <f t="shared" si="41"/>
        <v>76985833</v>
      </c>
      <c r="AF65" s="907"/>
      <c r="AG65" s="14"/>
      <c r="AH65" s="14"/>
      <c r="AI65" s="101"/>
      <c r="AJ65" s="14">
        <f>SUM(AJ46:AJ64)</f>
        <v>368490000</v>
      </c>
      <c r="AK65" s="182">
        <f>SUM(AK46:AK64)</f>
        <v>168745689</v>
      </c>
      <c r="AL65" s="872">
        <f>B45-AJ65</f>
        <v>0</v>
      </c>
    </row>
    <row r="66" spans="1:39" s="8" customFormat="1" ht="25.5" customHeight="1">
      <c r="A66" s="789" t="s">
        <v>59</v>
      </c>
      <c r="B66" s="505">
        <v>140000000</v>
      </c>
      <c r="C66" s="1367" t="s">
        <v>36</v>
      </c>
      <c r="D66" s="1367" t="s">
        <v>860</v>
      </c>
      <c r="E66" s="1367" t="s">
        <v>54</v>
      </c>
      <c r="F66" s="1367" t="s">
        <v>58</v>
      </c>
      <c r="G66" s="1976" t="s">
        <v>56</v>
      </c>
      <c r="H66" s="1996" t="s">
        <v>1380</v>
      </c>
      <c r="I66" s="1029"/>
      <c r="J66" s="387">
        <v>0</v>
      </c>
      <c r="K66" s="1526"/>
      <c r="L66" s="474"/>
      <c r="M66" s="388"/>
      <c r="N66" s="474"/>
      <c r="O66" s="348"/>
      <c r="P66" s="389"/>
      <c r="Q66" s="352"/>
      <c r="R66" s="348"/>
      <c r="S66" s="348"/>
      <c r="T66" s="348"/>
      <c r="U66" s="348"/>
      <c r="V66" s="348"/>
      <c r="W66" s="348"/>
      <c r="X66" s="348"/>
      <c r="Y66" s="348"/>
      <c r="Z66" s="348"/>
      <c r="AA66" s="348"/>
      <c r="AB66" s="348"/>
      <c r="AC66" s="354"/>
      <c r="AD66" s="408"/>
      <c r="AF66" s="924"/>
      <c r="AG66" s="261"/>
      <c r="AH66" s="261"/>
      <c r="AI66" s="851"/>
      <c r="AJ66" s="316"/>
      <c r="AK66" s="926"/>
      <c r="AL66" s="872"/>
    </row>
    <row r="67" spans="1:39" s="630" customFormat="1">
      <c r="A67" s="86" t="s">
        <v>59</v>
      </c>
      <c r="B67" s="849">
        <f t="shared" ref="B67:B72" si="42">M67</f>
        <v>0</v>
      </c>
      <c r="C67" s="85" t="s">
        <v>36</v>
      </c>
      <c r="D67" s="85" t="s">
        <v>860</v>
      </c>
      <c r="E67" s="85" t="s">
        <v>857</v>
      </c>
      <c r="F67" s="85" t="s">
        <v>857</v>
      </c>
      <c r="G67" s="1949" t="s">
        <v>56</v>
      </c>
      <c r="H67" s="1997" t="s">
        <v>1380</v>
      </c>
      <c r="I67" s="850">
        <v>167</v>
      </c>
      <c r="J67" s="858">
        <v>0</v>
      </c>
      <c r="K67" s="233"/>
      <c r="L67" s="1054"/>
      <c r="M67" s="782"/>
      <c r="N67" s="783"/>
      <c r="O67" s="153"/>
      <c r="P67" s="236"/>
      <c r="Q67" s="240"/>
      <c r="R67" s="153"/>
      <c r="S67" s="153"/>
      <c r="T67" s="153"/>
      <c r="U67" s="153"/>
      <c r="V67" s="153"/>
      <c r="W67" s="153"/>
      <c r="X67" s="153"/>
      <c r="Y67" s="153"/>
      <c r="Z67" s="153"/>
      <c r="AA67" s="153"/>
      <c r="AB67" s="153"/>
      <c r="AC67" s="183">
        <f t="shared" ref="AC67" si="43">SUM(Q67:AB67)</f>
        <v>0</v>
      </c>
      <c r="AD67" s="406">
        <f t="shared" ref="AD67" si="44">O67-AC67</f>
        <v>0</v>
      </c>
      <c r="AF67" s="924">
        <v>167</v>
      </c>
      <c r="AG67" s="785" t="s">
        <v>362</v>
      </c>
      <c r="AH67" s="365" t="s">
        <v>178</v>
      </c>
      <c r="AI67" s="851">
        <f t="shared" ref="AI67:AI72" si="45">P67</f>
        <v>0</v>
      </c>
      <c r="AJ67" s="629">
        <v>50000000</v>
      </c>
      <c r="AK67" s="930">
        <f>AJ67-O67</f>
        <v>50000000</v>
      </c>
      <c r="AL67" s="872"/>
      <c r="AM67" s="314">
        <f t="shared" ref="AM67:AM72" si="46">AJ67-M67</f>
        <v>50000000</v>
      </c>
    </row>
    <row r="68" spans="1:39" s="630" customFormat="1">
      <c r="A68" s="86" t="s">
        <v>59</v>
      </c>
      <c r="B68" s="849">
        <f t="shared" si="42"/>
        <v>33563167</v>
      </c>
      <c r="C68" s="85" t="s">
        <v>36</v>
      </c>
      <c r="D68" s="85" t="s">
        <v>860</v>
      </c>
      <c r="E68" s="85" t="s">
        <v>857</v>
      </c>
      <c r="F68" s="85" t="s">
        <v>857</v>
      </c>
      <c r="G68" s="1949" t="s">
        <v>56</v>
      </c>
      <c r="H68" s="1997" t="s">
        <v>1380</v>
      </c>
      <c r="I68" s="850">
        <v>204</v>
      </c>
      <c r="J68" s="858">
        <v>0</v>
      </c>
      <c r="K68" s="233"/>
      <c r="L68" s="626" t="s">
        <v>965</v>
      </c>
      <c r="M68" s="628">
        <f>39033167-39033167+33563167</f>
        <v>33563167</v>
      </c>
      <c r="N68" s="627">
        <v>572</v>
      </c>
      <c r="O68" s="153">
        <v>33013623</v>
      </c>
      <c r="P68" s="236">
        <v>367</v>
      </c>
      <c r="Q68" s="240"/>
      <c r="R68" s="153"/>
      <c r="S68" s="153"/>
      <c r="T68" s="153"/>
      <c r="U68" s="153"/>
      <c r="V68" s="153">
        <v>33013623</v>
      </c>
      <c r="W68" s="153"/>
      <c r="X68" s="153"/>
      <c r="Y68" s="153"/>
      <c r="Z68" s="153"/>
      <c r="AA68" s="153"/>
      <c r="AB68" s="153"/>
      <c r="AC68" s="183">
        <f t="shared" ref="AC68:AC72" si="47">SUM(Q68:AB68)</f>
        <v>33013623</v>
      </c>
      <c r="AD68" s="406">
        <f t="shared" ref="AD68:AD72" si="48">O68-AC68</f>
        <v>0</v>
      </c>
      <c r="AF68" s="924">
        <v>204</v>
      </c>
      <c r="AG68" s="785" t="s">
        <v>363</v>
      </c>
      <c r="AH68" s="365" t="s">
        <v>1082</v>
      </c>
      <c r="AI68" s="851">
        <f t="shared" si="45"/>
        <v>367</v>
      </c>
      <c r="AJ68" s="629">
        <f>50000000-10930000-5454483</f>
        <v>33615517</v>
      </c>
      <c r="AK68" s="930">
        <f>AJ68-O68</f>
        <v>601894</v>
      </c>
      <c r="AL68" s="872"/>
      <c r="AM68" s="314">
        <f t="shared" si="46"/>
        <v>52350</v>
      </c>
    </row>
    <row r="69" spans="1:39" s="630" customFormat="1">
      <c r="A69" s="86" t="s">
        <v>59</v>
      </c>
      <c r="B69" s="849">
        <f t="shared" si="42"/>
        <v>13296150</v>
      </c>
      <c r="C69" s="85" t="s">
        <v>36</v>
      </c>
      <c r="D69" s="85" t="s">
        <v>860</v>
      </c>
      <c r="E69" s="85" t="s">
        <v>857</v>
      </c>
      <c r="F69" s="85" t="s">
        <v>857</v>
      </c>
      <c r="G69" s="1949" t="s">
        <v>56</v>
      </c>
      <c r="H69" s="1997" t="s">
        <v>1380</v>
      </c>
      <c r="I69" s="850">
        <v>205</v>
      </c>
      <c r="J69" s="858">
        <v>0</v>
      </c>
      <c r="K69" s="233"/>
      <c r="L69" s="1054">
        <v>465</v>
      </c>
      <c r="M69" s="628">
        <v>13296150</v>
      </c>
      <c r="N69" s="627">
        <v>734</v>
      </c>
      <c r="O69" s="153">
        <v>10271136</v>
      </c>
      <c r="P69" s="236">
        <v>427</v>
      </c>
      <c r="Q69" s="240"/>
      <c r="R69" s="153"/>
      <c r="S69" s="153"/>
      <c r="T69" s="153"/>
      <c r="U69" s="153"/>
      <c r="V69" s="153"/>
      <c r="W69" s="153"/>
      <c r="X69" s="153"/>
      <c r="Y69" s="153">
        <v>10271136</v>
      </c>
      <c r="Z69" s="153"/>
      <c r="AA69" s="153"/>
      <c r="AB69" s="153"/>
      <c r="AC69" s="183">
        <f t="shared" si="47"/>
        <v>10271136</v>
      </c>
      <c r="AD69" s="406">
        <f t="shared" si="48"/>
        <v>0</v>
      </c>
      <c r="AF69" s="924">
        <v>205</v>
      </c>
      <c r="AG69" s="785" t="s">
        <v>334</v>
      </c>
      <c r="AH69" s="365" t="s">
        <v>1246</v>
      </c>
      <c r="AI69" s="517">
        <f t="shared" si="45"/>
        <v>427</v>
      </c>
      <c r="AJ69" s="629">
        <v>40000000</v>
      </c>
      <c r="AK69" s="930">
        <f>AJ69-O69</f>
        <v>29728864</v>
      </c>
      <c r="AL69" s="872"/>
      <c r="AM69" s="314">
        <f t="shared" si="46"/>
        <v>26703850</v>
      </c>
    </row>
    <row r="70" spans="1:39" s="630" customFormat="1">
      <c r="A70" s="86" t="s">
        <v>59</v>
      </c>
      <c r="B70" s="849">
        <f t="shared" si="42"/>
        <v>10930000</v>
      </c>
      <c r="C70" s="85" t="s">
        <v>36</v>
      </c>
      <c r="D70" s="85" t="s">
        <v>860</v>
      </c>
      <c r="E70" s="85" t="s">
        <v>857</v>
      </c>
      <c r="F70" s="85" t="s">
        <v>857</v>
      </c>
      <c r="G70" s="1949" t="s">
        <v>56</v>
      </c>
      <c r="H70" s="1997" t="s">
        <v>1380</v>
      </c>
      <c r="I70" s="850" t="s">
        <v>349</v>
      </c>
      <c r="J70" s="858"/>
      <c r="K70" s="233"/>
      <c r="L70" s="1054">
        <v>337</v>
      </c>
      <c r="M70" s="628">
        <v>10930000</v>
      </c>
      <c r="N70" s="627">
        <v>326</v>
      </c>
      <c r="O70" s="153">
        <v>10930000</v>
      </c>
      <c r="P70" s="1256" t="s">
        <v>802</v>
      </c>
      <c r="Q70" s="240"/>
      <c r="R70" s="153"/>
      <c r="S70" s="153"/>
      <c r="T70" s="153"/>
      <c r="U70" s="153"/>
      <c r="V70" s="153">
        <v>10930000</v>
      </c>
      <c r="W70" s="153"/>
      <c r="X70" s="153"/>
      <c r="Y70" s="153"/>
      <c r="Z70" s="153"/>
      <c r="AA70" s="153"/>
      <c r="AB70" s="153"/>
      <c r="AC70" s="183">
        <f t="shared" si="47"/>
        <v>10930000</v>
      </c>
      <c r="AD70" s="406">
        <f t="shared" si="48"/>
        <v>0</v>
      </c>
      <c r="AF70" s="924" t="s">
        <v>349</v>
      </c>
      <c r="AG70" s="785" t="s">
        <v>798</v>
      </c>
      <c r="AH70" s="365" t="s">
        <v>815</v>
      </c>
      <c r="AI70" s="517" t="str">
        <f t="shared" si="45"/>
        <v>295/2018</v>
      </c>
      <c r="AJ70" s="629">
        <v>10930000</v>
      </c>
      <c r="AK70" s="930"/>
      <c r="AL70" s="872"/>
      <c r="AM70" s="314">
        <f t="shared" si="46"/>
        <v>0</v>
      </c>
    </row>
    <row r="71" spans="1:39" s="630" customFormat="1">
      <c r="A71" s="86" t="s">
        <v>59</v>
      </c>
      <c r="B71" s="849">
        <f t="shared" si="42"/>
        <v>5450000</v>
      </c>
      <c r="C71" s="85" t="s">
        <v>36</v>
      </c>
      <c r="D71" s="85" t="s">
        <v>860</v>
      </c>
      <c r="E71" s="85" t="s">
        <v>857</v>
      </c>
      <c r="F71" s="85" t="s">
        <v>857</v>
      </c>
      <c r="G71" s="1949" t="s">
        <v>56</v>
      </c>
      <c r="H71" s="1997" t="s">
        <v>1380</v>
      </c>
      <c r="I71" s="1374" t="s">
        <v>349</v>
      </c>
      <c r="J71" s="858">
        <v>0</v>
      </c>
      <c r="K71" s="233"/>
      <c r="L71" s="627">
        <v>431</v>
      </c>
      <c r="M71" s="628">
        <v>5450000</v>
      </c>
      <c r="N71" s="627">
        <v>446</v>
      </c>
      <c r="O71" s="154">
        <v>5450000</v>
      </c>
      <c r="P71" s="1256" t="s">
        <v>944</v>
      </c>
      <c r="Q71" s="240"/>
      <c r="R71" s="153"/>
      <c r="S71" s="153"/>
      <c r="T71" s="153"/>
      <c r="U71" s="153"/>
      <c r="V71" s="153">
        <v>5450000</v>
      </c>
      <c r="W71" s="153"/>
      <c r="X71" s="153"/>
      <c r="Y71" s="153"/>
      <c r="Z71" s="153"/>
      <c r="AA71" s="153"/>
      <c r="AB71" s="153"/>
      <c r="AC71" s="183">
        <f t="shared" si="47"/>
        <v>5450000</v>
      </c>
      <c r="AD71" s="406">
        <f t="shared" si="48"/>
        <v>0</v>
      </c>
      <c r="AF71" s="924" t="s">
        <v>349</v>
      </c>
      <c r="AG71" s="785" t="s">
        <v>798</v>
      </c>
      <c r="AH71" s="365" t="s">
        <v>815</v>
      </c>
      <c r="AI71" s="517" t="str">
        <f t="shared" si="45"/>
        <v>295/2019</v>
      </c>
      <c r="AJ71" s="629">
        <v>5454483</v>
      </c>
      <c r="AK71" s="930">
        <f>AJ71-O71</f>
        <v>4483</v>
      </c>
      <c r="AL71" s="872"/>
      <c r="AM71" s="314">
        <f t="shared" si="46"/>
        <v>4483</v>
      </c>
    </row>
    <row r="72" spans="1:39" s="630" customFormat="1">
      <c r="A72" s="86" t="s">
        <v>59</v>
      </c>
      <c r="B72" s="849">
        <f t="shared" si="42"/>
        <v>0</v>
      </c>
      <c r="C72" s="85" t="s">
        <v>36</v>
      </c>
      <c r="D72" s="85" t="s">
        <v>860</v>
      </c>
      <c r="E72" s="85" t="s">
        <v>857</v>
      </c>
      <c r="F72" s="85" t="s">
        <v>857</v>
      </c>
      <c r="G72" s="1949" t="s">
        <v>56</v>
      </c>
      <c r="H72" s="1997" t="s">
        <v>1380</v>
      </c>
      <c r="I72" s="1374" t="s">
        <v>178</v>
      </c>
      <c r="J72" s="858">
        <v>0</v>
      </c>
      <c r="K72" s="233"/>
      <c r="L72" s="627"/>
      <c r="M72" s="628"/>
      <c r="N72" s="627"/>
      <c r="O72" s="154"/>
      <c r="P72" s="1058"/>
      <c r="Q72" s="240"/>
      <c r="R72" s="153"/>
      <c r="S72" s="153"/>
      <c r="T72" s="153"/>
      <c r="U72" s="153"/>
      <c r="V72" s="153"/>
      <c r="W72" s="153"/>
      <c r="X72" s="153"/>
      <c r="Y72" s="153"/>
      <c r="Z72" s="153"/>
      <c r="AA72" s="153"/>
      <c r="AB72" s="153"/>
      <c r="AC72" s="183">
        <f t="shared" si="47"/>
        <v>0</v>
      </c>
      <c r="AD72" s="406">
        <f t="shared" si="48"/>
        <v>0</v>
      </c>
      <c r="AF72" s="924"/>
      <c r="AG72" s="785"/>
      <c r="AH72" s="365" t="s">
        <v>178</v>
      </c>
      <c r="AI72" s="851">
        <f t="shared" si="45"/>
        <v>0</v>
      </c>
      <c r="AJ72" s="629"/>
      <c r="AK72" s="930">
        <f>AJ72-O72</f>
        <v>0</v>
      </c>
      <c r="AL72" s="872"/>
      <c r="AM72" s="314">
        <f t="shared" si="46"/>
        <v>0</v>
      </c>
    </row>
    <row r="73" spans="1:39" s="8" customFormat="1">
      <c r="A73" s="168" t="s">
        <v>24</v>
      </c>
      <c r="B73" s="276">
        <f>B66-SUM(B67:B72)</f>
        <v>76760683</v>
      </c>
      <c r="C73" s="84"/>
      <c r="D73" s="84"/>
      <c r="E73" s="84"/>
      <c r="F73" s="84"/>
      <c r="G73" s="1951"/>
      <c r="H73" s="1957"/>
      <c r="I73" s="1006"/>
      <c r="J73" s="210"/>
      <c r="K73" s="1525"/>
      <c r="L73" s="101"/>
      <c r="M73" s="142">
        <f>SUM(M67:M72)</f>
        <v>63239317</v>
      </c>
      <c r="N73" s="101"/>
      <c r="O73" s="142">
        <f>SUM(O67:O72)</f>
        <v>59664759</v>
      </c>
      <c r="P73" s="244"/>
      <c r="Q73" s="142">
        <f t="shared" ref="Q73:AD73" si="49">SUM(Q67:Q72)</f>
        <v>0</v>
      </c>
      <c r="R73" s="142">
        <f t="shared" si="49"/>
        <v>0</v>
      </c>
      <c r="S73" s="142">
        <f>SUM(S67:S72)</f>
        <v>0</v>
      </c>
      <c r="T73" s="142">
        <f t="shared" si="49"/>
        <v>0</v>
      </c>
      <c r="U73" s="142">
        <f t="shared" si="49"/>
        <v>0</v>
      </c>
      <c r="V73" s="142">
        <f t="shared" si="49"/>
        <v>49393623</v>
      </c>
      <c r="W73" s="142">
        <f t="shared" si="49"/>
        <v>0</v>
      </c>
      <c r="X73" s="142">
        <f t="shared" si="49"/>
        <v>0</v>
      </c>
      <c r="Y73" s="142">
        <f t="shared" si="49"/>
        <v>10271136</v>
      </c>
      <c r="Z73" s="142">
        <f t="shared" si="49"/>
        <v>0</v>
      </c>
      <c r="AA73" s="142">
        <f t="shared" si="49"/>
        <v>0</v>
      </c>
      <c r="AB73" s="142">
        <f t="shared" si="49"/>
        <v>0</v>
      </c>
      <c r="AC73" s="142">
        <f t="shared" si="49"/>
        <v>59664759</v>
      </c>
      <c r="AD73" s="142">
        <f t="shared" si="49"/>
        <v>0</v>
      </c>
      <c r="AF73" s="907"/>
      <c r="AG73" s="14"/>
      <c r="AH73" s="14"/>
      <c r="AI73" s="101"/>
      <c r="AJ73" s="14">
        <f>SUM(AJ67:AJ72)</f>
        <v>140000000</v>
      </c>
      <c r="AK73" s="182">
        <f>SUM(AK67:AK72)</f>
        <v>80335241</v>
      </c>
      <c r="AL73" s="872">
        <f>B66-AJ73</f>
        <v>0</v>
      </c>
    </row>
    <row r="74" spans="1:39" s="6" customFormat="1" ht="27.75" customHeight="1">
      <c r="A74" s="620" t="s">
        <v>118</v>
      </c>
      <c r="B74" s="504">
        <f>267410000+57270000-29452861</f>
        <v>295227139</v>
      </c>
      <c r="C74" s="1368" t="s">
        <v>36</v>
      </c>
      <c r="D74" s="1368" t="s">
        <v>861</v>
      </c>
      <c r="E74" s="1368" t="s">
        <v>857</v>
      </c>
      <c r="F74" s="1368" t="s">
        <v>857</v>
      </c>
      <c r="G74" s="1977" t="s">
        <v>56</v>
      </c>
      <c r="H74" s="1998" t="s">
        <v>1380</v>
      </c>
      <c r="I74" s="1030"/>
      <c r="J74" s="396">
        <v>0</v>
      </c>
      <c r="K74" s="1527"/>
      <c r="L74" s="475"/>
      <c r="M74" s="391"/>
      <c r="N74" s="475"/>
      <c r="O74" s="392"/>
      <c r="P74" s="393"/>
      <c r="Q74" s="394"/>
      <c r="R74" s="392"/>
      <c r="S74" s="392"/>
      <c r="T74" s="392"/>
      <c r="U74" s="392"/>
      <c r="V74" s="392"/>
      <c r="W74" s="392"/>
      <c r="X74" s="392"/>
      <c r="Y74" s="392"/>
      <c r="Z74" s="392"/>
      <c r="AA74" s="392"/>
      <c r="AB74" s="392"/>
      <c r="AC74" s="395"/>
      <c r="AD74" s="409"/>
      <c r="AF74" s="931"/>
      <c r="AG74" s="260"/>
      <c r="AH74" s="260"/>
      <c r="AI74" s="1105"/>
      <c r="AJ74" s="862"/>
      <c r="AK74" s="919"/>
      <c r="AL74" s="872"/>
    </row>
    <row r="75" spans="1:39" s="865" customFormat="1">
      <c r="A75" s="863" t="s">
        <v>60</v>
      </c>
      <c r="B75" s="849">
        <f>M75</f>
        <v>43260000</v>
      </c>
      <c r="C75" s="91" t="s">
        <v>36</v>
      </c>
      <c r="D75" s="91" t="s">
        <v>861</v>
      </c>
      <c r="E75" s="91" t="s">
        <v>857</v>
      </c>
      <c r="F75" s="91" t="s">
        <v>857</v>
      </c>
      <c r="G75" s="1978" t="s">
        <v>56</v>
      </c>
      <c r="H75" s="1999" t="s">
        <v>1380</v>
      </c>
      <c r="I75" s="1989">
        <v>123</v>
      </c>
      <c r="J75" s="858">
        <v>0</v>
      </c>
      <c r="K75" s="241"/>
      <c r="L75" s="1054">
        <v>100</v>
      </c>
      <c r="M75" s="628">
        <f>45320000-2060000</f>
        <v>43260000</v>
      </c>
      <c r="N75" s="517">
        <v>266</v>
      </c>
      <c r="O75" s="154">
        <v>43260000</v>
      </c>
      <c r="P75" s="1058">
        <v>235</v>
      </c>
      <c r="Q75" s="241"/>
      <c r="R75" s="153"/>
      <c r="S75" s="153">
        <v>2746666</v>
      </c>
      <c r="T75" s="153">
        <f>VLOOKUP(N75,[7]Hoja2!N$132:T$199,7,0)</f>
        <v>4120000</v>
      </c>
      <c r="U75" s="153">
        <v>4120000</v>
      </c>
      <c r="V75" s="153">
        <v>4120000</v>
      </c>
      <c r="W75" s="153">
        <v>4120000</v>
      </c>
      <c r="X75" s="153">
        <f>2884000+1236000</f>
        <v>4120000</v>
      </c>
      <c r="Y75" s="153">
        <v>4120000</v>
      </c>
      <c r="Z75" s="152"/>
      <c r="AA75" s="152"/>
      <c r="AB75" s="152"/>
      <c r="AC75" s="183">
        <f t="shared" ref="AC75" si="50">SUM(Q75:AB75)</f>
        <v>27466666</v>
      </c>
      <c r="AD75" s="406">
        <f t="shared" ref="AD75" si="51">O75-AC75</f>
        <v>15793334</v>
      </c>
      <c r="AF75" s="932" t="s">
        <v>1354</v>
      </c>
      <c r="AG75" s="886" t="s">
        <v>364</v>
      </c>
      <c r="AH75" s="886" t="s">
        <v>689</v>
      </c>
      <c r="AI75" s="851">
        <f t="shared" ref="AI75:AI81" si="52">P75</f>
        <v>235</v>
      </c>
      <c r="AJ75" s="880">
        <f>45320000-4120000+2060000</f>
        <v>43260000</v>
      </c>
      <c r="AK75" s="930">
        <f>AJ75-O75</f>
        <v>0</v>
      </c>
      <c r="AL75" s="872"/>
      <c r="AM75" s="314">
        <f t="shared" ref="AM75:AM81" si="53">AJ75-M75</f>
        <v>0</v>
      </c>
    </row>
    <row r="76" spans="1:39" s="865" customFormat="1">
      <c r="A76" s="863" t="s">
        <v>60</v>
      </c>
      <c r="B76" s="849">
        <f t="shared" ref="B76:B81" si="54">M76</f>
        <v>62370000</v>
      </c>
      <c r="C76" s="91" t="s">
        <v>36</v>
      </c>
      <c r="D76" s="91" t="s">
        <v>861</v>
      </c>
      <c r="E76" s="91" t="s">
        <v>857</v>
      </c>
      <c r="F76" s="91" t="s">
        <v>857</v>
      </c>
      <c r="G76" s="1978" t="s">
        <v>56</v>
      </c>
      <c r="H76" s="1999" t="s">
        <v>1380</v>
      </c>
      <c r="I76" s="1989">
        <v>131</v>
      </c>
      <c r="J76" s="858">
        <v>0</v>
      </c>
      <c r="K76" s="241"/>
      <c r="L76" s="1054">
        <v>101</v>
      </c>
      <c r="M76" s="628">
        <v>62370000</v>
      </c>
      <c r="N76" s="517">
        <v>116</v>
      </c>
      <c r="O76" s="163">
        <v>62370000</v>
      </c>
      <c r="P76" s="236">
        <v>113</v>
      </c>
      <c r="Q76" s="241"/>
      <c r="R76" s="153">
        <v>1512000</v>
      </c>
      <c r="S76" s="153">
        <v>5670000</v>
      </c>
      <c r="T76" s="153">
        <f>VLOOKUP(N76,[7]Hoja2!N$132:T$199,7,0)</f>
        <v>5670000</v>
      </c>
      <c r="U76" s="153">
        <v>5670000</v>
      </c>
      <c r="V76" s="153">
        <v>5670000</v>
      </c>
      <c r="W76" s="153">
        <v>5670000</v>
      </c>
      <c r="X76" s="153">
        <f>1701000+3969000</f>
        <v>5670000</v>
      </c>
      <c r="Y76" s="153">
        <v>5670000</v>
      </c>
      <c r="Z76" s="152"/>
      <c r="AA76" s="152"/>
      <c r="AB76" s="152"/>
      <c r="AC76" s="183">
        <f t="shared" ref="AC76:AC81" si="55">SUM(Q76:AB76)</f>
        <v>41202000</v>
      </c>
      <c r="AD76" s="406">
        <f t="shared" ref="AD76:AD81" si="56">O76-AC76</f>
        <v>21168000</v>
      </c>
      <c r="AF76" s="932">
        <v>131</v>
      </c>
      <c r="AG76" s="886" t="s">
        <v>365</v>
      </c>
      <c r="AH76" s="279" t="s">
        <v>690</v>
      </c>
      <c r="AI76" s="851">
        <f t="shared" si="52"/>
        <v>113</v>
      </c>
      <c r="AJ76" s="880">
        <v>62370000</v>
      </c>
      <c r="AK76" s="930">
        <f t="shared" ref="AK76:AK81" si="57">AJ76-O76</f>
        <v>0</v>
      </c>
      <c r="AL76" s="872"/>
      <c r="AM76" s="314">
        <f t="shared" si="53"/>
        <v>0</v>
      </c>
    </row>
    <row r="77" spans="1:39" s="865" customFormat="1">
      <c r="A77" s="863" t="s">
        <v>60</v>
      </c>
      <c r="B77" s="849">
        <f t="shared" si="54"/>
        <v>58960000</v>
      </c>
      <c r="C77" s="91" t="s">
        <v>36</v>
      </c>
      <c r="D77" s="91" t="s">
        <v>861</v>
      </c>
      <c r="E77" s="91" t="s">
        <v>857</v>
      </c>
      <c r="F77" s="91" t="s">
        <v>857</v>
      </c>
      <c r="G77" s="1978" t="s">
        <v>56</v>
      </c>
      <c r="H77" s="1999" t="s">
        <v>1380</v>
      </c>
      <c r="I77" s="1989">
        <v>146</v>
      </c>
      <c r="J77" s="858">
        <v>0</v>
      </c>
      <c r="K77" s="241"/>
      <c r="L77" s="1054">
        <v>181</v>
      </c>
      <c r="M77" s="628">
        <v>58960000</v>
      </c>
      <c r="N77" s="517">
        <v>178</v>
      </c>
      <c r="O77" s="163">
        <v>58960000</v>
      </c>
      <c r="P77" s="236">
        <v>161</v>
      </c>
      <c r="Q77" s="241"/>
      <c r="R77" s="153"/>
      <c r="S77" s="153">
        <v>5538667</v>
      </c>
      <c r="T77" s="153">
        <f>VLOOKUP(N77,[7]Hoja2!N$132:T$199,7,0)</f>
        <v>5360000</v>
      </c>
      <c r="U77" s="153">
        <v>5360000</v>
      </c>
      <c r="V77" s="153">
        <v>5360000</v>
      </c>
      <c r="W77" s="153">
        <v>5360000</v>
      </c>
      <c r="X77" s="153">
        <v>5360000</v>
      </c>
      <c r="Y77" s="153">
        <v>5360000</v>
      </c>
      <c r="Z77" s="152"/>
      <c r="AA77" s="152"/>
      <c r="AB77" s="152"/>
      <c r="AC77" s="183">
        <f t="shared" si="55"/>
        <v>37698667</v>
      </c>
      <c r="AD77" s="406">
        <f t="shared" si="56"/>
        <v>21261333</v>
      </c>
      <c r="AF77" s="932">
        <v>146</v>
      </c>
      <c r="AG77" s="886" t="s">
        <v>366</v>
      </c>
      <c r="AH77" s="279" t="s">
        <v>691</v>
      </c>
      <c r="AI77" s="851">
        <f t="shared" si="52"/>
        <v>161</v>
      </c>
      <c r="AJ77" s="880">
        <v>58960000</v>
      </c>
      <c r="AK77" s="930">
        <f t="shared" si="57"/>
        <v>0</v>
      </c>
      <c r="AL77" s="872"/>
      <c r="AM77" s="314">
        <f t="shared" si="53"/>
        <v>0</v>
      </c>
    </row>
    <row r="78" spans="1:39" s="865" customFormat="1">
      <c r="A78" s="863" t="s">
        <v>60</v>
      </c>
      <c r="B78" s="849">
        <f t="shared" si="54"/>
        <v>38280000</v>
      </c>
      <c r="C78" s="91" t="s">
        <v>36</v>
      </c>
      <c r="D78" s="91" t="s">
        <v>861</v>
      </c>
      <c r="E78" s="91" t="s">
        <v>857</v>
      </c>
      <c r="F78" s="91" t="s">
        <v>857</v>
      </c>
      <c r="G78" s="1978" t="s">
        <v>56</v>
      </c>
      <c r="H78" s="1999" t="s">
        <v>1380</v>
      </c>
      <c r="I78" s="1989">
        <v>157</v>
      </c>
      <c r="J78" s="858">
        <v>0</v>
      </c>
      <c r="K78" s="241"/>
      <c r="L78" s="1054">
        <v>149</v>
      </c>
      <c r="M78" s="628">
        <v>38280000</v>
      </c>
      <c r="N78" s="517">
        <v>95</v>
      </c>
      <c r="O78" s="163">
        <v>38280000</v>
      </c>
      <c r="P78" s="236">
        <v>131</v>
      </c>
      <c r="Q78" s="241"/>
      <c r="R78" s="153">
        <v>1160000</v>
      </c>
      <c r="S78" s="153">
        <v>3480000</v>
      </c>
      <c r="T78" s="153">
        <f>VLOOKUP(N78,[7]Hoja2!N$132:T$199,7,0)</f>
        <v>3480000</v>
      </c>
      <c r="U78" s="153">
        <v>3480000</v>
      </c>
      <c r="V78" s="153">
        <v>3480000</v>
      </c>
      <c r="W78" s="153">
        <v>3480000</v>
      </c>
      <c r="X78" s="153">
        <v>3480000</v>
      </c>
      <c r="Y78" s="153">
        <v>3480000</v>
      </c>
      <c r="Z78" s="152"/>
      <c r="AA78" s="152"/>
      <c r="AB78" s="152"/>
      <c r="AC78" s="183">
        <f t="shared" si="55"/>
        <v>25520000</v>
      </c>
      <c r="AD78" s="406">
        <f t="shared" si="56"/>
        <v>12760000</v>
      </c>
      <c r="AF78" s="932">
        <v>157</v>
      </c>
      <c r="AG78" s="886" t="s">
        <v>367</v>
      </c>
      <c r="AH78" s="279" t="s">
        <v>692</v>
      </c>
      <c r="AI78" s="851">
        <f t="shared" si="52"/>
        <v>131</v>
      </c>
      <c r="AJ78" s="880">
        <v>38280000</v>
      </c>
      <c r="AK78" s="930">
        <f t="shared" si="57"/>
        <v>0</v>
      </c>
      <c r="AL78" s="872"/>
      <c r="AM78" s="314">
        <f t="shared" si="53"/>
        <v>0</v>
      </c>
    </row>
    <row r="79" spans="1:39" s="865" customFormat="1">
      <c r="A79" s="863" t="s">
        <v>60</v>
      </c>
      <c r="B79" s="849">
        <f t="shared" si="54"/>
        <v>62480000</v>
      </c>
      <c r="C79" s="91" t="s">
        <v>36</v>
      </c>
      <c r="D79" s="91" t="s">
        <v>861</v>
      </c>
      <c r="E79" s="91" t="s">
        <v>857</v>
      </c>
      <c r="F79" s="91" t="s">
        <v>857</v>
      </c>
      <c r="G79" s="1978" t="s">
        <v>56</v>
      </c>
      <c r="H79" s="1999" t="s">
        <v>1380</v>
      </c>
      <c r="I79" s="1989">
        <v>173</v>
      </c>
      <c r="J79" s="858">
        <v>0</v>
      </c>
      <c r="K79" s="241"/>
      <c r="L79" s="1054">
        <v>182</v>
      </c>
      <c r="M79" s="628">
        <v>62480000</v>
      </c>
      <c r="N79" s="517">
        <v>195</v>
      </c>
      <c r="O79" s="163">
        <v>62480000</v>
      </c>
      <c r="P79" s="236">
        <v>172</v>
      </c>
      <c r="Q79" s="241"/>
      <c r="R79" s="153"/>
      <c r="S79" s="153">
        <v>5680000</v>
      </c>
      <c r="T79" s="153">
        <f>VLOOKUP(N79,[7]Hoja2!N$132:T$199,7,0)</f>
        <v>5680000</v>
      </c>
      <c r="U79" s="153">
        <v>5680000</v>
      </c>
      <c r="V79" s="153">
        <v>5680000</v>
      </c>
      <c r="W79" s="153">
        <v>5680000</v>
      </c>
      <c r="X79" s="153">
        <v>5680000</v>
      </c>
      <c r="Y79" s="153">
        <v>5680000</v>
      </c>
      <c r="Z79" s="152"/>
      <c r="AA79" s="152"/>
      <c r="AB79" s="152"/>
      <c r="AC79" s="183">
        <f t="shared" si="55"/>
        <v>39760000</v>
      </c>
      <c r="AD79" s="406">
        <f t="shared" si="56"/>
        <v>22720000</v>
      </c>
      <c r="AF79" s="932">
        <v>173</v>
      </c>
      <c r="AG79" s="886" t="s">
        <v>368</v>
      </c>
      <c r="AH79" s="279" t="s">
        <v>693</v>
      </c>
      <c r="AI79" s="851">
        <f t="shared" si="52"/>
        <v>172</v>
      </c>
      <c r="AJ79" s="880">
        <v>62480000</v>
      </c>
      <c r="AK79" s="930">
        <f t="shared" si="57"/>
        <v>0</v>
      </c>
      <c r="AL79" s="872"/>
      <c r="AM79" s="314">
        <f t="shared" si="53"/>
        <v>0</v>
      </c>
    </row>
    <row r="80" spans="1:39" s="865" customFormat="1">
      <c r="A80" s="863" t="s">
        <v>60</v>
      </c>
      <c r="B80" s="849">
        <f t="shared" si="54"/>
        <v>0</v>
      </c>
      <c r="C80" s="91" t="s">
        <v>36</v>
      </c>
      <c r="D80" s="91" t="s">
        <v>861</v>
      </c>
      <c r="E80" s="91" t="s">
        <v>857</v>
      </c>
      <c r="F80" s="91" t="s">
        <v>857</v>
      </c>
      <c r="G80" s="1978" t="s">
        <v>56</v>
      </c>
      <c r="H80" s="1999" t="s">
        <v>1380</v>
      </c>
      <c r="I80" s="1989">
        <v>434</v>
      </c>
      <c r="J80" s="858">
        <v>0</v>
      </c>
      <c r="K80" s="241"/>
      <c r="L80" s="864"/>
      <c r="M80" s="628"/>
      <c r="N80" s="864"/>
      <c r="O80" s="152"/>
      <c r="P80" s="861"/>
      <c r="Q80" s="241"/>
      <c r="R80" s="152"/>
      <c r="S80" s="152"/>
      <c r="T80" s="152"/>
      <c r="U80" s="152"/>
      <c r="V80" s="152"/>
      <c r="W80" s="152"/>
      <c r="X80" s="152"/>
      <c r="Y80" s="152"/>
      <c r="Z80" s="152"/>
      <c r="AA80" s="152"/>
      <c r="AB80" s="152"/>
      <c r="AC80" s="183">
        <f t="shared" si="55"/>
        <v>0</v>
      </c>
      <c r="AD80" s="406">
        <f t="shared" si="56"/>
        <v>0</v>
      </c>
      <c r="AF80" s="932">
        <v>434</v>
      </c>
      <c r="AG80" s="886" t="s">
        <v>513</v>
      </c>
      <c r="AH80" s="279" t="s">
        <v>178</v>
      </c>
      <c r="AI80" s="851">
        <f t="shared" si="52"/>
        <v>0</v>
      </c>
      <c r="AJ80" s="880">
        <f>61390000-61390000</f>
        <v>0</v>
      </c>
      <c r="AK80" s="930">
        <f t="shared" si="57"/>
        <v>0</v>
      </c>
      <c r="AL80" s="872"/>
      <c r="AM80" s="314">
        <f t="shared" si="53"/>
        <v>0</v>
      </c>
    </row>
    <row r="81" spans="1:39" s="630" customFormat="1">
      <c r="A81" s="863" t="s">
        <v>60</v>
      </c>
      <c r="B81" s="849">
        <f t="shared" si="54"/>
        <v>0</v>
      </c>
      <c r="C81" s="91" t="s">
        <v>36</v>
      </c>
      <c r="D81" s="91" t="s">
        <v>861</v>
      </c>
      <c r="E81" s="91" t="s">
        <v>857</v>
      </c>
      <c r="F81" s="91" t="s">
        <v>857</v>
      </c>
      <c r="G81" s="1978" t="s">
        <v>56</v>
      </c>
      <c r="H81" s="1999" t="s">
        <v>1380</v>
      </c>
      <c r="I81" s="1042" t="s">
        <v>178</v>
      </c>
      <c r="J81" s="858">
        <v>0</v>
      </c>
      <c r="K81" s="233"/>
      <c r="L81" s="627"/>
      <c r="M81" s="628"/>
      <c r="N81" s="627"/>
      <c r="O81" s="153"/>
      <c r="P81" s="236"/>
      <c r="Q81" s="240"/>
      <c r="R81" s="153"/>
      <c r="S81" s="153"/>
      <c r="T81" s="153"/>
      <c r="U81" s="153"/>
      <c r="V81" s="153"/>
      <c r="W81" s="153"/>
      <c r="X81" s="153"/>
      <c r="Y81" s="153"/>
      <c r="Z81" s="153"/>
      <c r="AA81" s="153"/>
      <c r="AB81" s="153"/>
      <c r="AC81" s="183">
        <f t="shared" si="55"/>
        <v>0</v>
      </c>
      <c r="AD81" s="406">
        <f t="shared" si="56"/>
        <v>0</v>
      </c>
      <c r="AF81" s="932" t="s">
        <v>349</v>
      </c>
      <c r="AG81" s="886" t="s">
        <v>520</v>
      </c>
      <c r="AH81" s="886" t="s">
        <v>178</v>
      </c>
      <c r="AI81" s="851">
        <f t="shared" si="52"/>
        <v>0</v>
      </c>
      <c r="AJ81" s="880">
        <v>29877139</v>
      </c>
      <c r="AK81" s="930">
        <f t="shared" si="57"/>
        <v>29877139</v>
      </c>
      <c r="AL81" s="872"/>
      <c r="AM81" s="314">
        <f t="shared" si="53"/>
        <v>29877139</v>
      </c>
    </row>
    <row r="82" spans="1:39" s="8" customFormat="1">
      <c r="A82" s="168" t="s">
        <v>24</v>
      </c>
      <c r="B82" s="276">
        <f>B74-SUM(B75:B81)</f>
        <v>29877139</v>
      </c>
      <c r="C82" s="84"/>
      <c r="D82" s="84"/>
      <c r="E82" s="84"/>
      <c r="F82" s="84"/>
      <c r="G82" s="1951"/>
      <c r="H82" s="1957"/>
      <c r="I82" s="1006"/>
      <c r="J82" s="210"/>
      <c r="K82" s="1525"/>
      <c r="L82" s="101"/>
      <c r="M82" s="142">
        <f>SUM(M75:M81)</f>
        <v>265350000</v>
      </c>
      <c r="N82" s="101"/>
      <c r="O82" s="142">
        <f>SUM(O75:O81)</f>
        <v>265350000</v>
      </c>
      <c r="P82" s="244"/>
      <c r="Q82" s="142">
        <f>SUM(Q75:Q81)</f>
        <v>0</v>
      </c>
      <c r="R82" s="142">
        <f>SUM(R75:R81)</f>
        <v>2672000</v>
      </c>
      <c r="S82" s="142">
        <f>SUM(S75:S81)</f>
        <v>23115333</v>
      </c>
      <c r="T82" s="142">
        <f t="shared" ref="T82:AD82" si="58">SUM(T75:T81)</f>
        <v>24310000</v>
      </c>
      <c r="U82" s="142">
        <f t="shared" si="58"/>
        <v>24310000</v>
      </c>
      <c r="V82" s="142">
        <f t="shared" si="58"/>
        <v>24310000</v>
      </c>
      <c r="W82" s="142">
        <f t="shared" si="58"/>
        <v>24310000</v>
      </c>
      <c r="X82" s="142">
        <f t="shared" si="58"/>
        <v>24310000</v>
      </c>
      <c r="Y82" s="142">
        <f t="shared" si="58"/>
        <v>24310000</v>
      </c>
      <c r="Z82" s="142">
        <f t="shared" si="58"/>
        <v>0</v>
      </c>
      <c r="AA82" s="142">
        <f t="shared" si="58"/>
        <v>0</v>
      </c>
      <c r="AB82" s="142">
        <f t="shared" si="58"/>
        <v>0</v>
      </c>
      <c r="AC82" s="142">
        <f t="shared" si="58"/>
        <v>171647333</v>
      </c>
      <c r="AD82" s="142">
        <f t="shared" si="58"/>
        <v>93702667</v>
      </c>
      <c r="AF82" s="907"/>
      <c r="AG82" s="14"/>
      <c r="AH82" s="14"/>
      <c r="AI82" s="101"/>
      <c r="AJ82" s="14">
        <f>SUM(AJ75:AJ81)</f>
        <v>295227139</v>
      </c>
      <c r="AK82" s="182">
        <f>SUM(AK75:AK81)</f>
        <v>29877139</v>
      </c>
      <c r="AL82" s="872">
        <f>B74-AJ82</f>
        <v>0</v>
      </c>
      <c r="AM82" s="314"/>
    </row>
    <row r="83" spans="1:39" s="6" customFormat="1" ht="29.25" customHeight="1">
      <c r="A83" s="788" t="s">
        <v>856</v>
      </c>
      <c r="B83" s="504">
        <f>600300000-32480000</f>
        <v>567820000</v>
      </c>
      <c r="C83" s="1369" t="s">
        <v>36</v>
      </c>
      <c r="D83" s="1369" t="s">
        <v>861</v>
      </c>
      <c r="E83" s="1369" t="s">
        <v>857</v>
      </c>
      <c r="F83" s="1369" t="s">
        <v>857</v>
      </c>
      <c r="G83" s="1979" t="s">
        <v>56</v>
      </c>
      <c r="H83" s="2000" t="s">
        <v>1380</v>
      </c>
      <c r="I83" s="1031"/>
      <c r="J83" s="793">
        <v>0</v>
      </c>
      <c r="K83" s="1528"/>
      <c r="L83" s="1050"/>
      <c r="M83" s="1220"/>
      <c r="N83" s="1050"/>
      <c r="O83" s="1220"/>
      <c r="P83" s="92"/>
      <c r="Q83" s="488"/>
      <c r="R83" s="488"/>
      <c r="S83" s="488"/>
      <c r="T83" s="488"/>
      <c r="U83" s="488"/>
      <c r="V83" s="488"/>
      <c r="W83" s="92"/>
      <c r="X83" s="92"/>
      <c r="Y83" s="92"/>
      <c r="Z83" s="92"/>
      <c r="AA83" s="92"/>
      <c r="AB83" s="92"/>
      <c r="AC83" s="390"/>
      <c r="AD83" s="410"/>
      <c r="AF83" s="931"/>
      <c r="AG83" s="260"/>
      <c r="AH83" s="260"/>
      <c r="AI83" s="1105"/>
      <c r="AJ83" s="862"/>
      <c r="AK83" s="919"/>
      <c r="AL83" s="872"/>
    </row>
    <row r="84" spans="1:39" s="6" customFormat="1">
      <c r="A84" s="1302" t="s">
        <v>856</v>
      </c>
      <c r="B84" s="143">
        <f t="shared" ref="B84:B103" si="59">M84</f>
        <v>29700000</v>
      </c>
      <c r="C84" s="92" t="s">
        <v>36</v>
      </c>
      <c r="D84" s="92" t="s">
        <v>861</v>
      </c>
      <c r="E84" s="1303" t="s">
        <v>857</v>
      </c>
      <c r="F84" s="1303" t="s">
        <v>857</v>
      </c>
      <c r="G84" s="1980" t="s">
        <v>56</v>
      </c>
      <c r="H84" s="390" t="s">
        <v>1380</v>
      </c>
      <c r="I84" s="1989">
        <v>120</v>
      </c>
      <c r="J84" s="866">
        <v>0</v>
      </c>
      <c r="K84" s="1529"/>
      <c r="L84" s="1054">
        <v>141</v>
      </c>
      <c r="M84" s="628">
        <v>29700000</v>
      </c>
      <c r="N84" s="517">
        <v>185</v>
      </c>
      <c r="O84" s="163">
        <v>29700000</v>
      </c>
      <c r="P84" s="236">
        <v>175</v>
      </c>
      <c r="Q84" s="867"/>
      <c r="R84" s="153">
        <v>90000</v>
      </c>
      <c r="S84" s="153">
        <v>2700000</v>
      </c>
      <c r="T84" s="153">
        <f>VLOOKUP(N84,[7]Hoja2!N$132:T$199,7,0)</f>
        <v>2700000</v>
      </c>
      <c r="U84" s="153">
        <v>2700000</v>
      </c>
      <c r="V84" s="153">
        <v>2700000</v>
      </c>
      <c r="W84" s="153">
        <v>2700000</v>
      </c>
      <c r="X84" s="153">
        <v>2700000</v>
      </c>
      <c r="Y84" s="153">
        <v>2700000</v>
      </c>
      <c r="Z84" s="852"/>
      <c r="AA84" s="852"/>
      <c r="AB84" s="852"/>
      <c r="AC84" s="183">
        <f t="shared" ref="AC84" si="60">SUM(Q84:AB84)</f>
        <v>18990000</v>
      </c>
      <c r="AD84" s="406">
        <f t="shared" ref="AD84" si="61">O84-AC84</f>
        <v>10710000</v>
      </c>
      <c r="AF84" s="932">
        <v>120</v>
      </c>
      <c r="AG84" s="529" t="s">
        <v>369</v>
      </c>
      <c r="AH84" s="279" t="s">
        <v>694</v>
      </c>
      <c r="AI84" s="851">
        <f t="shared" ref="AI84:AI99" si="62">P84</f>
        <v>175</v>
      </c>
      <c r="AJ84" s="531">
        <v>29700000</v>
      </c>
      <c r="AK84" s="930">
        <f t="shared" ref="AK84:AK103" si="63">AJ84-O84</f>
        <v>0</v>
      </c>
      <c r="AL84" s="872"/>
      <c r="AM84" s="314">
        <f t="shared" ref="AM84:AM103" si="64">AJ84-M84</f>
        <v>0</v>
      </c>
    </row>
    <row r="85" spans="1:39" s="6" customFormat="1">
      <c r="A85" s="1302" t="s">
        <v>856</v>
      </c>
      <c r="B85" s="143">
        <f t="shared" si="59"/>
        <v>40700000</v>
      </c>
      <c r="C85" s="92" t="s">
        <v>36</v>
      </c>
      <c r="D85" s="92" t="s">
        <v>861</v>
      </c>
      <c r="E85" s="1303" t="s">
        <v>857</v>
      </c>
      <c r="F85" s="1303" t="s">
        <v>857</v>
      </c>
      <c r="G85" s="1980" t="s">
        <v>56</v>
      </c>
      <c r="H85" s="390" t="s">
        <v>1380</v>
      </c>
      <c r="I85" s="1989">
        <v>122</v>
      </c>
      <c r="J85" s="866">
        <v>0</v>
      </c>
      <c r="K85" s="1529"/>
      <c r="L85" s="1054">
        <v>66</v>
      </c>
      <c r="M85" s="628">
        <v>40700000</v>
      </c>
      <c r="N85" s="517">
        <v>40</v>
      </c>
      <c r="O85" s="163">
        <v>40700000</v>
      </c>
      <c r="P85" s="236">
        <v>59</v>
      </c>
      <c r="Q85" s="867"/>
      <c r="R85" s="153">
        <v>1603333</v>
      </c>
      <c r="S85" s="153">
        <v>3700000</v>
      </c>
      <c r="T85" s="153">
        <f>VLOOKUP(N85,[7]Hoja2!N$132:T$199,7,0)</f>
        <v>3700000</v>
      </c>
      <c r="U85" s="153">
        <v>3700000</v>
      </c>
      <c r="V85" s="153">
        <v>3700000</v>
      </c>
      <c r="W85" s="153">
        <v>3700000</v>
      </c>
      <c r="X85" s="153">
        <v>3700000</v>
      </c>
      <c r="Y85" s="153">
        <v>3700000</v>
      </c>
      <c r="Z85" s="852"/>
      <c r="AA85" s="852"/>
      <c r="AB85" s="852"/>
      <c r="AC85" s="183">
        <f t="shared" ref="AC85:AC103" si="65">SUM(Q85:AB85)</f>
        <v>27503333</v>
      </c>
      <c r="AD85" s="406">
        <f t="shared" ref="AD85:AD103" si="66">O85-AC85</f>
        <v>13196667</v>
      </c>
      <c r="AF85" s="932">
        <v>122</v>
      </c>
      <c r="AG85" s="529" t="s">
        <v>370</v>
      </c>
      <c r="AH85" s="279" t="s">
        <v>695</v>
      </c>
      <c r="AI85" s="851">
        <f t="shared" si="62"/>
        <v>59</v>
      </c>
      <c r="AJ85" s="531">
        <v>40700000</v>
      </c>
      <c r="AK85" s="930">
        <f t="shared" si="63"/>
        <v>0</v>
      </c>
      <c r="AL85" s="872"/>
      <c r="AM85" s="314">
        <f t="shared" si="64"/>
        <v>0</v>
      </c>
    </row>
    <row r="86" spans="1:39" s="6" customFormat="1">
      <c r="A86" s="1302" t="s">
        <v>856</v>
      </c>
      <c r="B86" s="143">
        <f t="shared" si="59"/>
        <v>14640000</v>
      </c>
      <c r="C86" s="92" t="s">
        <v>36</v>
      </c>
      <c r="D86" s="92" t="s">
        <v>861</v>
      </c>
      <c r="E86" s="1303" t="s">
        <v>857</v>
      </c>
      <c r="F86" s="1303" t="s">
        <v>857</v>
      </c>
      <c r="G86" s="1980" t="s">
        <v>56</v>
      </c>
      <c r="H86" s="390" t="s">
        <v>1380</v>
      </c>
      <c r="I86" s="1989">
        <v>129</v>
      </c>
      <c r="J86" s="866">
        <v>0</v>
      </c>
      <c r="K86" s="1529"/>
      <c r="L86" s="1054">
        <v>90</v>
      </c>
      <c r="M86" s="628">
        <v>14640000</v>
      </c>
      <c r="N86" s="517">
        <v>83</v>
      </c>
      <c r="O86" s="163">
        <v>14640000</v>
      </c>
      <c r="P86" s="236">
        <v>85</v>
      </c>
      <c r="Q86" s="867"/>
      <c r="R86" s="153">
        <v>1138667</v>
      </c>
      <c r="S86" s="153">
        <v>4880000</v>
      </c>
      <c r="T86" s="153">
        <f>VLOOKUP(N86,[7]Hoja2!N$132:T$199,7,0)</f>
        <v>4880000</v>
      </c>
      <c r="U86" s="153">
        <v>3741333</v>
      </c>
      <c r="V86" s="153"/>
      <c r="W86" s="153"/>
      <c r="X86" s="153"/>
      <c r="Y86" s="153"/>
      <c r="Z86" s="852"/>
      <c r="AA86" s="852"/>
      <c r="AB86" s="852"/>
      <c r="AC86" s="183">
        <f t="shared" si="65"/>
        <v>14640000</v>
      </c>
      <c r="AD86" s="406">
        <f t="shared" si="66"/>
        <v>0</v>
      </c>
      <c r="AF86" s="932">
        <v>129</v>
      </c>
      <c r="AG86" s="529" t="s">
        <v>371</v>
      </c>
      <c r="AH86" s="279" t="s">
        <v>696</v>
      </c>
      <c r="AI86" s="851">
        <f t="shared" si="62"/>
        <v>85</v>
      </c>
      <c r="AJ86" s="531">
        <v>14640000</v>
      </c>
      <c r="AK86" s="930">
        <f t="shared" si="63"/>
        <v>0</v>
      </c>
      <c r="AL86" s="872"/>
      <c r="AM86" s="314">
        <f t="shared" si="64"/>
        <v>0</v>
      </c>
    </row>
    <row r="87" spans="1:39" s="6" customFormat="1">
      <c r="A87" s="1302" t="s">
        <v>856</v>
      </c>
      <c r="B87" s="143">
        <f t="shared" si="59"/>
        <v>38950671</v>
      </c>
      <c r="C87" s="92" t="s">
        <v>36</v>
      </c>
      <c r="D87" s="92" t="s">
        <v>861</v>
      </c>
      <c r="E87" s="1303" t="s">
        <v>857</v>
      </c>
      <c r="F87" s="1303" t="s">
        <v>857</v>
      </c>
      <c r="G87" s="1980" t="s">
        <v>56</v>
      </c>
      <c r="H87" s="390" t="s">
        <v>1380</v>
      </c>
      <c r="I87" s="1989">
        <v>130</v>
      </c>
      <c r="J87" s="866">
        <v>0</v>
      </c>
      <c r="K87" s="1529"/>
      <c r="L87" s="1054">
        <v>447</v>
      </c>
      <c r="M87" s="628">
        <v>38950671</v>
      </c>
      <c r="N87" s="1103">
        <v>469</v>
      </c>
      <c r="O87" s="143">
        <v>38950671</v>
      </c>
      <c r="P87" s="1058">
        <v>334</v>
      </c>
      <c r="Q87" s="867"/>
      <c r="R87" s="153"/>
      <c r="S87" s="153"/>
      <c r="T87" s="153"/>
      <c r="U87" s="153"/>
      <c r="V87" s="153">
        <v>4192000</v>
      </c>
      <c r="W87" s="153">
        <v>5240000</v>
      </c>
      <c r="X87" s="153">
        <v>5240000</v>
      </c>
      <c r="Y87" s="153">
        <v>5240000</v>
      </c>
      <c r="Z87" s="852"/>
      <c r="AA87" s="852"/>
      <c r="AB87" s="852"/>
      <c r="AC87" s="183">
        <f t="shared" si="65"/>
        <v>19912000</v>
      </c>
      <c r="AD87" s="406">
        <f t="shared" si="66"/>
        <v>19038671</v>
      </c>
      <c r="AF87" s="932">
        <v>130</v>
      </c>
      <c r="AG87" s="529" t="s">
        <v>942</v>
      </c>
      <c r="AH87" s="529" t="s">
        <v>696</v>
      </c>
      <c r="AI87" s="851">
        <f t="shared" si="62"/>
        <v>334</v>
      </c>
      <c r="AJ87" s="531">
        <v>39040000</v>
      </c>
      <c r="AK87" s="930">
        <f t="shared" si="63"/>
        <v>89329</v>
      </c>
      <c r="AL87" s="872"/>
      <c r="AM87" s="314">
        <f t="shared" si="64"/>
        <v>89329</v>
      </c>
    </row>
    <row r="88" spans="1:39" s="6" customFormat="1">
      <c r="A88" s="1302" t="s">
        <v>856</v>
      </c>
      <c r="B88" s="143">
        <f t="shared" si="59"/>
        <v>24966666</v>
      </c>
      <c r="C88" s="92" t="s">
        <v>36</v>
      </c>
      <c r="D88" s="92" t="s">
        <v>861</v>
      </c>
      <c r="E88" s="1303" t="s">
        <v>857</v>
      </c>
      <c r="F88" s="1303" t="s">
        <v>857</v>
      </c>
      <c r="G88" s="1980" t="s">
        <v>56</v>
      </c>
      <c r="H88" s="390" t="s">
        <v>1380</v>
      </c>
      <c r="I88" s="1989">
        <v>134</v>
      </c>
      <c r="J88" s="866">
        <v>0</v>
      </c>
      <c r="K88" s="1529"/>
      <c r="L88" s="1054">
        <v>124</v>
      </c>
      <c r="M88" s="628">
        <f>77000000-52033334</f>
        <v>24966666</v>
      </c>
      <c r="N88" s="517">
        <v>149</v>
      </c>
      <c r="O88" s="163">
        <f>77000000-52033334</f>
        <v>24966666</v>
      </c>
      <c r="P88" s="236">
        <v>91</v>
      </c>
      <c r="Q88" s="867"/>
      <c r="R88" s="153">
        <v>1633333</v>
      </c>
      <c r="S88" s="153">
        <v>7000000</v>
      </c>
      <c r="T88" s="153">
        <f>VLOOKUP(N88,[7]Hoja2!N$132:T$199,7,0)</f>
        <v>7000000</v>
      </c>
      <c r="U88" s="153">
        <v>7000000</v>
      </c>
      <c r="V88" s="153">
        <v>2333333</v>
      </c>
      <c r="W88" s="153"/>
      <c r="X88" s="153"/>
      <c r="Y88" s="153"/>
      <c r="Z88" s="852"/>
      <c r="AA88" s="852"/>
      <c r="AB88" s="852"/>
      <c r="AC88" s="183">
        <f t="shared" si="65"/>
        <v>24966666</v>
      </c>
      <c r="AD88" s="406">
        <f t="shared" si="66"/>
        <v>0</v>
      </c>
      <c r="AF88" s="932">
        <v>134</v>
      </c>
      <c r="AG88" s="529" t="s">
        <v>372</v>
      </c>
      <c r="AH88" s="279" t="s">
        <v>697</v>
      </c>
      <c r="AI88" s="851">
        <f t="shared" si="62"/>
        <v>91</v>
      </c>
      <c r="AJ88" s="531">
        <f>77000000-52033333</f>
        <v>24966667</v>
      </c>
      <c r="AK88" s="930">
        <f t="shared" si="63"/>
        <v>1</v>
      </c>
      <c r="AL88" s="872"/>
      <c r="AM88" s="314">
        <f t="shared" si="64"/>
        <v>1</v>
      </c>
    </row>
    <row r="89" spans="1:39" s="6" customFormat="1">
      <c r="A89" s="1302" t="s">
        <v>856</v>
      </c>
      <c r="B89" s="143">
        <f t="shared" si="59"/>
        <v>0</v>
      </c>
      <c r="C89" s="92" t="s">
        <v>36</v>
      </c>
      <c r="D89" s="92" t="s">
        <v>861</v>
      </c>
      <c r="E89" s="1303" t="s">
        <v>857</v>
      </c>
      <c r="F89" s="1303" t="s">
        <v>857</v>
      </c>
      <c r="G89" s="1980" t="s">
        <v>56</v>
      </c>
      <c r="H89" s="390" t="s">
        <v>1380</v>
      </c>
      <c r="I89" s="1989">
        <v>137</v>
      </c>
      <c r="J89" s="866">
        <v>0</v>
      </c>
      <c r="K89" s="1529"/>
      <c r="L89" s="1054"/>
      <c r="M89" s="628"/>
      <c r="N89" s="1103"/>
      <c r="O89" s="143"/>
      <c r="P89" s="861"/>
      <c r="Q89" s="867"/>
      <c r="R89" s="153"/>
      <c r="S89" s="153"/>
      <c r="T89" s="153"/>
      <c r="U89" s="153"/>
      <c r="V89" s="153"/>
      <c r="W89" s="153"/>
      <c r="X89" s="153"/>
      <c r="Y89" s="153"/>
      <c r="Z89" s="852"/>
      <c r="AA89" s="852"/>
      <c r="AB89" s="852"/>
      <c r="AC89" s="183">
        <f t="shared" si="65"/>
        <v>0</v>
      </c>
      <c r="AD89" s="406">
        <f t="shared" si="66"/>
        <v>0</v>
      </c>
      <c r="AF89" s="932">
        <v>137</v>
      </c>
      <c r="AG89" s="529" t="s">
        <v>373</v>
      </c>
      <c r="AH89" s="529" t="s">
        <v>178</v>
      </c>
      <c r="AI89" s="851">
        <f t="shared" si="62"/>
        <v>0</v>
      </c>
      <c r="AJ89" s="531">
        <f>32480000-32480000</f>
        <v>0</v>
      </c>
      <c r="AK89" s="930">
        <f t="shared" si="63"/>
        <v>0</v>
      </c>
      <c r="AL89" s="872"/>
      <c r="AM89" s="314">
        <f t="shared" si="64"/>
        <v>0</v>
      </c>
    </row>
    <row r="90" spans="1:39" s="6" customFormat="1">
      <c r="A90" s="1302" t="s">
        <v>856</v>
      </c>
      <c r="B90" s="143">
        <f t="shared" si="59"/>
        <v>15720000</v>
      </c>
      <c r="C90" s="92" t="s">
        <v>36</v>
      </c>
      <c r="D90" s="92" t="s">
        <v>861</v>
      </c>
      <c r="E90" s="1303" t="s">
        <v>857</v>
      </c>
      <c r="F90" s="1303" t="s">
        <v>857</v>
      </c>
      <c r="G90" s="1980" t="s">
        <v>56</v>
      </c>
      <c r="H90" s="390" t="s">
        <v>1380</v>
      </c>
      <c r="I90" s="1989">
        <v>138</v>
      </c>
      <c r="J90" s="866">
        <v>0</v>
      </c>
      <c r="K90" s="1529"/>
      <c r="L90" s="1054">
        <v>91</v>
      </c>
      <c r="M90" s="628">
        <v>15720000</v>
      </c>
      <c r="N90" s="517">
        <v>80</v>
      </c>
      <c r="O90" s="163">
        <v>15720000</v>
      </c>
      <c r="P90" s="236">
        <v>80</v>
      </c>
      <c r="Q90" s="867"/>
      <c r="R90" s="153">
        <v>1572000</v>
      </c>
      <c r="S90" s="153">
        <v>5240000</v>
      </c>
      <c r="T90" s="153">
        <f>VLOOKUP(N90,[7]Hoja2!N$132:T$199,7,0)</f>
        <v>5240000</v>
      </c>
      <c r="U90" s="153">
        <v>3668000</v>
      </c>
      <c r="V90" s="153"/>
      <c r="W90" s="153"/>
      <c r="X90" s="153"/>
      <c r="Y90" s="153"/>
      <c r="Z90" s="852"/>
      <c r="AA90" s="852"/>
      <c r="AB90" s="852"/>
      <c r="AC90" s="183">
        <f t="shared" si="65"/>
        <v>15720000</v>
      </c>
      <c r="AD90" s="406">
        <f t="shared" si="66"/>
        <v>0</v>
      </c>
      <c r="AF90" s="932">
        <v>138</v>
      </c>
      <c r="AG90" s="529" t="s">
        <v>374</v>
      </c>
      <c r="AH90" s="279" t="s">
        <v>698</v>
      </c>
      <c r="AI90" s="851">
        <f t="shared" si="62"/>
        <v>80</v>
      </c>
      <c r="AJ90" s="531">
        <v>15720000</v>
      </c>
      <c r="AK90" s="930">
        <f t="shared" si="63"/>
        <v>0</v>
      </c>
      <c r="AL90" s="872"/>
      <c r="AM90" s="314">
        <f t="shared" si="64"/>
        <v>0</v>
      </c>
    </row>
    <row r="91" spans="1:39" s="6" customFormat="1">
      <c r="A91" s="1302" t="s">
        <v>856</v>
      </c>
      <c r="B91" s="143">
        <f t="shared" si="59"/>
        <v>41920000</v>
      </c>
      <c r="C91" s="92" t="s">
        <v>36</v>
      </c>
      <c r="D91" s="92" t="s">
        <v>861</v>
      </c>
      <c r="E91" s="1303" t="s">
        <v>857</v>
      </c>
      <c r="F91" s="1303" t="s">
        <v>857</v>
      </c>
      <c r="G91" s="1980" t="s">
        <v>56</v>
      </c>
      <c r="H91" s="390" t="s">
        <v>1380</v>
      </c>
      <c r="I91" s="1989">
        <v>139</v>
      </c>
      <c r="J91" s="866">
        <v>0</v>
      </c>
      <c r="K91" s="1529"/>
      <c r="L91" s="1054">
        <v>448</v>
      </c>
      <c r="M91" s="628">
        <v>41920000</v>
      </c>
      <c r="N91" s="1103">
        <v>470</v>
      </c>
      <c r="O91" s="143">
        <v>40173333</v>
      </c>
      <c r="P91" s="1058">
        <v>333</v>
      </c>
      <c r="Q91" s="867"/>
      <c r="R91" s="153"/>
      <c r="S91" s="153"/>
      <c r="T91" s="153"/>
      <c r="U91" s="153"/>
      <c r="V91" s="153">
        <v>4192000</v>
      </c>
      <c r="W91" s="153">
        <v>5240000</v>
      </c>
      <c r="X91" s="153">
        <v>5240000</v>
      </c>
      <c r="Y91" s="153">
        <v>5240000</v>
      </c>
      <c r="Z91" s="852"/>
      <c r="AA91" s="852"/>
      <c r="AB91" s="852"/>
      <c r="AC91" s="183">
        <f t="shared" si="65"/>
        <v>19912000</v>
      </c>
      <c r="AD91" s="406">
        <f t="shared" si="66"/>
        <v>20261333</v>
      </c>
      <c r="AF91" s="932">
        <v>139</v>
      </c>
      <c r="AG91" s="529" t="s">
        <v>943</v>
      </c>
      <c r="AH91" s="529" t="s">
        <v>698</v>
      </c>
      <c r="AI91" s="851">
        <f t="shared" si="62"/>
        <v>333</v>
      </c>
      <c r="AJ91" s="531">
        <v>41920000</v>
      </c>
      <c r="AK91" s="930">
        <f t="shared" si="63"/>
        <v>1746667</v>
      </c>
      <c r="AL91" s="872"/>
      <c r="AM91" s="314">
        <f t="shared" si="64"/>
        <v>0</v>
      </c>
    </row>
    <row r="92" spans="1:39" s="6" customFormat="1">
      <c r="A92" s="1302" t="s">
        <v>856</v>
      </c>
      <c r="B92" s="143">
        <f t="shared" si="59"/>
        <v>31020000</v>
      </c>
      <c r="C92" s="92" t="s">
        <v>36</v>
      </c>
      <c r="D92" s="92" t="s">
        <v>861</v>
      </c>
      <c r="E92" s="1303" t="s">
        <v>857</v>
      </c>
      <c r="F92" s="1303" t="s">
        <v>857</v>
      </c>
      <c r="G92" s="1980" t="s">
        <v>56</v>
      </c>
      <c r="H92" s="390" t="s">
        <v>1380</v>
      </c>
      <c r="I92" s="1989">
        <v>143</v>
      </c>
      <c r="J92" s="866">
        <v>0</v>
      </c>
      <c r="K92" s="1529"/>
      <c r="L92" s="1054">
        <v>67</v>
      </c>
      <c r="M92" s="628">
        <v>31020000</v>
      </c>
      <c r="N92" s="517">
        <v>82</v>
      </c>
      <c r="O92" s="163">
        <v>31020000</v>
      </c>
      <c r="P92" s="236">
        <v>83</v>
      </c>
      <c r="Q92" s="867"/>
      <c r="R92" s="153">
        <v>846000</v>
      </c>
      <c r="S92" s="153">
        <v>2820000</v>
      </c>
      <c r="T92" s="153">
        <f>VLOOKUP(N92,[7]Hoja2!N$132:T$199,7,0)</f>
        <v>2820000</v>
      </c>
      <c r="U92" s="153">
        <v>2820000</v>
      </c>
      <c r="V92" s="153">
        <f>94000+2726000</f>
        <v>2820000</v>
      </c>
      <c r="W92" s="153">
        <v>2820000</v>
      </c>
      <c r="X92" s="153">
        <v>2820000</v>
      </c>
      <c r="Y92" s="153">
        <v>2820000</v>
      </c>
      <c r="Z92" s="852"/>
      <c r="AA92" s="852"/>
      <c r="AB92" s="852"/>
      <c r="AC92" s="183">
        <f t="shared" si="65"/>
        <v>20586000</v>
      </c>
      <c r="AD92" s="406">
        <f t="shared" si="66"/>
        <v>10434000</v>
      </c>
      <c r="AF92" s="932">
        <v>143</v>
      </c>
      <c r="AG92" s="529" t="s">
        <v>375</v>
      </c>
      <c r="AH92" s="279" t="s">
        <v>699</v>
      </c>
      <c r="AI92" s="851">
        <f t="shared" si="62"/>
        <v>83</v>
      </c>
      <c r="AJ92" s="531">
        <v>31020000</v>
      </c>
      <c r="AK92" s="930">
        <f t="shared" si="63"/>
        <v>0</v>
      </c>
      <c r="AL92" s="872"/>
      <c r="AM92" s="314">
        <f t="shared" si="64"/>
        <v>0</v>
      </c>
    </row>
    <row r="93" spans="1:39" s="6" customFormat="1">
      <c r="A93" s="1302" t="s">
        <v>856</v>
      </c>
      <c r="B93" s="143">
        <f t="shared" si="59"/>
        <v>12950000</v>
      </c>
      <c r="C93" s="92" t="s">
        <v>36</v>
      </c>
      <c r="D93" s="92" t="s">
        <v>861</v>
      </c>
      <c r="E93" s="1303" t="s">
        <v>857</v>
      </c>
      <c r="F93" s="1303" t="s">
        <v>857</v>
      </c>
      <c r="G93" s="1980" t="s">
        <v>56</v>
      </c>
      <c r="H93" s="390" t="s">
        <v>1380</v>
      </c>
      <c r="I93" s="1989">
        <v>164</v>
      </c>
      <c r="J93" s="866">
        <v>593</v>
      </c>
      <c r="K93" s="1529">
        <v>12950000</v>
      </c>
      <c r="L93" s="1054">
        <v>675</v>
      </c>
      <c r="M93" s="628">
        <v>12950000</v>
      </c>
      <c r="N93" s="1103">
        <v>836</v>
      </c>
      <c r="O93" s="143">
        <v>12333333</v>
      </c>
      <c r="P93" s="1058">
        <v>461</v>
      </c>
      <c r="Q93" s="867"/>
      <c r="R93" s="153"/>
      <c r="S93" s="153"/>
      <c r="T93" s="153"/>
      <c r="U93" s="153"/>
      <c r="V93" s="153"/>
      <c r="W93" s="153"/>
      <c r="X93" s="153"/>
      <c r="Y93" s="153"/>
      <c r="Z93" s="852"/>
      <c r="AA93" s="852"/>
      <c r="AB93" s="852"/>
      <c r="AC93" s="183">
        <f t="shared" si="65"/>
        <v>0</v>
      </c>
      <c r="AD93" s="406">
        <f t="shared" si="66"/>
        <v>12333333</v>
      </c>
      <c r="AF93" s="932">
        <v>164</v>
      </c>
      <c r="AG93" s="529" t="s">
        <v>376</v>
      </c>
      <c r="AH93" s="529" t="s">
        <v>702</v>
      </c>
      <c r="AI93" s="851">
        <f t="shared" si="62"/>
        <v>461</v>
      </c>
      <c r="AJ93" s="531">
        <v>47300000</v>
      </c>
      <c r="AK93" s="930">
        <f t="shared" si="63"/>
        <v>34966667</v>
      </c>
      <c r="AL93" s="872"/>
      <c r="AM93" s="314">
        <f t="shared" si="64"/>
        <v>34350000</v>
      </c>
    </row>
    <row r="94" spans="1:39" s="6" customFormat="1">
      <c r="A94" s="1302" t="s">
        <v>856</v>
      </c>
      <c r="B94" s="143">
        <f t="shared" si="59"/>
        <v>29700000</v>
      </c>
      <c r="C94" s="92" t="s">
        <v>36</v>
      </c>
      <c r="D94" s="92" t="s">
        <v>861</v>
      </c>
      <c r="E94" s="1303" t="s">
        <v>857</v>
      </c>
      <c r="F94" s="1303" t="s">
        <v>857</v>
      </c>
      <c r="G94" s="1980" t="s">
        <v>56</v>
      </c>
      <c r="H94" s="390" t="s">
        <v>1380</v>
      </c>
      <c r="I94" s="1989">
        <v>169</v>
      </c>
      <c r="J94" s="866">
        <v>0</v>
      </c>
      <c r="K94" s="1529"/>
      <c r="L94" s="1054">
        <v>145</v>
      </c>
      <c r="M94" s="628">
        <v>29700000</v>
      </c>
      <c r="N94" s="517">
        <v>171</v>
      </c>
      <c r="O94" s="163">
        <v>29700000</v>
      </c>
      <c r="P94" s="236">
        <v>151</v>
      </c>
      <c r="Q94" s="867"/>
      <c r="R94" s="153">
        <v>180000</v>
      </c>
      <c r="S94" s="153">
        <v>2700000</v>
      </c>
      <c r="T94" s="153">
        <f>VLOOKUP(N94,[7]Hoja2!N$132:T$199,7,0)</f>
        <v>2700000</v>
      </c>
      <c r="U94" s="153">
        <v>2700000</v>
      </c>
      <c r="V94" s="153">
        <v>2700000</v>
      </c>
      <c r="W94" s="153">
        <v>2700000</v>
      </c>
      <c r="X94" s="153">
        <v>2700000</v>
      </c>
      <c r="Y94" s="153">
        <v>2700000</v>
      </c>
      <c r="Z94" s="852"/>
      <c r="AA94" s="852"/>
      <c r="AB94" s="852"/>
      <c r="AC94" s="183">
        <f t="shared" si="65"/>
        <v>19080000</v>
      </c>
      <c r="AD94" s="406">
        <f t="shared" si="66"/>
        <v>10620000</v>
      </c>
      <c r="AF94" s="932">
        <v>169</v>
      </c>
      <c r="AG94" s="529" t="s">
        <v>377</v>
      </c>
      <c r="AH94" s="279" t="s">
        <v>700</v>
      </c>
      <c r="AI94" s="851">
        <f t="shared" si="62"/>
        <v>151</v>
      </c>
      <c r="AJ94" s="531">
        <v>29700000</v>
      </c>
      <c r="AK94" s="930">
        <f t="shared" si="63"/>
        <v>0</v>
      </c>
      <c r="AL94" s="872"/>
      <c r="AM94" s="314">
        <f t="shared" si="64"/>
        <v>0</v>
      </c>
    </row>
    <row r="95" spans="1:39" s="6" customFormat="1">
      <c r="A95" s="1302" t="s">
        <v>856</v>
      </c>
      <c r="B95" s="143">
        <f t="shared" si="59"/>
        <v>0</v>
      </c>
      <c r="C95" s="92" t="s">
        <v>36</v>
      </c>
      <c r="D95" s="92" t="s">
        <v>861</v>
      </c>
      <c r="E95" s="1303" t="s">
        <v>857</v>
      </c>
      <c r="F95" s="1303" t="s">
        <v>857</v>
      </c>
      <c r="G95" s="1980" t="s">
        <v>56</v>
      </c>
      <c r="H95" s="390" t="s">
        <v>1380</v>
      </c>
      <c r="I95" s="1989">
        <v>175</v>
      </c>
      <c r="J95" s="866">
        <v>0</v>
      </c>
      <c r="K95" s="1529"/>
      <c r="L95" s="1054"/>
      <c r="M95" s="628"/>
      <c r="N95" s="1103"/>
      <c r="O95" s="143"/>
      <c r="P95" s="861"/>
      <c r="Q95" s="867"/>
      <c r="R95" s="153"/>
      <c r="S95" s="153"/>
      <c r="T95" s="153"/>
      <c r="U95" s="153"/>
      <c r="V95" s="153"/>
      <c r="W95" s="153"/>
      <c r="X95" s="153"/>
      <c r="Y95" s="153"/>
      <c r="Z95" s="852"/>
      <c r="AA95" s="852"/>
      <c r="AB95" s="852"/>
      <c r="AC95" s="183">
        <f t="shared" si="65"/>
        <v>0</v>
      </c>
      <c r="AD95" s="406">
        <f t="shared" si="66"/>
        <v>0</v>
      </c>
      <c r="AF95" s="932">
        <v>175</v>
      </c>
      <c r="AG95" s="529" t="s">
        <v>378</v>
      </c>
      <c r="AH95" s="529" t="s">
        <v>178</v>
      </c>
      <c r="AI95" s="851">
        <f t="shared" si="62"/>
        <v>0</v>
      </c>
      <c r="AJ95" s="531">
        <v>56100000</v>
      </c>
      <c r="AK95" s="930">
        <f t="shared" si="63"/>
        <v>56100000</v>
      </c>
      <c r="AL95" s="872"/>
      <c r="AM95" s="314">
        <f t="shared" si="64"/>
        <v>56100000</v>
      </c>
    </row>
    <row r="96" spans="1:39" s="6" customFormat="1">
      <c r="A96" s="1302" t="s">
        <v>856</v>
      </c>
      <c r="B96" s="143">
        <f t="shared" si="59"/>
        <v>57640000</v>
      </c>
      <c r="C96" s="92" t="s">
        <v>36</v>
      </c>
      <c r="D96" s="92" t="s">
        <v>861</v>
      </c>
      <c r="E96" s="1303" t="s">
        <v>857</v>
      </c>
      <c r="F96" s="1303" t="s">
        <v>857</v>
      </c>
      <c r="G96" s="1980" t="s">
        <v>56</v>
      </c>
      <c r="H96" s="390" t="s">
        <v>1380</v>
      </c>
      <c r="I96" s="1989">
        <v>177</v>
      </c>
      <c r="J96" s="866">
        <v>0</v>
      </c>
      <c r="K96" s="1529"/>
      <c r="L96" s="1054">
        <v>125</v>
      </c>
      <c r="M96" s="628">
        <v>57640000</v>
      </c>
      <c r="N96" s="517">
        <v>151</v>
      </c>
      <c r="O96" s="163">
        <v>57640000</v>
      </c>
      <c r="P96" s="236">
        <v>89</v>
      </c>
      <c r="Q96" s="867"/>
      <c r="R96" s="153">
        <v>1222667</v>
      </c>
      <c r="S96" s="153">
        <v>5240000</v>
      </c>
      <c r="T96" s="153">
        <f>VLOOKUP(N96,[7]Hoja2!N$132:T$199,7,0)</f>
        <v>5240000</v>
      </c>
      <c r="U96" s="153">
        <v>5240000</v>
      </c>
      <c r="V96" s="153">
        <v>5240000</v>
      </c>
      <c r="W96" s="153">
        <v>5240000</v>
      </c>
      <c r="X96" s="153">
        <v>5240000</v>
      </c>
      <c r="Y96" s="153">
        <v>5240000</v>
      </c>
      <c r="Z96" s="852"/>
      <c r="AA96" s="852"/>
      <c r="AB96" s="852"/>
      <c r="AC96" s="183">
        <f t="shared" si="65"/>
        <v>37902667</v>
      </c>
      <c r="AD96" s="406">
        <f t="shared" si="66"/>
        <v>19737333</v>
      </c>
      <c r="AF96" s="932">
        <v>177</v>
      </c>
      <c r="AG96" s="529" t="s">
        <v>379</v>
      </c>
      <c r="AH96" s="279" t="s">
        <v>701</v>
      </c>
      <c r="AI96" s="851">
        <f t="shared" si="62"/>
        <v>89</v>
      </c>
      <c r="AJ96" s="531">
        <v>57640000</v>
      </c>
      <c r="AK96" s="930">
        <f t="shared" si="63"/>
        <v>0</v>
      </c>
      <c r="AL96" s="872"/>
      <c r="AM96" s="314">
        <f t="shared" si="64"/>
        <v>0</v>
      </c>
    </row>
    <row r="97" spans="1:39" s="6" customFormat="1">
      <c r="A97" s="1302" t="s">
        <v>856</v>
      </c>
      <c r="B97" s="143">
        <f t="shared" si="59"/>
        <v>36300000</v>
      </c>
      <c r="C97" s="92" t="s">
        <v>36</v>
      </c>
      <c r="D97" s="92" t="s">
        <v>861</v>
      </c>
      <c r="E97" s="1303" t="s">
        <v>857</v>
      </c>
      <c r="F97" s="1303" t="s">
        <v>857</v>
      </c>
      <c r="G97" s="1980" t="s">
        <v>56</v>
      </c>
      <c r="H97" s="390" t="s">
        <v>1380</v>
      </c>
      <c r="I97" s="1989">
        <v>179</v>
      </c>
      <c r="J97" s="866">
        <v>0</v>
      </c>
      <c r="K97" s="1529"/>
      <c r="L97" s="1054">
        <v>146</v>
      </c>
      <c r="M97" s="628">
        <v>36300000</v>
      </c>
      <c r="N97" s="517">
        <v>154</v>
      </c>
      <c r="O97" s="163">
        <v>36300000</v>
      </c>
      <c r="P97" s="236">
        <v>134</v>
      </c>
      <c r="Q97" s="867"/>
      <c r="R97" s="153">
        <v>660000</v>
      </c>
      <c r="S97" s="153">
        <v>3300000</v>
      </c>
      <c r="T97" s="153">
        <f>VLOOKUP(N97,[7]Hoja2!N$132:T$199,7,0)</f>
        <v>3300000</v>
      </c>
      <c r="U97" s="153">
        <v>3300000</v>
      </c>
      <c r="V97" s="153">
        <v>3300000</v>
      </c>
      <c r="W97" s="153">
        <v>3300000</v>
      </c>
      <c r="X97" s="153">
        <v>3300000</v>
      </c>
      <c r="Y97" s="153">
        <v>3300000</v>
      </c>
      <c r="Z97" s="852"/>
      <c r="AA97" s="852"/>
      <c r="AB97" s="852"/>
      <c r="AC97" s="183">
        <f t="shared" si="65"/>
        <v>23760000</v>
      </c>
      <c r="AD97" s="406">
        <f t="shared" si="66"/>
        <v>12540000</v>
      </c>
      <c r="AF97" s="932">
        <v>179</v>
      </c>
      <c r="AG97" s="529" t="s">
        <v>369</v>
      </c>
      <c r="AH97" s="279" t="s">
        <v>702</v>
      </c>
      <c r="AI97" s="851">
        <f t="shared" si="62"/>
        <v>134</v>
      </c>
      <c r="AJ97" s="531">
        <v>36300000</v>
      </c>
      <c r="AK97" s="930">
        <f t="shared" si="63"/>
        <v>0</v>
      </c>
      <c r="AL97" s="872"/>
      <c r="AM97" s="314">
        <f t="shared" si="64"/>
        <v>0</v>
      </c>
    </row>
    <row r="98" spans="1:39" s="6" customFormat="1">
      <c r="A98" s="1302" t="s">
        <v>856</v>
      </c>
      <c r="B98" s="143">
        <f t="shared" si="59"/>
        <v>25520000</v>
      </c>
      <c r="C98" s="92" t="s">
        <v>36</v>
      </c>
      <c r="D98" s="92" t="s">
        <v>861</v>
      </c>
      <c r="E98" s="1303" t="s">
        <v>857</v>
      </c>
      <c r="F98" s="1303" t="s">
        <v>857</v>
      </c>
      <c r="G98" s="1980" t="s">
        <v>56</v>
      </c>
      <c r="H98" s="390" t="s">
        <v>1380</v>
      </c>
      <c r="I98" s="1989">
        <v>183</v>
      </c>
      <c r="J98" s="866">
        <v>0</v>
      </c>
      <c r="K98" s="1529"/>
      <c r="L98" s="1054">
        <v>70</v>
      </c>
      <c r="M98" s="628">
        <v>25520000</v>
      </c>
      <c r="N98" s="517">
        <v>81</v>
      </c>
      <c r="O98" s="163">
        <v>25520000</v>
      </c>
      <c r="P98" s="236">
        <v>82</v>
      </c>
      <c r="Q98" s="867"/>
      <c r="R98" s="153">
        <v>618667</v>
      </c>
      <c r="S98" s="153">
        <v>2320000</v>
      </c>
      <c r="T98" s="153">
        <f>VLOOKUP(N98,[7]Hoja2!N$132:T$199,7,0)</f>
        <v>2320000</v>
      </c>
      <c r="U98" s="153">
        <v>2320000</v>
      </c>
      <c r="V98" s="153">
        <v>2320000</v>
      </c>
      <c r="W98" s="153">
        <v>2320000</v>
      </c>
      <c r="X98" s="153">
        <v>2320000</v>
      </c>
      <c r="Y98" s="153">
        <v>2320000</v>
      </c>
      <c r="Z98" s="852"/>
      <c r="AA98" s="852"/>
      <c r="AB98" s="852"/>
      <c r="AC98" s="183">
        <f t="shared" si="65"/>
        <v>16858667</v>
      </c>
      <c r="AD98" s="406">
        <f t="shared" si="66"/>
        <v>8661333</v>
      </c>
      <c r="AF98" s="932">
        <v>183</v>
      </c>
      <c r="AG98" s="529" t="s">
        <v>380</v>
      </c>
      <c r="AH98" s="279" t="s">
        <v>703</v>
      </c>
      <c r="AI98" s="851">
        <f t="shared" si="62"/>
        <v>82</v>
      </c>
      <c r="AJ98" s="531">
        <v>25520000</v>
      </c>
      <c r="AK98" s="930">
        <f t="shared" si="63"/>
        <v>0</v>
      </c>
      <c r="AL98" s="872"/>
      <c r="AM98" s="314">
        <f t="shared" si="64"/>
        <v>0</v>
      </c>
    </row>
    <row r="99" spans="1:39" s="6" customFormat="1">
      <c r="A99" s="1302" t="s">
        <v>856</v>
      </c>
      <c r="B99" s="143">
        <f t="shared" si="59"/>
        <v>25520000</v>
      </c>
      <c r="C99" s="92" t="s">
        <v>36</v>
      </c>
      <c r="D99" s="92" t="s">
        <v>861</v>
      </c>
      <c r="E99" s="1303" t="s">
        <v>857</v>
      </c>
      <c r="F99" s="1303" t="s">
        <v>857</v>
      </c>
      <c r="G99" s="1980" t="s">
        <v>56</v>
      </c>
      <c r="H99" s="390" t="s">
        <v>1380</v>
      </c>
      <c r="I99" s="1989">
        <v>185</v>
      </c>
      <c r="J99" s="866">
        <v>0</v>
      </c>
      <c r="K99" s="1529"/>
      <c r="L99" s="1054">
        <v>71</v>
      </c>
      <c r="M99" s="628">
        <v>25520000</v>
      </c>
      <c r="N99" s="517">
        <v>103</v>
      </c>
      <c r="O99" s="163">
        <v>25520000</v>
      </c>
      <c r="P99" s="236">
        <v>63</v>
      </c>
      <c r="Q99" s="867"/>
      <c r="R99" s="153">
        <v>464000</v>
      </c>
      <c r="S99" s="153">
        <v>2320000</v>
      </c>
      <c r="T99" s="153">
        <f>VLOOKUP(N99,[7]Hoja2!N$132:T$199,7,0)</f>
        <v>2320000</v>
      </c>
      <c r="U99" s="153">
        <v>2320000</v>
      </c>
      <c r="V99" s="153">
        <v>2320000</v>
      </c>
      <c r="W99" s="153">
        <v>2320000</v>
      </c>
      <c r="X99" s="153">
        <v>2320000</v>
      </c>
      <c r="Y99" s="153">
        <v>2320000</v>
      </c>
      <c r="Z99" s="852"/>
      <c r="AA99" s="852"/>
      <c r="AB99" s="852"/>
      <c r="AC99" s="183">
        <f t="shared" si="65"/>
        <v>16704000</v>
      </c>
      <c r="AD99" s="406">
        <f t="shared" si="66"/>
        <v>8816000</v>
      </c>
      <c r="AF99" s="932">
        <v>185</v>
      </c>
      <c r="AG99" s="529" t="s">
        <v>380</v>
      </c>
      <c r="AH99" s="279" t="s">
        <v>704</v>
      </c>
      <c r="AI99" s="851">
        <f t="shared" si="62"/>
        <v>63</v>
      </c>
      <c r="AJ99" s="531">
        <v>25520000</v>
      </c>
      <c r="AK99" s="930">
        <f t="shared" si="63"/>
        <v>0</v>
      </c>
      <c r="AL99" s="872"/>
      <c r="AM99" s="314">
        <f t="shared" si="64"/>
        <v>0</v>
      </c>
    </row>
    <row r="100" spans="1:39" s="6" customFormat="1">
      <c r="A100" s="1302" t="s">
        <v>856</v>
      </c>
      <c r="B100" s="143">
        <f t="shared" si="59"/>
        <v>44333333</v>
      </c>
      <c r="C100" s="92" t="s">
        <v>36</v>
      </c>
      <c r="D100" s="92" t="s">
        <v>861</v>
      </c>
      <c r="E100" s="1303" t="s">
        <v>857</v>
      </c>
      <c r="F100" s="1303" t="s">
        <v>857</v>
      </c>
      <c r="G100" s="1980" t="s">
        <v>56</v>
      </c>
      <c r="H100" s="390" t="s">
        <v>1380</v>
      </c>
      <c r="I100" s="1413">
        <v>539</v>
      </c>
      <c r="J100" s="866"/>
      <c r="K100" s="1529"/>
      <c r="L100" s="1054">
        <v>566</v>
      </c>
      <c r="M100" s="628">
        <v>44333333</v>
      </c>
      <c r="N100" s="517">
        <v>638</v>
      </c>
      <c r="O100" s="628">
        <v>44333333</v>
      </c>
      <c r="P100" s="236">
        <v>388</v>
      </c>
      <c r="Q100" s="867"/>
      <c r="R100" s="153"/>
      <c r="S100" s="153"/>
      <c r="T100" s="153"/>
      <c r="U100" s="153"/>
      <c r="V100" s="1047"/>
      <c r="W100" s="153">
        <v>2566667</v>
      </c>
      <c r="X100" s="153">
        <v>7000000</v>
      </c>
      <c r="Y100" s="153">
        <v>7000000</v>
      </c>
      <c r="Z100" s="852"/>
      <c r="AA100" s="852"/>
      <c r="AB100" s="852"/>
      <c r="AC100" s="183">
        <f t="shared" si="65"/>
        <v>16566667</v>
      </c>
      <c r="AD100" s="406">
        <f t="shared" si="66"/>
        <v>27766666</v>
      </c>
      <c r="AF100" s="932">
        <v>539</v>
      </c>
      <c r="AG100" s="529" t="s">
        <v>1126</v>
      </c>
      <c r="AH100" s="279" t="s">
        <v>697</v>
      </c>
      <c r="AI100" s="851">
        <f t="shared" ref="AI100" si="67">P100</f>
        <v>388</v>
      </c>
      <c r="AJ100" s="531">
        <v>45500000</v>
      </c>
      <c r="AK100" s="930">
        <f t="shared" si="63"/>
        <v>1166667</v>
      </c>
      <c r="AL100" s="872"/>
      <c r="AM100" s="314">
        <f t="shared" si="64"/>
        <v>1166667</v>
      </c>
    </row>
    <row r="101" spans="1:39" s="6" customFormat="1">
      <c r="A101" s="1302" t="s">
        <v>856</v>
      </c>
      <c r="B101" s="143">
        <f t="shared" si="59"/>
        <v>0</v>
      </c>
      <c r="C101" s="92" t="s">
        <v>36</v>
      </c>
      <c r="D101" s="92" t="s">
        <v>861</v>
      </c>
      <c r="E101" s="1303" t="s">
        <v>857</v>
      </c>
      <c r="F101" s="1303" t="s">
        <v>857</v>
      </c>
      <c r="G101" s="1980" t="s">
        <v>56</v>
      </c>
      <c r="H101" s="390" t="s">
        <v>1380</v>
      </c>
      <c r="I101" s="1413" t="s">
        <v>178</v>
      </c>
      <c r="J101" s="866"/>
      <c r="K101" s="1529"/>
      <c r="L101" s="1054"/>
      <c r="M101" s="628"/>
      <c r="N101" s="517"/>
      <c r="O101" s="163"/>
      <c r="P101" s="236"/>
      <c r="Q101" s="867"/>
      <c r="R101" s="153"/>
      <c r="S101" s="153"/>
      <c r="T101" s="153"/>
      <c r="U101" s="153"/>
      <c r="V101" s="1047"/>
      <c r="W101" s="852"/>
      <c r="X101" s="852"/>
      <c r="Y101" s="852"/>
      <c r="Z101" s="852"/>
      <c r="AA101" s="852"/>
      <c r="AB101" s="852"/>
      <c r="AC101" s="183">
        <f t="shared" si="65"/>
        <v>0</v>
      </c>
      <c r="AD101" s="406">
        <f t="shared" si="66"/>
        <v>0</v>
      </c>
      <c r="AF101" s="932"/>
      <c r="AG101" s="529"/>
      <c r="AH101" s="279"/>
      <c r="AI101" s="851"/>
      <c r="AJ101" s="531"/>
      <c r="AK101" s="930">
        <f t="shared" si="63"/>
        <v>0</v>
      </c>
      <c r="AL101" s="872"/>
      <c r="AM101" s="314">
        <f t="shared" si="64"/>
        <v>0</v>
      </c>
    </row>
    <row r="102" spans="1:39" s="6" customFormat="1">
      <c r="A102" s="1302" t="s">
        <v>856</v>
      </c>
      <c r="B102" s="143">
        <f t="shared" si="59"/>
        <v>0</v>
      </c>
      <c r="C102" s="92" t="s">
        <v>36</v>
      </c>
      <c r="D102" s="92" t="s">
        <v>861</v>
      </c>
      <c r="E102" s="1303" t="s">
        <v>857</v>
      </c>
      <c r="F102" s="1303" t="s">
        <v>857</v>
      </c>
      <c r="G102" s="1980" t="s">
        <v>56</v>
      </c>
      <c r="H102" s="390" t="s">
        <v>1380</v>
      </c>
      <c r="I102" s="1413" t="s">
        <v>178</v>
      </c>
      <c r="J102" s="866"/>
      <c r="K102" s="1529"/>
      <c r="L102" s="1054"/>
      <c r="M102" s="628"/>
      <c r="N102" s="517"/>
      <c r="O102" s="163"/>
      <c r="P102" s="236"/>
      <c r="Q102" s="867"/>
      <c r="R102" s="153"/>
      <c r="S102" s="153"/>
      <c r="T102" s="153"/>
      <c r="U102" s="153"/>
      <c r="V102" s="1047"/>
      <c r="W102" s="852"/>
      <c r="X102" s="852"/>
      <c r="Y102" s="852"/>
      <c r="Z102" s="852"/>
      <c r="AA102" s="852"/>
      <c r="AB102" s="852"/>
      <c r="AC102" s="183">
        <f t="shared" si="65"/>
        <v>0</v>
      </c>
      <c r="AD102" s="406">
        <f t="shared" si="66"/>
        <v>0</v>
      </c>
      <c r="AF102" s="932"/>
      <c r="AG102" s="529"/>
      <c r="AH102" s="279"/>
      <c r="AI102" s="851"/>
      <c r="AJ102" s="531"/>
      <c r="AK102" s="930">
        <f t="shared" si="63"/>
        <v>0</v>
      </c>
      <c r="AL102" s="872"/>
      <c r="AM102" s="314">
        <f t="shared" si="64"/>
        <v>0</v>
      </c>
    </row>
    <row r="103" spans="1:39" s="6" customFormat="1">
      <c r="A103" s="1302" t="s">
        <v>856</v>
      </c>
      <c r="B103" s="143">
        <f t="shared" si="59"/>
        <v>0</v>
      </c>
      <c r="C103" s="92" t="s">
        <v>36</v>
      </c>
      <c r="D103" s="92" t="s">
        <v>861</v>
      </c>
      <c r="E103" s="1303" t="s">
        <v>857</v>
      </c>
      <c r="F103" s="1303" t="s">
        <v>857</v>
      </c>
      <c r="G103" s="1980" t="s">
        <v>56</v>
      </c>
      <c r="H103" s="390" t="s">
        <v>1380</v>
      </c>
      <c r="I103" s="1021" t="s">
        <v>178</v>
      </c>
      <c r="J103" s="866">
        <v>0</v>
      </c>
      <c r="K103" s="522"/>
      <c r="L103" s="282"/>
      <c r="M103" s="196"/>
      <c r="N103" s="282"/>
      <c r="O103" s="143"/>
      <c r="P103" s="245"/>
      <c r="Q103" s="241"/>
      <c r="R103" s="143"/>
      <c r="S103" s="153"/>
      <c r="T103" s="143"/>
      <c r="U103" s="143"/>
      <c r="V103" s="153"/>
      <c r="W103" s="153"/>
      <c r="X103" s="153"/>
      <c r="Y103" s="153"/>
      <c r="Z103" s="152"/>
      <c r="AA103" s="152"/>
      <c r="AB103" s="152"/>
      <c r="AC103" s="183">
        <f t="shared" si="65"/>
        <v>0</v>
      </c>
      <c r="AD103" s="406">
        <f t="shared" si="66"/>
        <v>0</v>
      </c>
      <c r="AF103" s="932" t="s">
        <v>349</v>
      </c>
      <c r="AG103" s="529" t="s">
        <v>1028</v>
      </c>
      <c r="AH103" s="279" t="s">
        <v>178</v>
      </c>
      <c r="AI103" s="851">
        <f t="shared" ref="AI103" si="68">P103</f>
        <v>0</v>
      </c>
      <c r="AJ103" s="531">
        <v>6533333</v>
      </c>
      <c r="AK103" s="930">
        <f t="shared" si="63"/>
        <v>6533333</v>
      </c>
      <c r="AL103" s="872"/>
      <c r="AM103" s="314">
        <f t="shared" si="64"/>
        <v>6533333</v>
      </c>
    </row>
    <row r="104" spans="1:39" s="8" customFormat="1">
      <c r="A104" s="168" t="s">
        <v>24</v>
      </c>
      <c r="B104" s="276">
        <f>B83-SUM(B84:B103)</f>
        <v>98239330</v>
      </c>
      <c r="C104" s="84"/>
      <c r="D104" s="84"/>
      <c r="E104" s="84"/>
      <c r="F104" s="84"/>
      <c r="G104" s="1951"/>
      <c r="H104" s="1957"/>
      <c r="I104" s="1006"/>
      <c r="J104" s="210"/>
      <c r="K104" s="1525"/>
      <c r="L104" s="101"/>
      <c r="M104" s="142">
        <f>SUM(M84:M103)</f>
        <v>469580670</v>
      </c>
      <c r="N104" s="101"/>
      <c r="O104" s="142">
        <f>SUM(O84:O103)</f>
        <v>467217336</v>
      </c>
      <c r="P104" s="244"/>
      <c r="Q104" s="142">
        <f>SUM(Q84:Q103)</f>
        <v>0</v>
      </c>
      <c r="R104" s="142">
        <f>SUM(R84:R103)</f>
        <v>10028667</v>
      </c>
      <c r="S104" s="142">
        <f>SUM(S84:S103)</f>
        <v>42220000</v>
      </c>
      <c r="T104" s="142">
        <f t="shared" ref="T104:AB104" si="69">SUM(T84:T103)</f>
        <v>42220000</v>
      </c>
      <c r="U104" s="142">
        <f>SUM(U84:U103)</f>
        <v>39509333</v>
      </c>
      <c r="V104" s="142">
        <f t="shared" si="69"/>
        <v>35817333</v>
      </c>
      <c r="W104" s="142">
        <f t="shared" si="69"/>
        <v>38146667</v>
      </c>
      <c r="X104" s="142">
        <f t="shared" si="69"/>
        <v>42580000</v>
      </c>
      <c r="Y104" s="142">
        <f t="shared" si="69"/>
        <v>42580000</v>
      </c>
      <c r="Z104" s="142">
        <f t="shared" si="69"/>
        <v>0</v>
      </c>
      <c r="AA104" s="142">
        <f t="shared" si="69"/>
        <v>0</v>
      </c>
      <c r="AB104" s="142">
        <f t="shared" si="69"/>
        <v>0</v>
      </c>
      <c r="AC104" s="142">
        <f>SUM(AC84:AC103)</f>
        <v>293102000</v>
      </c>
      <c r="AD104" s="142">
        <f>SUM(AD84:AD103)</f>
        <v>174115336</v>
      </c>
      <c r="AF104" s="907"/>
      <c r="AG104" s="14"/>
      <c r="AH104" s="14"/>
      <c r="AI104" s="101"/>
      <c r="AJ104" s="14">
        <f>SUM(AJ84:AJ103)</f>
        <v>567820000</v>
      </c>
      <c r="AK104" s="182">
        <f>SUM(AK84:AK103)</f>
        <v>100602664</v>
      </c>
      <c r="AL104" s="872">
        <f>B83-AJ104</f>
        <v>0</v>
      </c>
    </row>
    <row r="105" spans="1:39" s="6" customFormat="1" ht="34.5" customHeight="1">
      <c r="A105" s="787" t="s">
        <v>61</v>
      </c>
      <c r="B105" s="504">
        <f>B106+B176</f>
        <v>2479052000</v>
      </c>
      <c r="C105" s="621"/>
      <c r="D105" s="621"/>
      <c r="E105" s="621"/>
      <c r="F105" s="621"/>
      <c r="G105" s="1981"/>
      <c r="H105" s="2001"/>
      <c r="I105" s="1032"/>
      <c r="J105" s="1032"/>
      <c r="K105" s="1530"/>
      <c r="L105" s="1225"/>
      <c r="M105" s="1226"/>
      <c r="N105" s="1225"/>
      <c r="O105" s="1227"/>
      <c r="P105" s="1228"/>
      <c r="Q105" s="1229"/>
      <c r="R105" s="1227"/>
      <c r="S105" s="1227"/>
      <c r="T105" s="1227"/>
      <c r="U105" s="1227"/>
      <c r="V105" s="1227"/>
      <c r="W105" s="1227"/>
      <c r="X105" s="1227"/>
      <c r="Y105" s="1227"/>
      <c r="Z105" s="1227"/>
      <c r="AA105" s="1227"/>
      <c r="AB105" s="1227"/>
      <c r="AC105" s="1230"/>
      <c r="AD105" s="1231"/>
      <c r="AF105" s="1239"/>
      <c r="AG105" s="1240"/>
      <c r="AH105" s="1240"/>
      <c r="AI105" s="1241"/>
      <c r="AJ105" s="1242"/>
      <c r="AK105" s="1243"/>
      <c r="AL105" s="872"/>
    </row>
    <row r="106" spans="1:39" s="6" customFormat="1" ht="23.25" customHeight="1">
      <c r="A106" s="622" t="s">
        <v>61</v>
      </c>
      <c r="B106" s="505">
        <f>2470601000+6480000</f>
        <v>2477081000</v>
      </c>
      <c r="C106" s="1370" t="s">
        <v>36</v>
      </c>
      <c r="D106" s="1370" t="s">
        <v>861</v>
      </c>
      <c r="E106" s="1370" t="s">
        <v>857</v>
      </c>
      <c r="F106" s="1370" t="s">
        <v>857</v>
      </c>
      <c r="G106" s="1982" t="s">
        <v>56</v>
      </c>
      <c r="H106" s="2002" t="s">
        <v>1380</v>
      </c>
      <c r="I106" s="1033"/>
      <c r="J106" s="1032"/>
      <c r="K106" s="1530"/>
      <c r="L106" s="1232"/>
      <c r="M106" s="1233"/>
      <c r="N106" s="1232"/>
      <c r="O106" s="1234"/>
      <c r="P106" s="1235"/>
      <c r="Q106" s="1229"/>
      <c r="R106" s="1234"/>
      <c r="S106" s="1234"/>
      <c r="T106" s="1234"/>
      <c r="U106" s="1234"/>
      <c r="V106" s="1227"/>
      <c r="W106" s="1236"/>
      <c r="X106" s="1236"/>
      <c r="Y106" s="1236"/>
      <c r="Z106" s="1227"/>
      <c r="AA106" s="1227"/>
      <c r="AB106" s="1227"/>
      <c r="AC106" s="1237">
        <f>SUM(Q106:AB106)</f>
        <v>0</v>
      </c>
      <c r="AD106" s="1238">
        <f t="shared" ref="AD106:AD107" si="70">O106-AC106</f>
        <v>0</v>
      </c>
      <c r="AF106" s="1239"/>
      <c r="AG106" s="1240"/>
      <c r="AH106" s="1240"/>
      <c r="AI106" s="1241"/>
      <c r="AJ106" s="1242"/>
      <c r="AK106" s="1243"/>
      <c r="AL106" s="872"/>
    </row>
    <row r="107" spans="1:39" s="6" customFormat="1">
      <c r="A107" s="869" t="s">
        <v>61</v>
      </c>
      <c r="B107" s="143">
        <f t="shared" ref="B107:B174" si="71">M107</f>
        <v>68200000</v>
      </c>
      <c r="C107" s="93" t="s">
        <v>36</v>
      </c>
      <c r="D107" s="93" t="s">
        <v>861</v>
      </c>
      <c r="E107" s="93" t="s">
        <v>857</v>
      </c>
      <c r="F107" s="93" t="s">
        <v>857</v>
      </c>
      <c r="G107" s="1983" t="s">
        <v>56</v>
      </c>
      <c r="H107" s="2003" t="s">
        <v>1380</v>
      </c>
      <c r="I107" s="1990">
        <v>113</v>
      </c>
      <c r="J107" s="207">
        <v>0</v>
      </c>
      <c r="K107" s="522"/>
      <c r="L107" s="1054">
        <v>23</v>
      </c>
      <c r="M107" s="628">
        <v>68200000</v>
      </c>
      <c r="N107" s="517">
        <v>8</v>
      </c>
      <c r="O107" s="163">
        <v>68200000</v>
      </c>
      <c r="P107" s="236">
        <v>10</v>
      </c>
      <c r="Q107" s="241"/>
      <c r="R107" s="153">
        <v>3100000</v>
      </c>
      <c r="S107" s="153">
        <v>6200000</v>
      </c>
      <c r="T107" s="153">
        <f>VLOOKUP(N107,[7]Hoja2!N$132:T$199,7,0)</f>
        <v>6200000</v>
      </c>
      <c r="U107" s="153">
        <v>6200000</v>
      </c>
      <c r="V107" s="153">
        <v>6200000</v>
      </c>
      <c r="W107" s="153">
        <v>6200000</v>
      </c>
      <c r="X107" s="153">
        <v>6200000</v>
      </c>
      <c r="Y107" s="153">
        <v>6200000</v>
      </c>
      <c r="Z107" s="152"/>
      <c r="AA107" s="152"/>
      <c r="AB107" s="152"/>
      <c r="AC107" s="183">
        <f t="shared" ref="AC107" si="72">SUM(Q107:AB107)</f>
        <v>46500000</v>
      </c>
      <c r="AD107" s="406">
        <f t="shared" si="70"/>
        <v>21700000</v>
      </c>
      <c r="AF107" s="933">
        <v>113</v>
      </c>
      <c r="AG107" s="934" t="s">
        <v>381</v>
      </c>
      <c r="AH107" s="279" t="s">
        <v>705</v>
      </c>
      <c r="AI107" s="851">
        <f t="shared" ref="AI107:AI174" si="73">P107</f>
        <v>10</v>
      </c>
      <c r="AJ107" s="935">
        <v>68200000</v>
      </c>
      <c r="AK107" s="930">
        <f>AJ107-O107</f>
        <v>0</v>
      </c>
      <c r="AL107" s="872"/>
      <c r="AM107" s="314">
        <f t="shared" ref="AM107:AM174" si="74">AJ107-M107</f>
        <v>0</v>
      </c>
    </row>
    <row r="108" spans="1:39" s="6" customFormat="1">
      <c r="A108" s="869" t="s">
        <v>61</v>
      </c>
      <c r="B108" s="143">
        <f t="shared" si="71"/>
        <v>3070667</v>
      </c>
      <c r="C108" s="93" t="s">
        <v>36</v>
      </c>
      <c r="D108" s="93" t="s">
        <v>861</v>
      </c>
      <c r="E108" s="93" t="s">
        <v>857</v>
      </c>
      <c r="F108" s="93" t="s">
        <v>857</v>
      </c>
      <c r="G108" s="1983" t="s">
        <v>56</v>
      </c>
      <c r="H108" s="2003" t="s">
        <v>1380</v>
      </c>
      <c r="I108" s="1990">
        <v>114</v>
      </c>
      <c r="J108" s="207">
        <v>0</v>
      </c>
      <c r="K108" s="522"/>
      <c r="L108" s="1054">
        <v>83</v>
      </c>
      <c r="M108" s="628">
        <f>36190000-33119333</f>
        <v>3070667</v>
      </c>
      <c r="N108" s="517">
        <v>105</v>
      </c>
      <c r="O108" s="163">
        <f>36190000-33119333</f>
        <v>3070667</v>
      </c>
      <c r="P108" s="236">
        <v>69</v>
      </c>
      <c r="Q108" s="241"/>
      <c r="R108" s="153">
        <v>987000</v>
      </c>
      <c r="S108" s="153">
        <v>2083666</v>
      </c>
      <c r="T108" s="153"/>
      <c r="U108" s="153"/>
      <c r="V108" s="153"/>
      <c r="W108" s="153"/>
      <c r="X108" s="153"/>
      <c r="Y108" s="153"/>
      <c r="Z108" s="152"/>
      <c r="AA108" s="152"/>
      <c r="AB108" s="152"/>
      <c r="AC108" s="183">
        <f t="shared" ref="AC108:AC162" si="75">SUM(Q108:AB108)</f>
        <v>3070666</v>
      </c>
      <c r="AD108" s="406">
        <f t="shared" ref="AD108:AD162" si="76">O108-AC108</f>
        <v>1</v>
      </c>
      <c r="AF108" s="933">
        <v>114</v>
      </c>
      <c r="AG108" s="934" t="s">
        <v>382</v>
      </c>
      <c r="AH108" s="279" t="s">
        <v>706</v>
      </c>
      <c r="AI108" s="851">
        <f t="shared" si="73"/>
        <v>69</v>
      </c>
      <c r="AJ108" s="935">
        <f>36190000-33119333</f>
        <v>3070667</v>
      </c>
      <c r="AK108" s="930">
        <f t="shared" ref="AK108:AK174" si="77">AJ108-O108</f>
        <v>0</v>
      </c>
      <c r="AL108" s="872"/>
      <c r="AM108" s="314">
        <f t="shared" si="74"/>
        <v>0</v>
      </c>
    </row>
    <row r="109" spans="1:39" s="6" customFormat="1">
      <c r="A109" s="869" t="s">
        <v>61</v>
      </c>
      <c r="B109" s="143">
        <f t="shared" si="71"/>
        <v>0</v>
      </c>
      <c r="C109" s="93" t="s">
        <v>36</v>
      </c>
      <c r="D109" s="93" t="s">
        <v>861</v>
      </c>
      <c r="E109" s="93" t="s">
        <v>857</v>
      </c>
      <c r="F109" s="93" t="s">
        <v>857</v>
      </c>
      <c r="G109" s="1983" t="s">
        <v>56</v>
      </c>
      <c r="H109" s="2003" t="s">
        <v>1380</v>
      </c>
      <c r="I109" s="1990">
        <v>115</v>
      </c>
      <c r="J109" s="207">
        <v>0</v>
      </c>
      <c r="K109" s="522"/>
      <c r="L109" s="1054"/>
      <c r="M109" s="628"/>
      <c r="N109" s="282"/>
      <c r="O109" s="868"/>
      <c r="P109" s="245"/>
      <c r="Q109" s="241"/>
      <c r="R109" s="153"/>
      <c r="S109" s="153"/>
      <c r="T109" s="153"/>
      <c r="U109" s="153"/>
      <c r="V109" s="153"/>
      <c r="W109" s="153"/>
      <c r="X109" s="153"/>
      <c r="Y109" s="153"/>
      <c r="Z109" s="152"/>
      <c r="AA109" s="152"/>
      <c r="AB109" s="152"/>
      <c r="AC109" s="183">
        <f t="shared" si="75"/>
        <v>0</v>
      </c>
      <c r="AD109" s="406">
        <f t="shared" si="76"/>
        <v>0</v>
      </c>
      <c r="AF109" s="933">
        <v>115</v>
      </c>
      <c r="AG109" s="934" t="s">
        <v>383</v>
      </c>
      <c r="AH109" s="934" t="s">
        <v>178</v>
      </c>
      <c r="AI109" s="851">
        <f t="shared" si="73"/>
        <v>0</v>
      </c>
      <c r="AJ109" s="935">
        <f>94820000-8620000-86200000</f>
        <v>0</v>
      </c>
      <c r="AK109" s="930">
        <f t="shared" si="77"/>
        <v>0</v>
      </c>
      <c r="AL109" s="872"/>
      <c r="AM109" s="314">
        <f t="shared" si="74"/>
        <v>0</v>
      </c>
    </row>
    <row r="110" spans="1:39" s="6" customFormat="1">
      <c r="A110" s="869" t="s">
        <v>61</v>
      </c>
      <c r="B110" s="143">
        <f t="shared" si="71"/>
        <v>3440000</v>
      </c>
      <c r="C110" s="93" t="s">
        <v>36</v>
      </c>
      <c r="D110" s="93" t="s">
        <v>861</v>
      </c>
      <c r="E110" s="93" t="s">
        <v>857</v>
      </c>
      <c r="F110" s="93" t="s">
        <v>857</v>
      </c>
      <c r="G110" s="1983" t="s">
        <v>56</v>
      </c>
      <c r="H110" s="2003" t="s">
        <v>1380</v>
      </c>
      <c r="I110" s="1990">
        <v>116</v>
      </c>
      <c r="J110" s="207">
        <v>0</v>
      </c>
      <c r="K110" s="522"/>
      <c r="L110" s="1054">
        <v>324</v>
      </c>
      <c r="M110" s="628">
        <v>3440000</v>
      </c>
      <c r="N110" s="282">
        <v>330</v>
      </c>
      <c r="O110" s="868">
        <v>3440000</v>
      </c>
      <c r="P110" s="245">
        <v>275</v>
      </c>
      <c r="Q110" s="241"/>
      <c r="R110" s="153"/>
      <c r="S110" s="153">
        <v>172000</v>
      </c>
      <c r="T110" s="153">
        <f>VLOOKUP(N110,[7]Hoja2!N$132:T$199,7,0)</f>
        <v>1720000</v>
      </c>
      <c r="U110" s="153">
        <v>1548000</v>
      </c>
      <c r="V110" s="153"/>
      <c r="W110" s="153"/>
      <c r="X110" s="153"/>
      <c r="Y110" s="153"/>
      <c r="Z110" s="152"/>
      <c r="AA110" s="152"/>
      <c r="AB110" s="152"/>
      <c r="AC110" s="183">
        <f t="shared" si="75"/>
        <v>3440000</v>
      </c>
      <c r="AD110" s="406">
        <f t="shared" si="76"/>
        <v>0</v>
      </c>
      <c r="AF110" s="933">
        <v>116</v>
      </c>
      <c r="AG110" s="934" t="s">
        <v>384</v>
      </c>
      <c r="AH110" s="934" t="s">
        <v>816</v>
      </c>
      <c r="AI110" s="851">
        <f t="shared" si="73"/>
        <v>275</v>
      </c>
      <c r="AJ110" s="935">
        <f>6180000-2740000</f>
        <v>3440000</v>
      </c>
      <c r="AK110" s="930">
        <f t="shared" si="77"/>
        <v>0</v>
      </c>
      <c r="AL110" s="872"/>
      <c r="AM110" s="314">
        <f t="shared" si="74"/>
        <v>0</v>
      </c>
    </row>
    <row r="111" spans="1:39" s="6" customFormat="1">
      <c r="A111" s="869" t="s">
        <v>61</v>
      </c>
      <c r="B111" s="143">
        <f t="shared" si="71"/>
        <v>30000000</v>
      </c>
      <c r="C111" s="93" t="s">
        <v>36</v>
      </c>
      <c r="D111" s="93" t="s">
        <v>861</v>
      </c>
      <c r="E111" s="93" t="s">
        <v>857</v>
      </c>
      <c r="F111" s="93" t="s">
        <v>857</v>
      </c>
      <c r="G111" s="1983" t="s">
        <v>56</v>
      </c>
      <c r="H111" s="2003" t="s">
        <v>1380</v>
      </c>
      <c r="I111" s="1990">
        <v>446</v>
      </c>
      <c r="J111" s="207">
        <v>0</v>
      </c>
      <c r="K111" s="522"/>
      <c r="L111" s="1054">
        <v>478</v>
      </c>
      <c r="M111" s="628">
        <v>30000000</v>
      </c>
      <c r="N111" s="282">
        <v>499</v>
      </c>
      <c r="O111" s="868">
        <v>30000000</v>
      </c>
      <c r="P111" s="245">
        <v>354</v>
      </c>
      <c r="Q111" s="241"/>
      <c r="R111" s="153"/>
      <c r="S111" s="153"/>
      <c r="T111" s="153"/>
      <c r="U111" s="153"/>
      <c r="V111" s="153">
        <v>2266667</v>
      </c>
      <c r="W111" s="153">
        <v>4000000</v>
      </c>
      <c r="X111" s="153">
        <f>2933333+1066667</f>
        <v>4000000</v>
      </c>
      <c r="Y111" s="153">
        <v>4000000</v>
      </c>
      <c r="Z111" s="152"/>
      <c r="AA111" s="152"/>
      <c r="AB111" s="152"/>
      <c r="AC111" s="183">
        <f t="shared" si="75"/>
        <v>14266667</v>
      </c>
      <c r="AD111" s="406">
        <f t="shared" si="76"/>
        <v>15733333</v>
      </c>
      <c r="AF111" s="933">
        <v>446</v>
      </c>
      <c r="AG111" s="934" t="s">
        <v>930</v>
      </c>
      <c r="AH111" s="934" t="s">
        <v>816</v>
      </c>
      <c r="AI111" s="851">
        <f t="shared" si="73"/>
        <v>354</v>
      </c>
      <c r="AJ111" s="935">
        <f>29600000+2740000-2340000</f>
        <v>30000000</v>
      </c>
      <c r="AK111" s="930">
        <f t="shared" si="77"/>
        <v>0</v>
      </c>
      <c r="AL111" s="872"/>
      <c r="AM111" s="314">
        <f t="shared" si="74"/>
        <v>0</v>
      </c>
    </row>
    <row r="112" spans="1:39" s="6" customFormat="1">
      <c r="A112" s="869" t="s">
        <v>61</v>
      </c>
      <c r="B112" s="143">
        <f t="shared" si="71"/>
        <v>60060000</v>
      </c>
      <c r="C112" s="93" t="s">
        <v>36</v>
      </c>
      <c r="D112" s="93" t="s">
        <v>861</v>
      </c>
      <c r="E112" s="93" t="s">
        <v>857</v>
      </c>
      <c r="F112" s="93" t="s">
        <v>857</v>
      </c>
      <c r="G112" s="1983" t="s">
        <v>56</v>
      </c>
      <c r="H112" s="2003" t="s">
        <v>1380</v>
      </c>
      <c r="I112" s="1990">
        <v>117</v>
      </c>
      <c r="J112" s="207">
        <v>0</v>
      </c>
      <c r="K112" s="522"/>
      <c r="L112" s="1054">
        <v>60</v>
      </c>
      <c r="M112" s="628">
        <v>60060000</v>
      </c>
      <c r="N112" s="517">
        <v>14</v>
      </c>
      <c r="O112" s="163">
        <v>60060000</v>
      </c>
      <c r="P112" s="236">
        <v>1</v>
      </c>
      <c r="Q112" s="241"/>
      <c r="R112" s="153">
        <v>2730000</v>
      </c>
      <c r="S112" s="153">
        <v>5460000</v>
      </c>
      <c r="T112" s="153">
        <f>VLOOKUP(N112,[7]Hoja2!N$132:T$199,7,0)</f>
        <v>5460000</v>
      </c>
      <c r="U112" s="153">
        <v>5460000</v>
      </c>
      <c r="V112" s="153">
        <v>5460000</v>
      </c>
      <c r="W112" s="153">
        <v>5460000</v>
      </c>
      <c r="X112" s="153">
        <v>5460000</v>
      </c>
      <c r="Y112" s="153">
        <v>5460000</v>
      </c>
      <c r="Z112" s="152"/>
      <c r="AA112" s="152"/>
      <c r="AB112" s="152"/>
      <c r="AC112" s="183">
        <f t="shared" si="75"/>
        <v>40950000</v>
      </c>
      <c r="AD112" s="406">
        <f t="shared" si="76"/>
        <v>19110000</v>
      </c>
      <c r="AF112" s="933">
        <v>117</v>
      </c>
      <c r="AG112" s="934" t="s">
        <v>385</v>
      </c>
      <c r="AH112" s="279" t="s">
        <v>707</v>
      </c>
      <c r="AI112" s="851">
        <f t="shared" si="73"/>
        <v>1</v>
      </c>
      <c r="AJ112" s="935">
        <v>60060000</v>
      </c>
      <c r="AK112" s="930">
        <f t="shared" si="77"/>
        <v>0</v>
      </c>
      <c r="AL112" s="872"/>
      <c r="AM112" s="314">
        <f t="shared" si="74"/>
        <v>0</v>
      </c>
    </row>
    <row r="113" spans="1:39" s="6" customFormat="1">
      <c r="A113" s="869" t="s">
        <v>61</v>
      </c>
      <c r="B113" s="143">
        <f t="shared" si="71"/>
        <v>37000000</v>
      </c>
      <c r="C113" s="93" t="s">
        <v>36</v>
      </c>
      <c r="D113" s="93" t="s">
        <v>861</v>
      </c>
      <c r="E113" s="93" t="s">
        <v>857</v>
      </c>
      <c r="F113" s="93" t="s">
        <v>857</v>
      </c>
      <c r="G113" s="1983" t="s">
        <v>56</v>
      </c>
      <c r="H113" s="2003" t="s">
        <v>1380</v>
      </c>
      <c r="I113" s="1990">
        <v>118</v>
      </c>
      <c r="J113" s="207">
        <v>0</v>
      </c>
      <c r="K113" s="522"/>
      <c r="L113" s="1054">
        <v>226</v>
      </c>
      <c r="M113" s="628">
        <v>37000000</v>
      </c>
      <c r="N113" s="517">
        <v>207</v>
      </c>
      <c r="O113" s="163">
        <v>37000000</v>
      </c>
      <c r="P113" s="236">
        <v>167</v>
      </c>
      <c r="Q113" s="241"/>
      <c r="R113" s="153"/>
      <c r="S113" s="153">
        <v>3700000</v>
      </c>
      <c r="T113" s="153">
        <f>VLOOKUP(N113,[7]Hoja2!N$132:T$199,7,0)</f>
        <v>3700000</v>
      </c>
      <c r="U113" s="153">
        <v>3700000</v>
      </c>
      <c r="V113" s="153">
        <v>3700000</v>
      </c>
      <c r="W113" s="153">
        <v>3700000</v>
      </c>
      <c r="X113" s="153">
        <v>3700000</v>
      </c>
      <c r="Y113" s="153">
        <v>3700000</v>
      </c>
      <c r="Z113" s="152"/>
      <c r="AA113" s="152"/>
      <c r="AB113" s="152"/>
      <c r="AC113" s="183">
        <f t="shared" si="75"/>
        <v>25900000</v>
      </c>
      <c r="AD113" s="406">
        <f t="shared" si="76"/>
        <v>11100000</v>
      </c>
      <c r="AF113" s="933" t="s">
        <v>928</v>
      </c>
      <c r="AG113" s="934" t="s">
        <v>386</v>
      </c>
      <c r="AH113" s="279" t="s">
        <v>708</v>
      </c>
      <c r="AI113" s="851">
        <f t="shared" si="73"/>
        <v>167</v>
      </c>
      <c r="AJ113" s="935">
        <f>38280000-1280000</f>
        <v>37000000</v>
      </c>
      <c r="AK113" s="930">
        <f t="shared" si="77"/>
        <v>0</v>
      </c>
      <c r="AL113" s="872"/>
      <c r="AM113" s="314">
        <f t="shared" si="74"/>
        <v>0</v>
      </c>
    </row>
    <row r="114" spans="1:39" s="6" customFormat="1">
      <c r="A114" s="869" t="s">
        <v>61</v>
      </c>
      <c r="B114" s="143">
        <f t="shared" si="71"/>
        <v>74800000</v>
      </c>
      <c r="C114" s="93" t="s">
        <v>36</v>
      </c>
      <c r="D114" s="93" t="s">
        <v>861</v>
      </c>
      <c r="E114" s="93" t="s">
        <v>857</v>
      </c>
      <c r="F114" s="93" t="s">
        <v>857</v>
      </c>
      <c r="G114" s="1983" t="s">
        <v>56</v>
      </c>
      <c r="H114" s="2003" t="s">
        <v>1380</v>
      </c>
      <c r="I114" s="1990">
        <v>119</v>
      </c>
      <c r="J114" s="207">
        <v>0</v>
      </c>
      <c r="K114" s="522"/>
      <c r="L114" s="1054">
        <v>61</v>
      </c>
      <c r="M114" s="628">
        <v>74800000</v>
      </c>
      <c r="N114" s="517">
        <v>15</v>
      </c>
      <c r="O114" s="163">
        <v>74800000</v>
      </c>
      <c r="P114" s="236">
        <v>4</v>
      </c>
      <c r="Q114" s="241"/>
      <c r="R114" s="153">
        <v>3400000</v>
      </c>
      <c r="S114" s="153">
        <v>6800000</v>
      </c>
      <c r="T114" s="153">
        <f>VLOOKUP(N114,[7]Hoja2!N$132:T$199,7,0)</f>
        <v>6800000</v>
      </c>
      <c r="U114" s="153">
        <v>6800000</v>
      </c>
      <c r="V114" s="153">
        <v>6800000</v>
      </c>
      <c r="W114" s="153">
        <v>6800000</v>
      </c>
      <c r="X114" s="153">
        <v>6800000</v>
      </c>
      <c r="Y114" s="153">
        <v>6800000</v>
      </c>
      <c r="Z114" s="152"/>
      <c r="AA114" s="152"/>
      <c r="AB114" s="152"/>
      <c r="AC114" s="183">
        <f t="shared" si="75"/>
        <v>51000000</v>
      </c>
      <c r="AD114" s="406">
        <f t="shared" si="76"/>
        <v>23800000</v>
      </c>
      <c r="AF114" s="933">
        <v>119</v>
      </c>
      <c r="AG114" s="934" t="s">
        <v>387</v>
      </c>
      <c r="AH114" s="279" t="s">
        <v>709</v>
      </c>
      <c r="AI114" s="851">
        <f t="shared" si="73"/>
        <v>4</v>
      </c>
      <c r="AJ114" s="935">
        <v>74800000</v>
      </c>
      <c r="AK114" s="930">
        <f t="shared" si="77"/>
        <v>0</v>
      </c>
      <c r="AL114" s="872"/>
      <c r="AM114" s="314">
        <f t="shared" si="74"/>
        <v>0</v>
      </c>
    </row>
    <row r="115" spans="1:39" s="6" customFormat="1">
      <c r="A115" s="869" t="s">
        <v>61</v>
      </c>
      <c r="B115" s="143">
        <f t="shared" si="71"/>
        <v>40700000</v>
      </c>
      <c r="C115" s="93" t="s">
        <v>36</v>
      </c>
      <c r="D115" s="93" t="s">
        <v>861</v>
      </c>
      <c r="E115" s="93" t="s">
        <v>857</v>
      </c>
      <c r="F115" s="93" t="s">
        <v>857</v>
      </c>
      <c r="G115" s="1983" t="s">
        <v>56</v>
      </c>
      <c r="H115" s="2003" t="s">
        <v>1380</v>
      </c>
      <c r="I115" s="1990">
        <v>124</v>
      </c>
      <c r="J115" s="207">
        <v>0</v>
      </c>
      <c r="K115" s="522"/>
      <c r="L115" s="1054">
        <v>238</v>
      </c>
      <c r="M115" s="628">
        <v>40700000</v>
      </c>
      <c r="N115" s="517">
        <v>205</v>
      </c>
      <c r="O115" s="163">
        <v>40700000</v>
      </c>
      <c r="P115" s="236">
        <v>193</v>
      </c>
      <c r="Q115" s="241"/>
      <c r="R115" s="153"/>
      <c r="S115" s="153">
        <v>3700000</v>
      </c>
      <c r="T115" s="153">
        <f>VLOOKUP(N115,[7]Hoja2!N$132:T$199,7,0)</f>
        <v>3700000</v>
      </c>
      <c r="U115" s="153">
        <v>3700000</v>
      </c>
      <c r="V115" s="153">
        <v>3700000</v>
      </c>
      <c r="W115" s="153">
        <v>3700000</v>
      </c>
      <c r="X115" s="153">
        <v>3700000</v>
      </c>
      <c r="Y115" s="153">
        <v>3700000</v>
      </c>
      <c r="Z115" s="152"/>
      <c r="AA115" s="152"/>
      <c r="AB115" s="152"/>
      <c r="AC115" s="183">
        <f t="shared" si="75"/>
        <v>25900000</v>
      </c>
      <c r="AD115" s="406">
        <f t="shared" si="76"/>
        <v>14800000</v>
      </c>
      <c r="AF115" s="933">
        <v>124</v>
      </c>
      <c r="AG115" s="934" t="s">
        <v>388</v>
      </c>
      <c r="AH115" s="279" t="s">
        <v>710</v>
      </c>
      <c r="AI115" s="851">
        <f t="shared" si="73"/>
        <v>193</v>
      </c>
      <c r="AJ115" s="935">
        <v>40700000</v>
      </c>
      <c r="AK115" s="930">
        <f t="shared" si="77"/>
        <v>0</v>
      </c>
      <c r="AL115" s="872"/>
      <c r="AM115" s="314">
        <f t="shared" si="74"/>
        <v>0</v>
      </c>
    </row>
    <row r="116" spans="1:39" s="6" customFormat="1">
      <c r="A116" s="869" t="s">
        <v>61</v>
      </c>
      <c r="B116" s="143">
        <f t="shared" si="71"/>
        <v>29480000</v>
      </c>
      <c r="C116" s="93" t="s">
        <v>36</v>
      </c>
      <c r="D116" s="93" t="s">
        <v>861</v>
      </c>
      <c r="E116" s="93" t="s">
        <v>857</v>
      </c>
      <c r="F116" s="93" t="s">
        <v>857</v>
      </c>
      <c r="G116" s="1983" t="s">
        <v>56</v>
      </c>
      <c r="H116" s="2003" t="s">
        <v>1380</v>
      </c>
      <c r="I116" s="1990">
        <v>128</v>
      </c>
      <c r="J116" s="207">
        <v>0</v>
      </c>
      <c r="K116" s="522"/>
      <c r="L116" s="1054">
        <v>142</v>
      </c>
      <c r="M116" s="628">
        <v>29480000</v>
      </c>
      <c r="N116" s="517">
        <v>96</v>
      </c>
      <c r="O116" s="163">
        <v>29480000</v>
      </c>
      <c r="P116" s="236">
        <v>132</v>
      </c>
      <c r="Q116" s="241"/>
      <c r="R116" s="153">
        <v>625331</v>
      </c>
      <c r="S116" s="153">
        <v>2680000</v>
      </c>
      <c r="T116" s="153">
        <f>VLOOKUP(N116,[7]Hoja2!N$132:T$199,7,0)</f>
        <v>2680000</v>
      </c>
      <c r="U116" s="153">
        <v>2680000</v>
      </c>
      <c r="V116" s="153">
        <v>2680000</v>
      </c>
      <c r="W116" s="153">
        <v>2680000</v>
      </c>
      <c r="X116" s="153">
        <v>2680000</v>
      </c>
      <c r="Y116" s="153">
        <v>2680000</v>
      </c>
      <c r="Z116" s="152"/>
      <c r="AA116" s="152"/>
      <c r="AB116" s="152"/>
      <c r="AC116" s="183">
        <f t="shared" si="75"/>
        <v>19385331</v>
      </c>
      <c r="AD116" s="406">
        <f t="shared" si="76"/>
        <v>10094669</v>
      </c>
      <c r="AF116" s="933">
        <v>128</v>
      </c>
      <c r="AG116" s="934" t="s">
        <v>389</v>
      </c>
      <c r="AH116" s="279" t="s">
        <v>711</v>
      </c>
      <c r="AI116" s="851">
        <f t="shared" si="73"/>
        <v>132</v>
      </c>
      <c r="AJ116" s="935">
        <v>29480000</v>
      </c>
      <c r="AK116" s="930">
        <f t="shared" si="77"/>
        <v>0</v>
      </c>
      <c r="AL116" s="872"/>
      <c r="AM116" s="314">
        <f t="shared" si="74"/>
        <v>0</v>
      </c>
    </row>
    <row r="117" spans="1:39" s="6" customFormat="1">
      <c r="A117" s="869" t="s">
        <v>61</v>
      </c>
      <c r="B117" s="143">
        <f t="shared" si="71"/>
        <v>56650000</v>
      </c>
      <c r="C117" s="93" t="s">
        <v>36</v>
      </c>
      <c r="D117" s="93" t="s">
        <v>861</v>
      </c>
      <c r="E117" s="93" t="s">
        <v>857</v>
      </c>
      <c r="F117" s="93" t="s">
        <v>857</v>
      </c>
      <c r="G117" s="1983" t="s">
        <v>56</v>
      </c>
      <c r="H117" s="2003" t="s">
        <v>1380</v>
      </c>
      <c r="I117" s="1990">
        <v>140</v>
      </c>
      <c r="J117" s="207">
        <v>0</v>
      </c>
      <c r="K117" s="522"/>
      <c r="L117" s="1054">
        <v>143</v>
      </c>
      <c r="M117" s="628">
        <v>56650000</v>
      </c>
      <c r="N117" s="517">
        <v>152</v>
      </c>
      <c r="O117" s="163">
        <v>56650000</v>
      </c>
      <c r="P117" s="236">
        <v>136</v>
      </c>
      <c r="Q117" s="241"/>
      <c r="R117" s="153">
        <v>1030000</v>
      </c>
      <c r="S117" s="153">
        <v>5150000</v>
      </c>
      <c r="T117" s="153">
        <f>VLOOKUP(N117,[7]Hoja2!N$132:T$199,7,0)</f>
        <v>5150000</v>
      </c>
      <c r="U117" s="153">
        <v>5150000</v>
      </c>
      <c r="V117" s="153">
        <v>5150000</v>
      </c>
      <c r="W117" s="153">
        <v>5150000</v>
      </c>
      <c r="X117" s="153">
        <v>5150000</v>
      </c>
      <c r="Y117" s="153">
        <v>5150000</v>
      </c>
      <c r="Z117" s="152"/>
      <c r="AA117" s="152"/>
      <c r="AB117" s="152"/>
      <c r="AC117" s="183">
        <f t="shared" si="75"/>
        <v>37080000</v>
      </c>
      <c r="AD117" s="406">
        <f t="shared" si="76"/>
        <v>19570000</v>
      </c>
      <c r="AF117" s="933">
        <v>140</v>
      </c>
      <c r="AG117" s="934" t="s">
        <v>390</v>
      </c>
      <c r="AH117" s="279" t="s">
        <v>712</v>
      </c>
      <c r="AI117" s="851">
        <f t="shared" si="73"/>
        <v>136</v>
      </c>
      <c r="AJ117" s="935">
        <v>56650000</v>
      </c>
      <c r="AK117" s="930">
        <f t="shared" si="77"/>
        <v>0</v>
      </c>
      <c r="AL117" s="872"/>
      <c r="AM117" s="314">
        <f t="shared" si="74"/>
        <v>0</v>
      </c>
    </row>
    <row r="118" spans="1:39" s="6" customFormat="1">
      <c r="A118" s="869" t="s">
        <v>61</v>
      </c>
      <c r="B118" s="143">
        <f t="shared" si="71"/>
        <v>28466666</v>
      </c>
      <c r="C118" s="93" t="s">
        <v>36</v>
      </c>
      <c r="D118" s="93" t="s">
        <v>861</v>
      </c>
      <c r="E118" s="93" t="s">
        <v>857</v>
      </c>
      <c r="F118" s="93" t="s">
        <v>857</v>
      </c>
      <c r="G118" s="1983" t="s">
        <v>56</v>
      </c>
      <c r="H118" s="2003" t="s">
        <v>1380</v>
      </c>
      <c r="I118" s="1990">
        <v>141</v>
      </c>
      <c r="J118" s="207">
        <v>0</v>
      </c>
      <c r="K118" s="522"/>
      <c r="L118" s="1054">
        <v>166</v>
      </c>
      <c r="M118" s="628">
        <f>70000000-41533334</f>
        <v>28466666</v>
      </c>
      <c r="N118" s="517">
        <v>160</v>
      </c>
      <c r="O118" s="163">
        <f>70000000-41533334</f>
        <v>28466666</v>
      </c>
      <c r="P118" s="236">
        <v>140</v>
      </c>
      <c r="Q118" s="241"/>
      <c r="R118" s="153"/>
      <c r="S118" s="153">
        <v>7466666</v>
      </c>
      <c r="T118" s="153">
        <f>VLOOKUP(N118,[7]Hoja2!N$132:T$199,7,0)</f>
        <v>7000000</v>
      </c>
      <c r="U118" s="153">
        <v>7000000</v>
      </c>
      <c r="V118" s="153"/>
      <c r="W118" s="153"/>
      <c r="X118" s="153">
        <v>7000000</v>
      </c>
      <c r="Y118" s="153"/>
      <c r="Z118" s="152"/>
      <c r="AA118" s="152"/>
      <c r="AB118" s="152"/>
      <c r="AC118" s="183">
        <f t="shared" si="75"/>
        <v>28466666</v>
      </c>
      <c r="AD118" s="406">
        <f t="shared" si="76"/>
        <v>0</v>
      </c>
      <c r="AF118" s="933">
        <v>141</v>
      </c>
      <c r="AG118" s="934" t="s">
        <v>391</v>
      </c>
      <c r="AH118" s="279" t="s">
        <v>713</v>
      </c>
      <c r="AI118" s="851">
        <f t="shared" si="73"/>
        <v>140</v>
      </c>
      <c r="AJ118" s="935">
        <f>71390000-42923334</f>
        <v>28466666</v>
      </c>
      <c r="AK118" s="930">
        <f t="shared" si="77"/>
        <v>0</v>
      </c>
      <c r="AL118" s="872"/>
      <c r="AM118" s="314">
        <f t="shared" si="74"/>
        <v>0</v>
      </c>
    </row>
    <row r="119" spans="1:39" s="6" customFormat="1">
      <c r="A119" s="869" t="s">
        <v>61</v>
      </c>
      <c r="B119" s="143">
        <f t="shared" si="71"/>
        <v>600000</v>
      </c>
      <c r="C119" s="93" t="s">
        <v>36</v>
      </c>
      <c r="D119" s="93" t="s">
        <v>861</v>
      </c>
      <c r="E119" s="93" t="s">
        <v>857</v>
      </c>
      <c r="F119" s="93" t="s">
        <v>857</v>
      </c>
      <c r="G119" s="1983" t="s">
        <v>56</v>
      </c>
      <c r="H119" s="2003" t="s">
        <v>1380</v>
      </c>
      <c r="I119" s="1990" t="s">
        <v>178</v>
      </c>
      <c r="J119" s="207"/>
      <c r="K119" s="522"/>
      <c r="L119" s="1054">
        <v>467</v>
      </c>
      <c r="M119" s="628">
        <f>7000000-6400000</f>
        <v>600000</v>
      </c>
      <c r="N119" s="517">
        <v>471</v>
      </c>
      <c r="O119" s="163">
        <f>7000000-6400000</f>
        <v>600000</v>
      </c>
      <c r="P119" s="236">
        <v>140</v>
      </c>
      <c r="Q119" s="241"/>
      <c r="R119" s="153"/>
      <c r="S119" s="153"/>
      <c r="T119" s="153"/>
      <c r="U119" s="153"/>
      <c r="V119" s="153"/>
      <c r="W119" s="153"/>
      <c r="X119" s="153">
        <v>600000</v>
      </c>
      <c r="Y119" s="153"/>
      <c r="Z119" s="152"/>
      <c r="AA119" s="152"/>
      <c r="AB119" s="152"/>
      <c r="AC119" s="183">
        <f t="shared" si="75"/>
        <v>600000</v>
      </c>
      <c r="AD119" s="406">
        <f t="shared" si="76"/>
        <v>0</v>
      </c>
      <c r="AF119" s="933" t="s">
        <v>349</v>
      </c>
      <c r="AG119" s="934" t="s">
        <v>927</v>
      </c>
      <c r="AH119" s="279" t="s">
        <v>713</v>
      </c>
      <c r="AI119" s="851">
        <f t="shared" si="73"/>
        <v>140</v>
      </c>
      <c r="AJ119" s="935">
        <f>8000000-7400000</f>
        <v>600000</v>
      </c>
      <c r="AK119" s="930">
        <f t="shared" si="77"/>
        <v>0</v>
      </c>
      <c r="AL119" s="872"/>
      <c r="AM119" s="314">
        <f t="shared" si="74"/>
        <v>0</v>
      </c>
    </row>
    <row r="120" spans="1:39" s="6" customFormat="1">
      <c r="A120" s="869" t="s">
        <v>61</v>
      </c>
      <c r="B120" s="143">
        <f t="shared" si="71"/>
        <v>33990000</v>
      </c>
      <c r="C120" s="93" t="s">
        <v>36</v>
      </c>
      <c r="D120" s="93" t="s">
        <v>861</v>
      </c>
      <c r="E120" s="93" t="s">
        <v>857</v>
      </c>
      <c r="F120" s="93" t="s">
        <v>857</v>
      </c>
      <c r="G120" s="1983" t="s">
        <v>56</v>
      </c>
      <c r="H120" s="2003" t="s">
        <v>1380</v>
      </c>
      <c r="I120" s="1990">
        <v>142</v>
      </c>
      <c r="J120" s="207">
        <v>0</v>
      </c>
      <c r="K120" s="522"/>
      <c r="L120" s="1054">
        <v>55</v>
      </c>
      <c r="M120" s="628">
        <v>33990000</v>
      </c>
      <c r="N120" s="517">
        <v>32</v>
      </c>
      <c r="O120" s="163">
        <v>33990000</v>
      </c>
      <c r="P120" s="236">
        <v>28</v>
      </c>
      <c r="Q120" s="241"/>
      <c r="R120" s="153">
        <v>1339000</v>
      </c>
      <c r="S120" s="153">
        <f>2575000+513636</f>
        <v>3088636</v>
      </c>
      <c r="T120" s="153">
        <f>VLOOKUP(N120,[7]Hoja2!N$132:T$199,7,0)</f>
        <v>3090000</v>
      </c>
      <c r="U120" s="153"/>
      <c r="V120" s="153">
        <v>3090000</v>
      </c>
      <c r="W120" s="153">
        <v>3090000</v>
      </c>
      <c r="X120" s="153">
        <v>3090000</v>
      </c>
      <c r="Y120" s="153">
        <f>3090000+3090000</f>
        <v>6180000</v>
      </c>
      <c r="Z120" s="152"/>
      <c r="AA120" s="152"/>
      <c r="AB120" s="152"/>
      <c r="AC120" s="183">
        <f t="shared" si="75"/>
        <v>22967636</v>
      </c>
      <c r="AD120" s="406">
        <f t="shared" si="76"/>
        <v>11022364</v>
      </c>
      <c r="AF120" s="933">
        <v>142</v>
      </c>
      <c r="AG120" s="934" t="s">
        <v>392</v>
      </c>
      <c r="AH120" s="279" t="s">
        <v>714</v>
      </c>
      <c r="AI120" s="851">
        <f t="shared" si="73"/>
        <v>28</v>
      </c>
      <c r="AJ120" s="935">
        <v>33990000</v>
      </c>
      <c r="AK120" s="930">
        <f t="shared" si="77"/>
        <v>0</v>
      </c>
      <c r="AL120" s="872"/>
      <c r="AM120" s="314">
        <f t="shared" si="74"/>
        <v>0</v>
      </c>
    </row>
    <row r="121" spans="1:39" s="6" customFormat="1">
      <c r="A121" s="869" t="s">
        <v>61</v>
      </c>
      <c r="B121" s="143">
        <f t="shared" si="71"/>
        <v>60060000</v>
      </c>
      <c r="C121" s="93" t="s">
        <v>36</v>
      </c>
      <c r="D121" s="93" t="s">
        <v>861</v>
      </c>
      <c r="E121" s="93" t="s">
        <v>857</v>
      </c>
      <c r="F121" s="93" t="s">
        <v>857</v>
      </c>
      <c r="G121" s="1983" t="s">
        <v>56</v>
      </c>
      <c r="H121" s="2003" t="s">
        <v>1380</v>
      </c>
      <c r="I121" s="1990">
        <v>144</v>
      </c>
      <c r="J121" s="207">
        <v>0</v>
      </c>
      <c r="K121" s="522"/>
      <c r="L121" s="1054">
        <v>84</v>
      </c>
      <c r="M121" s="628">
        <v>60060000</v>
      </c>
      <c r="N121" s="517">
        <v>53</v>
      </c>
      <c r="O121" s="163">
        <v>60060000</v>
      </c>
      <c r="P121" s="236">
        <v>58</v>
      </c>
      <c r="Q121" s="241"/>
      <c r="R121" s="153">
        <v>2366000</v>
      </c>
      <c r="S121" s="153">
        <v>5460000</v>
      </c>
      <c r="T121" s="153">
        <f>VLOOKUP(N121,[7]Hoja2!N$132:T$199,7,0)</f>
        <v>5460000</v>
      </c>
      <c r="U121" s="153">
        <v>5460000</v>
      </c>
      <c r="V121" s="153">
        <v>5460000</v>
      </c>
      <c r="W121" s="153">
        <v>5460000</v>
      </c>
      <c r="X121" s="153">
        <v>5460000</v>
      </c>
      <c r="Y121" s="153">
        <v>5460000</v>
      </c>
      <c r="Z121" s="152"/>
      <c r="AA121" s="152"/>
      <c r="AB121" s="152"/>
      <c r="AC121" s="183">
        <f t="shared" si="75"/>
        <v>40586000</v>
      </c>
      <c r="AD121" s="406">
        <f t="shared" si="76"/>
        <v>19474000</v>
      </c>
      <c r="AF121" s="933">
        <v>144</v>
      </c>
      <c r="AG121" s="934" t="s">
        <v>393</v>
      </c>
      <c r="AH121" s="279" t="s">
        <v>715</v>
      </c>
      <c r="AI121" s="851">
        <f t="shared" si="73"/>
        <v>58</v>
      </c>
      <c r="AJ121" s="935">
        <v>60060000</v>
      </c>
      <c r="AK121" s="930">
        <f t="shared" si="77"/>
        <v>0</v>
      </c>
      <c r="AL121" s="872"/>
      <c r="AM121" s="314">
        <f t="shared" si="74"/>
        <v>0</v>
      </c>
    </row>
    <row r="122" spans="1:39" s="6" customFormat="1">
      <c r="A122" s="869" t="s">
        <v>61</v>
      </c>
      <c r="B122" s="143">
        <f t="shared" si="71"/>
        <v>55000000</v>
      </c>
      <c r="C122" s="93" t="s">
        <v>36</v>
      </c>
      <c r="D122" s="93" t="s">
        <v>861</v>
      </c>
      <c r="E122" s="93" t="s">
        <v>857</v>
      </c>
      <c r="F122" s="93" t="s">
        <v>857</v>
      </c>
      <c r="G122" s="1983" t="s">
        <v>56</v>
      </c>
      <c r="H122" s="2003" t="s">
        <v>1380</v>
      </c>
      <c r="I122" s="1990">
        <v>145</v>
      </c>
      <c r="J122" s="207">
        <v>0</v>
      </c>
      <c r="K122" s="522"/>
      <c r="L122" s="1054">
        <v>216</v>
      </c>
      <c r="M122" s="628">
        <f>60060000-5060000</f>
        <v>55000000</v>
      </c>
      <c r="N122" s="517">
        <v>212</v>
      </c>
      <c r="O122" s="154">
        <v>55000000</v>
      </c>
      <c r="P122" s="1058">
        <v>182</v>
      </c>
      <c r="Q122" s="241"/>
      <c r="R122" s="153"/>
      <c r="S122" s="153">
        <v>5500000</v>
      </c>
      <c r="T122" s="153"/>
      <c r="U122" s="153">
        <f>5500000+5500000</f>
        <v>11000000</v>
      </c>
      <c r="V122" s="153">
        <v>5500000</v>
      </c>
      <c r="W122" s="153">
        <v>5500000</v>
      </c>
      <c r="X122" s="153">
        <v>5500000</v>
      </c>
      <c r="Y122" s="153">
        <v>5500000</v>
      </c>
      <c r="Z122" s="152"/>
      <c r="AA122" s="152"/>
      <c r="AB122" s="152"/>
      <c r="AC122" s="183">
        <f t="shared" si="75"/>
        <v>38500000</v>
      </c>
      <c r="AD122" s="406">
        <f t="shared" si="76"/>
        <v>16500000</v>
      </c>
      <c r="AF122" s="933">
        <v>145</v>
      </c>
      <c r="AG122" s="934" t="s">
        <v>394</v>
      </c>
      <c r="AH122" s="886" t="s">
        <v>716</v>
      </c>
      <c r="AI122" s="851">
        <f t="shared" si="73"/>
        <v>182</v>
      </c>
      <c r="AJ122" s="935">
        <f>60060000-5060000</f>
        <v>55000000</v>
      </c>
      <c r="AK122" s="930">
        <f t="shared" si="77"/>
        <v>0</v>
      </c>
      <c r="AL122" s="872"/>
      <c r="AM122" s="314">
        <f t="shared" si="74"/>
        <v>0</v>
      </c>
    </row>
    <row r="123" spans="1:39" s="6" customFormat="1">
      <c r="A123" s="869" t="s">
        <v>61</v>
      </c>
      <c r="B123" s="143">
        <f t="shared" si="71"/>
        <v>25520000</v>
      </c>
      <c r="C123" s="93" t="s">
        <v>36</v>
      </c>
      <c r="D123" s="93" t="s">
        <v>861</v>
      </c>
      <c r="E123" s="93" t="s">
        <v>857</v>
      </c>
      <c r="F123" s="93" t="s">
        <v>857</v>
      </c>
      <c r="G123" s="1983" t="s">
        <v>56</v>
      </c>
      <c r="H123" s="2003" t="s">
        <v>1380</v>
      </c>
      <c r="I123" s="1990">
        <v>147</v>
      </c>
      <c r="J123" s="207">
        <v>0</v>
      </c>
      <c r="K123" s="522"/>
      <c r="L123" s="1054">
        <v>105</v>
      </c>
      <c r="M123" s="628">
        <v>25520000</v>
      </c>
      <c r="N123" s="517">
        <v>128</v>
      </c>
      <c r="O123" s="163">
        <v>25520000</v>
      </c>
      <c r="P123" s="236">
        <v>121</v>
      </c>
      <c r="Q123" s="241"/>
      <c r="R123" s="153">
        <v>618667</v>
      </c>
      <c r="S123" s="153">
        <v>2320000</v>
      </c>
      <c r="T123" s="153">
        <f>VLOOKUP(N123,[7]Hoja2!N$132:T$199,7,0)</f>
        <v>2320000</v>
      </c>
      <c r="U123" s="153">
        <v>2320000</v>
      </c>
      <c r="V123" s="153">
        <v>2320000</v>
      </c>
      <c r="W123" s="153">
        <v>2320000</v>
      </c>
      <c r="X123" s="153">
        <v>2320000</v>
      </c>
      <c r="Y123" s="153">
        <v>2320000</v>
      </c>
      <c r="Z123" s="152"/>
      <c r="AA123" s="152"/>
      <c r="AB123" s="152"/>
      <c r="AC123" s="183">
        <f t="shared" si="75"/>
        <v>16858667</v>
      </c>
      <c r="AD123" s="406">
        <f t="shared" si="76"/>
        <v>8661333</v>
      </c>
      <c r="AF123" s="933">
        <v>147</v>
      </c>
      <c r="AG123" s="934" t="s">
        <v>395</v>
      </c>
      <c r="AH123" s="279" t="s">
        <v>717</v>
      </c>
      <c r="AI123" s="851">
        <f t="shared" si="73"/>
        <v>121</v>
      </c>
      <c r="AJ123" s="935">
        <v>25542000</v>
      </c>
      <c r="AK123" s="930">
        <f t="shared" si="77"/>
        <v>22000</v>
      </c>
      <c r="AL123" s="872"/>
      <c r="AM123" s="314">
        <f t="shared" si="74"/>
        <v>22000</v>
      </c>
    </row>
    <row r="124" spans="1:39" s="6" customFormat="1">
      <c r="A124" s="869" t="s">
        <v>61</v>
      </c>
      <c r="B124" s="143">
        <f t="shared" si="71"/>
        <v>31570000</v>
      </c>
      <c r="C124" s="93" t="s">
        <v>36</v>
      </c>
      <c r="D124" s="93" t="s">
        <v>861</v>
      </c>
      <c r="E124" s="93" t="s">
        <v>857</v>
      </c>
      <c r="F124" s="93" t="s">
        <v>857</v>
      </c>
      <c r="G124" s="1983" t="s">
        <v>56</v>
      </c>
      <c r="H124" s="2003" t="s">
        <v>1380</v>
      </c>
      <c r="I124" s="1990">
        <v>148</v>
      </c>
      <c r="J124" s="207">
        <v>0</v>
      </c>
      <c r="K124" s="522"/>
      <c r="L124" s="1054">
        <v>86</v>
      </c>
      <c r="M124" s="628">
        <v>31570000</v>
      </c>
      <c r="N124" s="517">
        <v>33</v>
      </c>
      <c r="O124" s="163">
        <v>31570000</v>
      </c>
      <c r="P124" s="236">
        <v>33</v>
      </c>
      <c r="Q124" s="241"/>
      <c r="R124" s="153">
        <v>1243667</v>
      </c>
      <c r="S124" s="153">
        <v>2870000</v>
      </c>
      <c r="T124" s="153">
        <f>VLOOKUP(N124,[7]Hoja2!N$132:T$199,7,0)</f>
        <v>2870000</v>
      </c>
      <c r="U124" s="153">
        <v>2870000</v>
      </c>
      <c r="V124" s="153">
        <v>2870000</v>
      </c>
      <c r="W124" s="153">
        <v>2870000</v>
      </c>
      <c r="X124" s="153">
        <v>2870000</v>
      </c>
      <c r="Y124" s="153">
        <v>2870000</v>
      </c>
      <c r="Z124" s="152"/>
      <c r="AA124" s="152"/>
      <c r="AB124" s="152"/>
      <c r="AC124" s="183">
        <f t="shared" si="75"/>
        <v>21333667</v>
      </c>
      <c r="AD124" s="406">
        <f t="shared" si="76"/>
        <v>10236333</v>
      </c>
      <c r="AF124" s="933">
        <v>148</v>
      </c>
      <c r="AG124" s="934" t="s">
        <v>396</v>
      </c>
      <c r="AH124" s="279" t="s">
        <v>718</v>
      </c>
      <c r="AI124" s="851">
        <f t="shared" si="73"/>
        <v>33</v>
      </c>
      <c r="AJ124" s="935">
        <v>31570000</v>
      </c>
      <c r="AK124" s="930">
        <f t="shared" si="77"/>
        <v>0</v>
      </c>
      <c r="AL124" s="872"/>
      <c r="AM124" s="314">
        <f t="shared" si="74"/>
        <v>0</v>
      </c>
    </row>
    <row r="125" spans="1:39" s="6" customFormat="1">
      <c r="A125" s="869" t="s">
        <v>61</v>
      </c>
      <c r="B125" s="143">
        <f t="shared" si="71"/>
        <v>88330000</v>
      </c>
      <c r="C125" s="93" t="s">
        <v>36</v>
      </c>
      <c r="D125" s="93" t="s">
        <v>861</v>
      </c>
      <c r="E125" s="93" t="s">
        <v>857</v>
      </c>
      <c r="F125" s="93" t="s">
        <v>857</v>
      </c>
      <c r="G125" s="1983" t="s">
        <v>56</v>
      </c>
      <c r="H125" s="2003" t="s">
        <v>1380</v>
      </c>
      <c r="I125" s="1990">
        <v>149</v>
      </c>
      <c r="J125" s="207">
        <v>0</v>
      </c>
      <c r="K125" s="522"/>
      <c r="L125" s="1054">
        <v>144</v>
      </c>
      <c r="M125" s="628">
        <v>88330000</v>
      </c>
      <c r="N125" s="517">
        <v>93</v>
      </c>
      <c r="O125" s="163">
        <v>88330000</v>
      </c>
      <c r="P125" s="236">
        <v>109</v>
      </c>
      <c r="Q125" s="241"/>
      <c r="R125" s="153">
        <v>2141333</v>
      </c>
      <c r="S125" s="153">
        <v>8030000</v>
      </c>
      <c r="T125" s="153">
        <f>VLOOKUP(N125,[7]Hoja2!N$132:T$199,7,0)</f>
        <v>8030000</v>
      </c>
      <c r="U125" s="153">
        <v>8030000</v>
      </c>
      <c r="V125" s="153">
        <v>8030000</v>
      </c>
      <c r="W125" s="153">
        <v>8030000</v>
      </c>
      <c r="X125" s="153">
        <v>8030000</v>
      </c>
      <c r="Y125" s="153">
        <v>8030000</v>
      </c>
      <c r="Z125" s="152"/>
      <c r="AA125" s="152"/>
      <c r="AB125" s="152"/>
      <c r="AC125" s="183">
        <f t="shared" si="75"/>
        <v>58351333</v>
      </c>
      <c r="AD125" s="406">
        <f t="shared" si="76"/>
        <v>29978667</v>
      </c>
      <c r="AF125" s="933">
        <v>149</v>
      </c>
      <c r="AG125" s="934" t="s">
        <v>397</v>
      </c>
      <c r="AH125" s="279" t="s">
        <v>719</v>
      </c>
      <c r="AI125" s="851">
        <f t="shared" si="73"/>
        <v>109</v>
      </c>
      <c r="AJ125" s="935">
        <v>88330000</v>
      </c>
      <c r="AK125" s="930">
        <f t="shared" si="77"/>
        <v>0</v>
      </c>
      <c r="AL125" s="872"/>
      <c r="AM125" s="314">
        <f t="shared" si="74"/>
        <v>0</v>
      </c>
    </row>
    <row r="126" spans="1:39" s="6" customFormat="1">
      <c r="A126" s="869" t="s">
        <v>61</v>
      </c>
      <c r="B126" s="143">
        <f t="shared" si="71"/>
        <v>37000000</v>
      </c>
      <c r="C126" s="93" t="s">
        <v>36</v>
      </c>
      <c r="D126" s="93" t="s">
        <v>861</v>
      </c>
      <c r="E126" s="93" t="s">
        <v>857</v>
      </c>
      <c r="F126" s="93" t="s">
        <v>857</v>
      </c>
      <c r="G126" s="1983" t="s">
        <v>56</v>
      </c>
      <c r="H126" s="2003" t="s">
        <v>1380</v>
      </c>
      <c r="I126" s="1990">
        <v>150</v>
      </c>
      <c r="J126" s="207">
        <v>0</v>
      </c>
      <c r="K126" s="522"/>
      <c r="L126" s="1054">
        <v>267</v>
      </c>
      <c r="M126" s="628">
        <v>37000000</v>
      </c>
      <c r="N126" s="517">
        <v>267</v>
      </c>
      <c r="O126" s="154">
        <v>37000000</v>
      </c>
      <c r="P126" s="1058">
        <v>234</v>
      </c>
      <c r="Q126" s="241"/>
      <c r="R126" s="153"/>
      <c r="S126" s="153">
        <v>2466667</v>
      </c>
      <c r="T126" s="153">
        <f>VLOOKUP(N126,[7]Hoja2!N$132:T$199,7,0)</f>
        <v>3700000</v>
      </c>
      <c r="U126" s="153">
        <v>3700000</v>
      </c>
      <c r="V126" s="153">
        <v>3700000</v>
      </c>
      <c r="W126" s="153">
        <v>3700000</v>
      </c>
      <c r="X126" s="153">
        <v>3700000</v>
      </c>
      <c r="Y126" s="153">
        <v>3700000</v>
      </c>
      <c r="Z126" s="152"/>
      <c r="AA126" s="152"/>
      <c r="AB126" s="152"/>
      <c r="AC126" s="183">
        <f t="shared" si="75"/>
        <v>24666667</v>
      </c>
      <c r="AD126" s="406">
        <f t="shared" si="76"/>
        <v>12333333</v>
      </c>
      <c r="AF126" s="933">
        <v>150</v>
      </c>
      <c r="AG126" s="934" t="s">
        <v>398</v>
      </c>
      <c r="AH126" s="886" t="s">
        <v>720</v>
      </c>
      <c r="AI126" s="851">
        <f t="shared" si="73"/>
        <v>234</v>
      </c>
      <c r="AJ126" s="935">
        <f>38280000-1280000</f>
        <v>37000000</v>
      </c>
      <c r="AK126" s="930">
        <f t="shared" si="77"/>
        <v>0</v>
      </c>
      <c r="AL126" s="872"/>
      <c r="AM126" s="314">
        <f t="shared" si="74"/>
        <v>0</v>
      </c>
    </row>
    <row r="127" spans="1:39" s="6" customFormat="1">
      <c r="A127" s="869" t="s">
        <v>61</v>
      </c>
      <c r="B127" s="143">
        <f t="shared" si="71"/>
        <v>70000000</v>
      </c>
      <c r="C127" s="93" t="s">
        <v>36</v>
      </c>
      <c r="D127" s="93" t="s">
        <v>861</v>
      </c>
      <c r="E127" s="93" t="s">
        <v>857</v>
      </c>
      <c r="F127" s="93" t="s">
        <v>857</v>
      </c>
      <c r="G127" s="1983" t="s">
        <v>56</v>
      </c>
      <c r="H127" s="2003" t="s">
        <v>1380</v>
      </c>
      <c r="I127" s="1990">
        <v>152</v>
      </c>
      <c r="J127" s="207">
        <v>0</v>
      </c>
      <c r="K127" s="522"/>
      <c r="L127" s="1054">
        <v>57</v>
      </c>
      <c r="M127" s="628">
        <f>74800000-4800000</f>
        <v>70000000</v>
      </c>
      <c r="N127" s="517">
        <v>215</v>
      </c>
      <c r="O127" s="154">
        <v>70000000</v>
      </c>
      <c r="P127" s="1058">
        <v>186</v>
      </c>
      <c r="Q127" s="241"/>
      <c r="R127" s="153"/>
      <c r="S127" s="153">
        <v>6300000</v>
      </c>
      <c r="T127" s="153">
        <f>VLOOKUP(N127,[7]Hoja2!N$132:T$199,7,0)</f>
        <v>7000000</v>
      </c>
      <c r="U127" s="153">
        <f>3266667+3733333</f>
        <v>7000000</v>
      </c>
      <c r="V127" s="153">
        <v>7000000</v>
      </c>
      <c r="W127" s="153">
        <v>4200000</v>
      </c>
      <c r="X127" s="153">
        <v>6766667</v>
      </c>
      <c r="Y127" s="153">
        <v>7000000</v>
      </c>
      <c r="Z127" s="152"/>
      <c r="AA127" s="152"/>
      <c r="AB127" s="152"/>
      <c r="AC127" s="183">
        <f t="shared" si="75"/>
        <v>45266667</v>
      </c>
      <c r="AD127" s="406">
        <f t="shared" si="76"/>
        <v>24733333</v>
      </c>
      <c r="AF127" s="933" t="s">
        <v>929</v>
      </c>
      <c r="AG127" s="934" t="s">
        <v>399</v>
      </c>
      <c r="AH127" s="886" t="s">
        <v>721</v>
      </c>
      <c r="AI127" s="851">
        <f t="shared" si="73"/>
        <v>186</v>
      </c>
      <c r="AJ127" s="935">
        <f>74800000-4800000</f>
        <v>70000000</v>
      </c>
      <c r="AK127" s="930">
        <f t="shared" si="77"/>
        <v>0</v>
      </c>
      <c r="AL127" s="872"/>
      <c r="AM127" s="314">
        <f t="shared" si="74"/>
        <v>0</v>
      </c>
    </row>
    <row r="128" spans="1:39" s="6" customFormat="1">
      <c r="A128" s="869" t="s">
        <v>61</v>
      </c>
      <c r="B128" s="143">
        <f t="shared" si="71"/>
        <v>41030000</v>
      </c>
      <c r="C128" s="93" t="s">
        <v>36</v>
      </c>
      <c r="D128" s="93" t="s">
        <v>861</v>
      </c>
      <c r="E128" s="93" t="s">
        <v>857</v>
      </c>
      <c r="F128" s="93" t="s">
        <v>857</v>
      </c>
      <c r="G128" s="1983" t="s">
        <v>56</v>
      </c>
      <c r="H128" s="2003" t="s">
        <v>1380</v>
      </c>
      <c r="I128" s="1990">
        <v>153</v>
      </c>
      <c r="J128" s="207">
        <v>0</v>
      </c>
      <c r="K128" s="522"/>
      <c r="L128" s="1054">
        <v>28</v>
      </c>
      <c r="M128" s="628">
        <v>41030000</v>
      </c>
      <c r="N128" s="517">
        <v>6</v>
      </c>
      <c r="O128" s="163">
        <v>41030000</v>
      </c>
      <c r="P128" s="236">
        <v>6</v>
      </c>
      <c r="Q128" s="241"/>
      <c r="R128" s="153">
        <v>1865000</v>
      </c>
      <c r="S128" s="153">
        <v>3730000</v>
      </c>
      <c r="T128" s="153">
        <f>VLOOKUP(N128,[7]Hoja2!N$132:T$199,7,0)</f>
        <v>3730000</v>
      </c>
      <c r="U128" s="153">
        <v>3730000</v>
      </c>
      <c r="V128" s="153">
        <v>3730000</v>
      </c>
      <c r="W128" s="153">
        <v>3730000</v>
      </c>
      <c r="X128" s="153">
        <v>3730000</v>
      </c>
      <c r="Y128" s="153">
        <v>3730000</v>
      </c>
      <c r="Z128" s="152"/>
      <c r="AA128" s="152"/>
      <c r="AB128" s="152"/>
      <c r="AC128" s="183">
        <f t="shared" si="75"/>
        <v>27975000</v>
      </c>
      <c r="AD128" s="406">
        <f t="shared" si="76"/>
        <v>13055000</v>
      </c>
      <c r="AF128" s="933">
        <v>153</v>
      </c>
      <c r="AG128" s="934" t="s">
        <v>400</v>
      </c>
      <c r="AH128" s="279" t="s">
        <v>722</v>
      </c>
      <c r="AI128" s="851">
        <f t="shared" si="73"/>
        <v>6</v>
      </c>
      <c r="AJ128" s="935">
        <v>41030000</v>
      </c>
      <c r="AK128" s="930">
        <f t="shared" si="77"/>
        <v>0</v>
      </c>
      <c r="AL128" s="872"/>
      <c r="AM128" s="314">
        <f t="shared" si="74"/>
        <v>0</v>
      </c>
    </row>
    <row r="129" spans="1:39" s="6" customFormat="1">
      <c r="A129" s="869" t="s">
        <v>61</v>
      </c>
      <c r="B129" s="143">
        <f t="shared" si="71"/>
        <v>40700000</v>
      </c>
      <c r="C129" s="93" t="s">
        <v>36</v>
      </c>
      <c r="D129" s="93" t="s">
        <v>861</v>
      </c>
      <c r="E129" s="93" t="s">
        <v>857</v>
      </c>
      <c r="F129" s="93" t="s">
        <v>857</v>
      </c>
      <c r="G129" s="1983" t="s">
        <v>56</v>
      </c>
      <c r="H129" s="2003" t="s">
        <v>1380</v>
      </c>
      <c r="I129" s="1990">
        <v>154</v>
      </c>
      <c r="J129" s="207">
        <v>0</v>
      </c>
      <c r="K129" s="522"/>
      <c r="L129" s="1054">
        <v>24</v>
      </c>
      <c r="M129" s="628">
        <v>40700000</v>
      </c>
      <c r="N129" s="517">
        <v>7</v>
      </c>
      <c r="O129" s="163">
        <v>40700000</v>
      </c>
      <c r="P129" s="236">
        <v>7</v>
      </c>
      <c r="Q129" s="241"/>
      <c r="R129" s="153">
        <v>1850000</v>
      </c>
      <c r="S129" s="153">
        <v>3700000</v>
      </c>
      <c r="T129" s="153">
        <f>VLOOKUP(N129,[7]Hoja2!N$132:T$199,7,0)</f>
        <v>3700000</v>
      </c>
      <c r="U129" s="153">
        <v>3700000</v>
      </c>
      <c r="V129" s="153">
        <v>3700000</v>
      </c>
      <c r="W129" s="153">
        <v>3700000</v>
      </c>
      <c r="X129" s="153">
        <v>3700000</v>
      </c>
      <c r="Y129" s="153">
        <v>3700000</v>
      </c>
      <c r="Z129" s="152"/>
      <c r="AA129" s="152"/>
      <c r="AB129" s="152"/>
      <c r="AC129" s="183">
        <f t="shared" si="75"/>
        <v>27750000</v>
      </c>
      <c r="AD129" s="406">
        <f t="shared" si="76"/>
        <v>12950000</v>
      </c>
      <c r="AF129" s="933">
        <v>154</v>
      </c>
      <c r="AG129" s="934" t="s">
        <v>401</v>
      </c>
      <c r="AH129" s="279" t="s">
        <v>723</v>
      </c>
      <c r="AI129" s="851">
        <f t="shared" si="73"/>
        <v>7</v>
      </c>
      <c r="AJ129" s="935">
        <v>40700000</v>
      </c>
      <c r="AK129" s="930">
        <f t="shared" si="77"/>
        <v>0</v>
      </c>
      <c r="AL129" s="872"/>
      <c r="AM129" s="314">
        <f t="shared" si="74"/>
        <v>0</v>
      </c>
    </row>
    <row r="130" spans="1:39" s="6" customFormat="1">
      <c r="A130" s="869" t="s">
        <v>61</v>
      </c>
      <c r="B130" s="143">
        <f t="shared" si="71"/>
        <v>50000000</v>
      </c>
      <c r="C130" s="93" t="s">
        <v>36</v>
      </c>
      <c r="D130" s="93" t="s">
        <v>861</v>
      </c>
      <c r="E130" s="93" t="s">
        <v>857</v>
      </c>
      <c r="F130" s="93" t="s">
        <v>857</v>
      </c>
      <c r="G130" s="1983" t="s">
        <v>56</v>
      </c>
      <c r="H130" s="2003" t="s">
        <v>1380</v>
      </c>
      <c r="I130" s="1990">
        <v>155</v>
      </c>
      <c r="J130" s="207">
        <v>0</v>
      </c>
      <c r="K130" s="522"/>
      <c r="L130" s="1054">
        <v>314</v>
      </c>
      <c r="M130" s="628">
        <v>50000000</v>
      </c>
      <c r="N130" s="517">
        <v>323</v>
      </c>
      <c r="O130" s="868">
        <v>50000000</v>
      </c>
      <c r="P130" s="245">
        <v>273</v>
      </c>
      <c r="Q130" s="241"/>
      <c r="R130" s="153"/>
      <c r="S130" s="153"/>
      <c r="T130" s="153"/>
      <c r="U130" s="153"/>
      <c r="V130" s="153">
        <f>4500000+5000000</f>
        <v>9500000</v>
      </c>
      <c r="W130" s="153">
        <f>5000000+5000000</f>
        <v>10000000</v>
      </c>
      <c r="X130" s="153"/>
      <c r="Y130" s="153">
        <v>5000000</v>
      </c>
      <c r="Z130" s="152"/>
      <c r="AA130" s="152"/>
      <c r="AB130" s="152"/>
      <c r="AC130" s="183">
        <f t="shared" si="75"/>
        <v>24500000</v>
      </c>
      <c r="AD130" s="406">
        <f t="shared" si="76"/>
        <v>25500000</v>
      </c>
      <c r="AF130" s="933">
        <v>155</v>
      </c>
      <c r="AG130" s="934" t="s">
        <v>402</v>
      </c>
      <c r="AH130" s="934" t="s">
        <v>814</v>
      </c>
      <c r="AI130" s="851">
        <f t="shared" si="73"/>
        <v>273</v>
      </c>
      <c r="AJ130" s="935">
        <f>55000000-5000000</f>
        <v>50000000</v>
      </c>
      <c r="AK130" s="930">
        <f t="shared" si="77"/>
        <v>0</v>
      </c>
      <c r="AL130" s="872"/>
      <c r="AM130" s="314">
        <f t="shared" si="74"/>
        <v>0</v>
      </c>
    </row>
    <row r="131" spans="1:39" s="6" customFormat="1">
      <c r="A131" s="869" t="s">
        <v>61</v>
      </c>
      <c r="B131" s="143">
        <f t="shared" si="71"/>
        <v>55220000</v>
      </c>
      <c r="C131" s="93" t="s">
        <v>36</v>
      </c>
      <c r="D131" s="93" t="s">
        <v>861</v>
      </c>
      <c r="E131" s="93" t="s">
        <v>857</v>
      </c>
      <c r="F131" s="93" t="s">
        <v>857</v>
      </c>
      <c r="G131" s="1983" t="s">
        <v>56</v>
      </c>
      <c r="H131" s="2003" t="s">
        <v>1380</v>
      </c>
      <c r="I131" s="1990">
        <v>156</v>
      </c>
      <c r="J131" s="207">
        <v>0</v>
      </c>
      <c r="K131" s="522"/>
      <c r="L131" s="1054">
        <v>68</v>
      </c>
      <c r="M131" s="628">
        <v>55220000</v>
      </c>
      <c r="N131" s="517">
        <v>51</v>
      </c>
      <c r="O131" s="163">
        <v>55220000</v>
      </c>
      <c r="P131" s="236">
        <v>50</v>
      </c>
      <c r="Q131" s="241"/>
      <c r="R131" s="153">
        <v>2175333</v>
      </c>
      <c r="S131" s="153">
        <v>5020000</v>
      </c>
      <c r="T131" s="153">
        <f>VLOOKUP(N131,[7]Hoja2!N$132:T$199,7,0)</f>
        <v>5020000</v>
      </c>
      <c r="U131" s="153">
        <v>5020000</v>
      </c>
      <c r="V131" s="153">
        <v>5020000</v>
      </c>
      <c r="W131" s="153">
        <v>5020000</v>
      </c>
      <c r="X131" s="153">
        <v>5020000</v>
      </c>
      <c r="Y131" s="153">
        <v>5020000</v>
      </c>
      <c r="Z131" s="152"/>
      <c r="AA131" s="152"/>
      <c r="AB131" s="152"/>
      <c r="AC131" s="183">
        <f t="shared" si="75"/>
        <v>37315333</v>
      </c>
      <c r="AD131" s="406">
        <f t="shared" si="76"/>
        <v>17904667</v>
      </c>
      <c r="AF131" s="933">
        <v>156</v>
      </c>
      <c r="AG131" s="934" t="s">
        <v>403</v>
      </c>
      <c r="AH131" s="279" t="s">
        <v>724</v>
      </c>
      <c r="AI131" s="851">
        <f t="shared" si="73"/>
        <v>50</v>
      </c>
      <c r="AJ131" s="935">
        <v>55220000</v>
      </c>
      <c r="AK131" s="930">
        <f t="shared" si="77"/>
        <v>0</v>
      </c>
      <c r="AL131" s="872"/>
      <c r="AM131" s="314">
        <f t="shared" si="74"/>
        <v>0</v>
      </c>
    </row>
    <row r="132" spans="1:39" s="6" customFormat="1">
      <c r="A132" s="869" t="s">
        <v>61</v>
      </c>
      <c r="B132" s="143">
        <f t="shared" si="71"/>
        <v>40700000</v>
      </c>
      <c r="C132" s="93" t="s">
        <v>36</v>
      </c>
      <c r="D132" s="93" t="s">
        <v>861</v>
      </c>
      <c r="E132" s="93" t="s">
        <v>857</v>
      </c>
      <c r="F132" s="93" t="s">
        <v>857</v>
      </c>
      <c r="G132" s="1983" t="s">
        <v>56</v>
      </c>
      <c r="H132" s="2003" t="s">
        <v>1380</v>
      </c>
      <c r="I132" s="1990">
        <v>158</v>
      </c>
      <c r="J132" s="207">
        <v>0</v>
      </c>
      <c r="K132" s="522"/>
      <c r="L132" s="1054">
        <v>69</v>
      </c>
      <c r="M132" s="628">
        <v>40700000</v>
      </c>
      <c r="N132" s="517">
        <v>55</v>
      </c>
      <c r="O132" s="163">
        <v>40700000</v>
      </c>
      <c r="P132" s="236">
        <v>87</v>
      </c>
      <c r="Q132" s="241"/>
      <c r="R132" s="153">
        <v>1603333</v>
      </c>
      <c r="S132" s="153">
        <v>3700000</v>
      </c>
      <c r="T132" s="153">
        <f>VLOOKUP(N132,[7]Hoja2!N$132:T$199,7,0)</f>
        <v>3700000</v>
      </c>
      <c r="U132" s="153">
        <v>3700000</v>
      </c>
      <c r="V132" s="153">
        <v>3700000</v>
      </c>
      <c r="W132" s="153">
        <v>3700000</v>
      </c>
      <c r="X132" s="153">
        <v>3700000</v>
      </c>
      <c r="Y132" s="153">
        <v>3700000</v>
      </c>
      <c r="Z132" s="152"/>
      <c r="AA132" s="152"/>
      <c r="AB132" s="152"/>
      <c r="AC132" s="183">
        <f t="shared" si="75"/>
        <v>27503333</v>
      </c>
      <c r="AD132" s="406">
        <f t="shared" si="76"/>
        <v>13196667</v>
      </c>
      <c r="AF132" s="933">
        <v>158</v>
      </c>
      <c r="AG132" s="934" t="s">
        <v>404</v>
      </c>
      <c r="AH132" s="279" t="s">
        <v>725</v>
      </c>
      <c r="AI132" s="851">
        <f t="shared" si="73"/>
        <v>87</v>
      </c>
      <c r="AJ132" s="935">
        <v>40700000</v>
      </c>
      <c r="AK132" s="930">
        <f t="shared" si="77"/>
        <v>0</v>
      </c>
      <c r="AL132" s="872"/>
      <c r="AM132" s="314">
        <f t="shared" si="74"/>
        <v>0</v>
      </c>
    </row>
    <row r="133" spans="1:39" s="6" customFormat="1">
      <c r="A133" s="869" t="s">
        <v>61</v>
      </c>
      <c r="B133" s="143">
        <f t="shared" si="71"/>
        <v>49500000</v>
      </c>
      <c r="C133" s="93" t="s">
        <v>36</v>
      </c>
      <c r="D133" s="93" t="s">
        <v>861</v>
      </c>
      <c r="E133" s="93" t="s">
        <v>857</v>
      </c>
      <c r="F133" s="93" t="s">
        <v>857</v>
      </c>
      <c r="G133" s="1983" t="s">
        <v>56</v>
      </c>
      <c r="H133" s="2003" t="s">
        <v>1380</v>
      </c>
      <c r="I133" s="1990">
        <v>159</v>
      </c>
      <c r="J133" s="207">
        <v>0</v>
      </c>
      <c r="K133" s="522"/>
      <c r="L133" s="1054">
        <v>150</v>
      </c>
      <c r="M133" s="628">
        <v>49500000</v>
      </c>
      <c r="N133" s="517">
        <v>79</v>
      </c>
      <c r="O133" s="163">
        <v>49500000</v>
      </c>
      <c r="P133" s="236">
        <v>133</v>
      </c>
      <c r="Q133" s="241"/>
      <c r="R133" s="153">
        <v>1350000</v>
      </c>
      <c r="S133" s="153">
        <v>4500000</v>
      </c>
      <c r="T133" s="153">
        <f>VLOOKUP(N133,[7]Hoja2!N$132:T$199,7,0)</f>
        <v>4500000</v>
      </c>
      <c r="U133" s="153">
        <v>4500000</v>
      </c>
      <c r="V133" s="153">
        <v>4500000</v>
      </c>
      <c r="W133" s="153">
        <v>3450000</v>
      </c>
      <c r="X133" s="153">
        <v>4500000</v>
      </c>
      <c r="Y133" s="153">
        <v>4500000</v>
      </c>
      <c r="Z133" s="152"/>
      <c r="AA133" s="152"/>
      <c r="AB133" s="152"/>
      <c r="AC133" s="183">
        <f t="shared" si="75"/>
        <v>31800000</v>
      </c>
      <c r="AD133" s="406">
        <f t="shared" si="76"/>
        <v>17700000</v>
      </c>
      <c r="AF133" s="933">
        <v>159</v>
      </c>
      <c r="AG133" s="934" t="s">
        <v>405</v>
      </c>
      <c r="AH133" s="279" t="s">
        <v>726</v>
      </c>
      <c r="AI133" s="851">
        <f t="shared" si="73"/>
        <v>133</v>
      </c>
      <c r="AJ133" s="935">
        <v>49500000</v>
      </c>
      <c r="AK133" s="930">
        <f t="shared" si="77"/>
        <v>0</v>
      </c>
      <c r="AL133" s="872"/>
      <c r="AM133" s="314">
        <f t="shared" si="74"/>
        <v>0</v>
      </c>
    </row>
    <row r="134" spans="1:39" s="6" customFormat="1">
      <c r="A134" s="869" t="s">
        <v>61</v>
      </c>
      <c r="B134" s="143">
        <f t="shared" si="71"/>
        <v>66000000</v>
      </c>
      <c r="C134" s="93" t="s">
        <v>36</v>
      </c>
      <c r="D134" s="93" t="s">
        <v>861</v>
      </c>
      <c r="E134" s="93" t="s">
        <v>857</v>
      </c>
      <c r="F134" s="93" t="s">
        <v>857</v>
      </c>
      <c r="G134" s="1983" t="s">
        <v>56</v>
      </c>
      <c r="H134" s="2003" t="s">
        <v>1380</v>
      </c>
      <c r="I134" s="1990">
        <v>160</v>
      </c>
      <c r="J134" s="207">
        <v>0</v>
      </c>
      <c r="K134" s="522"/>
      <c r="L134" s="1054">
        <v>92</v>
      </c>
      <c r="M134" s="628">
        <v>66000000</v>
      </c>
      <c r="N134" s="517">
        <v>84</v>
      </c>
      <c r="O134" s="163">
        <v>66000000</v>
      </c>
      <c r="P134" s="236">
        <v>86</v>
      </c>
      <c r="Q134" s="241"/>
      <c r="R134" s="153">
        <v>1600000</v>
      </c>
      <c r="S134" s="153">
        <v>6000000</v>
      </c>
      <c r="T134" s="153">
        <f>VLOOKUP(N134,[7]Hoja2!N$132:T$199,7,0)</f>
        <v>6000000</v>
      </c>
      <c r="U134" s="153">
        <v>6000000</v>
      </c>
      <c r="V134" s="153">
        <v>6000000</v>
      </c>
      <c r="W134" s="153">
        <v>6000000</v>
      </c>
      <c r="X134" s="153">
        <v>6000000</v>
      </c>
      <c r="Y134" s="153">
        <v>6000000</v>
      </c>
      <c r="Z134" s="152"/>
      <c r="AA134" s="152"/>
      <c r="AB134" s="152"/>
      <c r="AC134" s="183">
        <f t="shared" si="75"/>
        <v>43600000</v>
      </c>
      <c r="AD134" s="406">
        <f t="shared" si="76"/>
        <v>22400000</v>
      </c>
      <c r="AF134" s="933">
        <v>160</v>
      </c>
      <c r="AG134" s="934" t="s">
        <v>406</v>
      </c>
      <c r="AH134" s="279" t="s">
        <v>727</v>
      </c>
      <c r="AI134" s="851">
        <f t="shared" si="73"/>
        <v>86</v>
      </c>
      <c r="AJ134" s="935">
        <v>66000000</v>
      </c>
      <c r="AK134" s="930">
        <f t="shared" si="77"/>
        <v>0</v>
      </c>
      <c r="AL134" s="872"/>
      <c r="AM134" s="314">
        <f t="shared" si="74"/>
        <v>0</v>
      </c>
    </row>
    <row r="135" spans="1:39" s="6" customFormat="1">
      <c r="A135" s="869" t="s">
        <v>61</v>
      </c>
      <c r="B135" s="143">
        <f t="shared" si="71"/>
        <v>0</v>
      </c>
      <c r="C135" s="93" t="s">
        <v>36</v>
      </c>
      <c r="D135" s="93" t="s">
        <v>861</v>
      </c>
      <c r="E135" s="93" t="s">
        <v>857</v>
      </c>
      <c r="F135" s="93" t="s">
        <v>857</v>
      </c>
      <c r="G135" s="1983" t="s">
        <v>56</v>
      </c>
      <c r="H135" s="2003" t="s">
        <v>1380</v>
      </c>
      <c r="I135" s="1990">
        <v>161</v>
      </c>
      <c r="J135" s="207">
        <v>0</v>
      </c>
      <c r="K135" s="522"/>
      <c r="L135" s="1054"/>
      <c r="M135" s="628"/>
      <c r="N135" s="282"/>
      <c r="O135" s="868"/>
      <c r="P135" s="245"/>
      <c r="Q135" s="241"/>
      <c r="R135" s="153"/>
      <c r="S135" s="153"/>
      <c r="T135" s="153"/>
      <c r="U135" s="153"/>
      <c r="V135" s="153"/>
      <c r="W135" s="153"/>
      <c r="X135" s="153"/>
      <c r="Y135" s="153"/>
      <c r="Z135" s="152"/>
      <c r="AA135" s="152"/>
      <c r="AB135" s="152"/>
      <c r="AC135" s="183">
        <f t="shared" si="75"/>
        <v>0</v>
      </c>
      <c r="AD135" s="406">
        <f t="shared" si="76"/>
        <v>0</v>
      </c>
      <c r="AF135" s="933">
        <v>161</v>
      </c>
      <c r="AG135" s="934" t="s">
        <v>407</v>
      </c>
      <c r="AH135" s="934" t="s">
        <v>178</v>
      </c>
      <c r="AI135" s="851">
        <f t="shared" si="73"/>
        <v>0</v>
      </c>
      <c r="AJ135" s="935">
        <f>12000000-12000000</f>
        <v>0</v>
      </c>
      <c r="AK135" s="930">
        <f t="shared" si="77"/>
        <v>0</v>
      </c>
      <c r="AL135" s="872"/>
      <c r="AM135" s="314">
        <f t="shared" si="74"/>
        <v>0</v>
      </c>
    </row>
    <row r="136" spans="1:39" s="6" customFormat="1">
      <c r="A136" s="869" t="s">
        <v>61</v>
      </c>
      <c r="B136" s="143">
        <f t="shared" si="71"/>
        <v>33990000</v>
      </c>
      <c r="C136" s="93" t="s">
        <v>36</v>
      </c>
      <c r="D136" s="93" t="s">
        <v>861</v>
      </c>
      <c r="E136" s="93" t="s">
        <v>857</v>
      </c>
      <c r="F136" s="93" t="s">
        <v>857</v>
      </c>
      <c r="G136" s="1983" t="s">
        <v>56</v>
      </c>
      <c r="H136" s="2003" t="s">
        <v>1380</v>
      </c>
      <c r="I136" s="1990">
        <v>162</v>
      </c>
      <c r="J136" s="207">
        <v>0</v>
      </c>
      <c r="K136" s="522"/>
      <c r="L136" s="1054">
        <v>87</v>
      </c>
      <c r="M136" s="628">
        <v>33990000</v>
      </c>
      <c r="N136" s="517">
        <v>112</v>
      </c>
      <c r="O136" s="163">
        <v>33990000</v>
      </c>
      <c r="P136" s="236">
        <v>88</v>
      </c>
      <c r="Q136" s="241"/>
      <c r="R136" s="153">
        <v>824000</v>
      </c>
      <c r="S136" s="153">
        <v>3090000</v>
      </c>
      <c r="T136" s="153">
        <f>VLOOKUP(N136,[7]Hoja2!N$132:T$199,7,0)</f>
        <v>3090000</v>
      </c>
      <c r="U136" s="153">
        <v>3090000</v>
      </c>
      <c r="V136" s="153">
        <v>3090000</v>
      </c>
      <c r="W136" s="153">
        <v>3090000</v>
      </c>
      <c r="X136" s="153">
        <v>3090000</v>
      </c>
      <c r="Y136" s="153">
        <v>3090000</v>
      </c>
      <c r="Z136" s="152"/>
      <c r="AA136" s="152"/>
      <c r="AB136" s="152"/>
      <c r="AC136" s="183">
        <f t="shared" si="75"/>
        <v>22454000</v>
      </c>
      <c r="AD136" s="406">
        <f t="shared" si="76"/>
        <v>11536000</v>
      </c>
      <c r="AF136" s="933">
        <v>162</v>
      </c>
      <c r="AG136" s="934" t="s">
        <v>408</v>
      </c>
      <c r="AH136" s="279" t="s">
        <v>728</v>
      </c>
      <c r="AI136" s="851">
        <f t="shared" si="73"/>
        <v>88</v>
      </c>
      <c r="AJ136" s="935">
        <v>33990000</v>
      </c>
      <c r="AK136" s="930">
        <f t="shared" si="77"/>
        <v>0</v>
      </c>
      <c r="AL136" s="872"/>
      <c r="AM136" s="314">
        <f t="shared" si="74"/>
        <v>0</v>
      </c>
    </row>
    <row r="137" spans="1:39" s="6" customFormat="1">
      <c r="A137" s="869" t="s">
        <v>61</v>
      </c>
      <c r="B137" s="143">
        <f t="shared" si="71"/>
        <v>0</v>
      </c>
      <c r="C137" s="93" t="s">
        <v>36</v>
      </c>
      <c r="D137" s="93" t="s">
        <v>861</v>
      </c>
      <c r="E137" s="93" t="s">
        <v>857</v>
      </c>
      <c r="F137" s="93" t="s">
        <v>857</v>
      </c>
      <c r="G137" s="1983" t="s">
        <v>56</v>
      </c>
      <c r="H137" s="2003" t="s">
        <v>1380</v>
      </c>
      <c r="I137" s="1990">
        <v>163</v>
      </c>
      <c r="J137" s="207">
        <v>0</v>
      </c>
      <c r="K137" s="522"/>
      <c r="L137" s="1054"/>
      <c r="M137" s="628"/>
      <c r="N137" s="282"/>
      <c r="O137" s="868"/>
      <c r="P137" s="245"/>
      <c r="Q137" s="241"/>
      <c r="R137" s="153"/>
      <c r="S137" s="153"/>
      <c r="T137" s="153"/>
      <c r="U137" s="153"/>
      <c r="V137" s="153"/>
      <c r="W137" s="153"/>
      <c r="X137" s="153"/>
      <c r="Y137" s="153"/>
      <c r="Z137" s="152"/>
      <c r="AA137" s="152"/>
      <c r="AB137" s="152"/>
      <c r="AC137" s="183">
        <f t="shared" si="75"/>
        <v>0</v>
      </c>
      <c r="AD137" s="406">
        <f t="shared" si="76"/>
        <v>0</v>
      </c>
      <c r="AF137" s="933">
        <v>163</v>
      </c>
      <c r="AG137" s="934" t="s">
        <v>409</v>
      </c>
      <c r="AH137" s="934" t="s">
        <v>178</v>
      </c>
      <c r="AI137" s="851">
        <f t="shared" si="73"/>
        <v>0</v>
      </c>
      <c r="AJ137" s="935">
        <f>12000000-12000000</f>
        <v>0</v>
      </c>
      <c r="AK137" s="930">
        <f t="shared" si="77"/>
        <v>0</v>
      </c>
      <c r="AL137" s="872"/>
      <c r="AM137" s="314">
        <f t="shared" si="74"/>
        <v>0</v>
      </c>
    </row>
    <row r="138" spans="1:39" s="6" customFormat="1">
      <c r="A138" s="869" t="s">
        <v>61</v>
      </c>
      <c r="B138" s="143">
        <f t="shared" si="71"/>
        <v>25520000</v>
      </c>
      <c r="C138" s="93" t="s">
        <v>36</v>
      </c>
      <c r="D138" s="93" t="s">
        <v>861</v>
      </c>
      <c r="E138" s="93" t="s">
        <v>857</v>
      </c>
      <c r="F138" s="93" t="s">
        <v>857</v>
      </c>
      <c r="G138" s="1983" t="s">
        <v>56</v>
      </c>
      <c r="H138" s="2003" t="s">
        <v>1380</v>
      </c>
      <c r="I138" s="1990">
        <v>165</v>
      </c>
      <c r="J138" s="207">
        <v>0</v>
      </c>
      <c r="K138" s="522"/>
      <c r="L138" s="1054">
        <v>22</v>
      </c>
      <c r="M138" s="628">
        <v>25520000</v>
      </c>
      <c r="N138" s="517">
        <v>11</v>
      </c>
      <c r="O138" s="163">
        <v>25520000</v>
      </c>
      <c r="P138" s="236">
        <v>13</v>
      </c>
      <c r="Q138" s="241"/>
      <c r="R138" s="153">
        <v>1082667</v>
      </c>
      <c r="S138" s="153">
        <v>2320000</v>
      </c>
      <c r="T138" s="153">
        <f>VLOOKUP(N138,[7]Hoja2!N$132:T$199,7,0)</f>
        <v>2320000</v>
      </c>
      <c r="U138" s="153">
        <v>2320000</v>
      </c>
      <c r="V138" s="153">
        <v>2320000</v>
      </c>
      <c r="W138" s="153">
        <v>2320000</v>
      </c>
      <c r="X138" s="153">
        <v>2320000</v>
      </c>
      <c r="Y138" s="153">
        <v>2320000</v>
      </c>
      <c r="Z138" s="152"/>
      <c r="AA138" s="152"/>
      <c r="AB138" s="152"/>
      <c r="AC138" s="183">
        <f t="shared" si="75"/>
        <v>17322667</v>
      </c>
      <c r="AD138" s="406">
        <f t="shared" si="76"/>
        <v>8197333</v>
      </c>
      <c r="AF138" s="933">
        <v>165</v>
      </c>
      <c r="AG138" s="934" t="s">
        <v>410</v>
      </c>
      <c r="AH138" s="279" t="s">
        <v>729</v>
      </c>
      <c r="AI138" s="851">
        <f t="shared" si="73"/>
        <v>13</v>
      </c>
      <c r="AJ138" s="935">
        <v>25520000</v>
      </c>
      <c r="AK138" s="930">
        <f t="shared" si="77"/>
        <v>0</v>
      </c>
      <c r="AL138" s="872"/>
      <c r="AM138" s="314">
        <f t="shared" si="74"/>
        <v>0</v>
      </c>
    </row>
    <row r="139" spans="1:39" s="6" customFormat="1">
      <c r="A139" s="869" t="s">
        <v>61</v>
      </c>
      <c r="B139" s="143">
        <f t="shared" si="71"/>
        <v>90666667</v>
      </c>
      <c r="C139" s="93" t="s">
        <v>36</v>
      </c>
      <c r="D139" s="93" t="s">
        <v>861</v>
      </c>
      <c r="E139" s="93" t="s">
        <v>857</v>
      </c>
      <c r="F139" s="93" t="s">
        <v>857</v>
      </c>
      <c r="G139" s="1983" t="s">
        <v>56</v>
      </c>
      <c r="H139" s="2003" t="s">
        <v>1380</v>
      </c>
      <c r="I139" s="1990">
        <v>166</v>
      </c>
      <c r="J139" s="207">
        <v>0</v>
      </c>
      <c r="K139" s="522"/>
      <c r="L139" s="1054">
        <v>260</v>
      </c>
      <c r="M139" s="628">
        <v>90666667</v>
      </c>
      <c r="N139" s="517">
        <f>VLOOKUP(L139,[6]RP!I$249:J$307,2,0)</f>
        <v>263</v>
      </c>
      <c r="O139" s="154">
        <v>90666667</v>
      </c>
      <c r="P139" s="1058">
        <v>236</v>
      </c>
      <c r="Q139" s="241"/>
      <c r="R139" s="153"/>
      <c r="S139" s="153">
        <v>6516667</v>
      </c>
      <c r="T139" s="153">
        <f>VLOOKUP(N139,[7]Hoja2!N$132:T$199,7,0)</f>
        <v>8500000</v>
      </c>
      <c r="U139" s="153">
        <v>8500000</v>
      </c>
      <c r="V139" s="153">
        <v>8500000</v>
      </c>
      <c r="W139" s="153">
        <v>8500000</v>
      </c>
      <c r="X139" s="153">
        <v>8500000</v>
      </c>
      <c r="Y139" s="153">
        <v>5383333</v>
      </c>
      <c r="Z139" s="152"/>
      <c r="AA139" s="152"/>
      <c r="AB139" s="152"/>
      <c r="AC139" s="183">
        <f t="shared" si="75"/>
        <v>54400000</v>
      </c>
      <c r="AD139" s="406">
        <f t="shared" si="76"/>
        <v>36266667</v>
      </c>
      <c r="AF139" s="933">
        <v>166</v>
      </c>
      <c r="AG139" s="934" t="s">
        <v>411</v>
      </c>
      <c r="AH139" s="886" t="s">
        <v>730</v>
      </c>
      <c r="AI139" s="851">
        <f t="shared" si="73"/>
        <v>236</v>
      </c>
      <c r="AJ139" s="935">
        <v>93500000</v>
      </c>
      <c r="AK139" s="930">
        <f t="shared" si="77"/>
        <v>2833333</v>
      </c>
      <c r="AL139" s="872"/>
      <c r="AM139" s="314">
        <f t="shared" si="74"/>
        <v>2833333</v>
      </c>
    </row>
    <row r="140" spans="1:39" s="6" customFormat="1">
      <c r="A140" s="869" t="s">
        <v>61</v>
      </c>
      <c r="B140" s="143">
        <f t="shared" si="71"/>
        <v>0</v>
      </c>
      <c r="C140" s="93" t="s">
        <v>36</v>
      </c>
      <c r="D140" s="93" t="s">
        <v>861</v>
      </c>
      <c r="E140" s="93" t="s">
        <v>857</v>
      </c>
      <c r="F140" s="93" t="s">
        <v>857</v>
      </c>
      <c r="G140" s="1983" t="s">
        <v>56</v>
      </c>
      <c r="H140" s="2003" t="s">
        <v>1380</v>
      </c>
      <c r="I140" s="1990">
        <v>168</v>
      </c>
      <c r="J140" s="207">
        <v>0</v>
      </c>
      <c r="K140" s="522"/>
      <c r="L140" s="1054"/>
      <c r="M140" s="628"/>
      <c r="N140" s="282"/>
      <c r="O140" s="868"/>
      <c r="P140" s="245"/>
      <c r="Q140" s="241"/>
      <c r="R140" s="153"/>
      <c r="S140" s="153"/>
      <c r="T140" s="153"/>
      <c r="U140" s="153"/>
      <c r="V140" s="153"/>
      <c r="W140" s="153"/>
      <c r="X140" s="153"/>
      <c r="Y140" s="153"/>
      <c r="Z140" s="152"/>
      <c r="AA140" s="152"/>
      <c r="AB140" s="152"/>
      <c r="AC140" s="183">
        <f t="shared" si="75"/>
        <v>0</v>
      </c>
      <c r="AD140" s="406">
        <f t="shared" si="76"/>
        <v>0</v>
      </c>
      <c r="AF140" s="933">
        <v>168</v>
      </c>
      <c r="AG140" s="934" t="s">
        <v>412</v>
      </c>
      <c r="AH140" s="934" t="s">
        <v>178</v>
      </c>
      <c r="AI140" s="851">
        <f t="shared" si="73"/>
        <v>0</v>
      </c>
      <c r="AJ140" s="935">
        <f>94820000-40000000-54820000</f>
        <v>0</v>
      </c>
      <c r="AK140" s="930">
        <f t="shared" si="77"/>
        <v>0</v>
      </c>
      <c r="AL140" s="872"/>
      <c r="AM140" s="314">
        <f t="shared" si="74"/>
        <v>0</v>
      </c>
    </row>
    <row r="141" spans="1:39" s="6" customFormat="1">
      <c r="A141" s="869" t="s">
        <v>61</v>
      </c>
      <c r="B141" s="143">
        <f t="shared" si="71"/>
        <v>0</v>
      </c>
      <c r="C141" s="93" t="s">
        <v>36</v>
      </c>
      <c r="D141" s="93" t="s">
        <v>861</v>
      </c>
      <c r="E141" s="93" t="s">
        <v>857</v>
      </c>
      <c r="F141" s="93" t="s">
        <v>857</v>
      </c>
      <c r="G141" s="1983" t="s">
        <v>56</v>
      </c>
      <c r="H141" s="2003" t="s">
        <v>1380</v>
      </c>
      <c r="I141" s="1990">
        <v>170</v>
      </c>
      <c r="J141" s="207">
        <v>0</v>
      </c>
      <c r="K141" s="522"/>
      <c r="L141" s="1054"/>
      <c r="M141" s="628"/>
      <c r="N141" s="282"/>
      <c r="O141" s="868"/>
      <c r="P141" s="245"/>
      <c r="Q141" s="241"/>
      <c r="R141" s="153"/>
      <c r="S141" s="153"/>
      <c r="T141" s="153"/>
      <c r="U141" s="153"/>
      <c r="V141" s="153"/>
      <c r="W141" s="153"/>
      <c r="X141" s="153"/>
      <c r="Y141" s="153"/>
      <c r="Z141" s="152"/>
      <c r="AA141" s="152"/>
      <c r="AB141" s="152"/>
      <c r="AC141" s="183">
        <f t="shared" si="75"/>
        <v>0</v>
      </c>
      <c r="AD141" s="406">
        <f t="shared" si="76"/>
        <v>0</v>
      </c>
      <c r="AF141" s="933">
        <v>170</v>
      </c>
      <c r="AG141" s="934" t="s">
        <v>413</v>
      </c>
      <c r="AH141" s="934" t="s">
        <v>178</v>
      </c>
      <c r="AI141" s="851">
        <f t="shared" si="73"/>
        <v>0</v>
      </c>
      <c r="AJ141" s="935">
        <f>18540000-18540000</f>
        <v>0</v>
      </c>
      <c r="AK141" s="930">
        <f t="shared" si="77"/>
        <v>0</v>
      </c>
      <c r="AL141" s="872"/>
      <c r="AM141" s="314">
        <f t="shared" si="74"/>
        <v>0</v>
      </c>
    </row>
    <row r="142" spans="1:39" s="6" customFormat="1">
      <c r="A142" s="869" t="s">
        <v>61</v>
      </c>
      <c r="B142" s="143">
        <f t="shared" si="71"/>
        <v>33990000</v>
      </c>
      <c r="C142" s="93" t="s">
        <v>36</v>
      </c>
      <c r="D142" s="93" t="s">
        <v>861</v>
      </c>
      <c r="E142" s="93" t="s">
        <v>857</v>
      </c>
      <c r="F142" s="93" t="s">
        <v>857</v>
      </c>
      <c r="G142" s="1983" t="s">
        <v>56</v>
      </c>
      <c r="H142" s="2003" t="s">
        <v>1380</v>
      </c>
      <c r="I142" s="1990">
        <v>171</v>
      </c>
      <c r="J142" s="207">
        <v>0</v>
      </c>
      <c r="K142" s="522"/>
      <c r="L142" s="1054">
        <v>56</v>
      </c>
      <c r="M142" s="628">
        <v>33990000</v>
      </c>
      <c r="N142" s="517">
        <v>34</v>
      </c>
      <c r="O142" s="163">
        <v>33990000</v>
      </c>
      <c r="P142" s="236">
        <v>29</v>
      </c>
      <c r="Q142" s="241"/>
      <c r="R142" s="153">
        <v>1339000</v>
      </c>
      <c r="S142" s="153">
        <v>3090000</v>
      </c>
      <c r="T142" s="153">
        <f>VLOOKUP(N142,[7]Hoja2!N$132:T$199,7,0)</f>
        <v>3090000</v>
      </c>
      <c r="U142" s="153">
        <v>3090000</v>
      </c>
      <c r="V142" s="153">
        <v>3090000</v>
      </c>
      <c r="W142" s="153">
        <v>3090000</v>
      </c>
      <c r="X142" s="153">
        <v>3090000</v>
      </c>
      <c r="Y142" s="153">
        <v>3090000</v>
      </c>
      <c r="Z142" s="152"/>
      <c r="AA142" s="152"/>
      <c r="AB142" s="152"/>
      <c r="AC142" s="183">
        <f t="shared" si="75"/>
        <v>22969000</v>
      </c>
      <c r="AD142" s="406">
        <f t="shared" si="76"/>
        <v>11021000</v>
      </c>
      <c r="AF142" s="933">
        <v>171</v>
      </c>
      <c r="AG142" s="934" t="s">
        <v>392</v>
      </c>
      <c r="AH142" s="279" t="s">
        <v>731</v>
      </c>
      <c r="AI142" s="851">
        <f t="shared" si="73"/>
        <v>29</v>
      </c>
      <c r="AJ142" s="935">
        <v>33990000</v>
      </c>
      <c r="AK142" s="930">
        <f t="shared" si="77"/>
        <v>0</v>
      </c>
      <c r="AL142" s="872"/>
      <c r="AM142" s="314">
        <f t="shared" si="74"/>
        <v>0</v>
      </c>
    </row>
    <row r="143" spans="1:39" s="6" customFormat="1">
      <c r="A143" s="869" t="s">
        <v>61</v>
      </c>
      <c r="B143" s="143">
        <f t="shared" si="71"/>
        <v>44000000</v>
      </c>
      <c r="C143" s="93" t="s">
        <v>36</v>
      </c>
      <c r="D143" s="93" t="s">
        <v>861</v>
      </c>
      <c r="E143" s="93" t="s">
        <v>857</v>
      </c>
      <c r="F143" s="93" t="s">
        <v>857</v>
      </c>
      <c r="G143" s="1983" t="s">
        <v>56</v>
      </c>
      <c r="H143" s="2003" t="s">
        <v>1380</v>
      </c>
      <c r="I143" s="1990">
        <v>172</v>
      </c>
      <c r="J143" s="207">
        <v>0</v>
      </c>
      <c r="K143" s="522"/>
      <c r="L143" s="1054">
        <v>27</v>
      </c>
      <c r="M143" s="628">
        <v>44000000</v>
      </c>
      <c r="N143" s="517">
        <v>9</v>
      </c>
      <c r="O143" s="163">
        <v>44000000</v>
      </c>
      <c r="P143" s="236">
        <v>9</v>
      </c>
      <c r="Q143" s="241"/>
      <c r="R143" s="153">
        <v>2000000</v>
      </c>
      <c r="S143" s="153">
        <v>4000000</v>
      </c>
      <c r="T143" s="153">
        <f>VLOOKUP(N143,[7]Hoja2!N$132:T$199,7,0)</f>
        <v>4000000</v>
      </c>
      <c r="U143" s="153">
        <v>4000000</v>
      </c>
      <c r="V143" s="153">
        <v>4000000</v>
      </c>
      <c r="W143" s="153">
        <v>4000000</v>
      </c>
      <c r="X143" s="153">
        <v>4000000</v>
      </c>
      <c r="Y143" s="153">
        <v>4000000</v>
      </c>
      <c r="Z143" s="152"/>
      <c r="AA143" s="152"/>
      <c r="AB143" s="152"/>
      <c r="AC143" s="183">
        <f t="shared" si="75"/>
        <v>30000000</v>
      </c>
      <c r="AD143" s="406">
        <f t="shared" si="76"/>
        <v>14000000</v>
      </c>
      <c r="AF143" s="933">
        <v>172</v>
      </c>
      <c r="AG143" s="934" t="s">
        <v>414</v>
      </c>
      <c r="AH143" s="279" t="s">
        <v>732</v>
      </c>
      <c r="AI143" s="851">
        <f t="shared" si="73"/>
        <v>9</v>
      </c>
      <c r="AJ143" s="935">
        <v>44000000</v>
      </c>
      <c r="AK143" s="930">
        <f t="shared" si="77"/>
        <v>0</v>
      </c>
      <c r="AL143" s="872"/>
      <c r="AM143" s="314">
        <f t="shared" si="74"/>
        <v>0</v>
      </c>
    </row>
    <row r="144" spans="1:39" s="6" customFormat="1">
      <c r="A144" s="869" t="s">
        <v>61</v>
      </c>
      <c r="B144" s="143">
        <f t="shared" si="71"/>
        <v>38280000</v>
      </c>
      <c r="C144" s="93" t="s">
        <v>36</v>
      </c>
      <c r="D144" s="93" t="s">
        <v>861</v>
      </c>
      <c r="E144" s="93" t="s">
        <v>857</v>
      </c>
      <c r="F144" s="93" t="s">
        <v>857</v>
      </c>
      <c r="G144" s="1983" t="s">
        <v>56</v>
      </c>
      <c r="H144" s="2003" t="s">
        <v>1380</v>
      </c>
      <c r="I144" s="1990">
        <v>174</v>
      </c>
      <c r="J144" s="207">
        <v>0</v>
      </c>
      <c r="K144" s="522"/>
      <c r="L144" s="1054">
        <v>126</v>
      </c>
      <c r="M144" s="628">
        <v>38280000</v>
      </c>
      <c r="N144" s="517">
        <v>94</v>
      </c>
      <c r="O144" s="163">
        <v>38280000</v>
      </c>
      <c r="P144" s="236">
        <v>114</v>
      </c>
      <c r="Q144" s="241"/>
      <c r="R144" s="153">
        <v>1044000</v>
      </c>
      <c r="S144" s="153">
        <v>3480000</v>
      </c>
      <c r="T144" s="153">
        <f>VLOOKUP(N144,[7]Hoja2!N$132:T$199,7,0)</f>
        <v>3480000</v>
      </c>
      <c r="U144" s="153">
        <v>3480000</v>
      </c>
      <c r="V144" s="153">
        <v>3480000</v>
      </c>
      <c r="W144" s="153">
        <v>3480000</v>
      </c>
      <c r="X144" s="153">
        <v>3480000</v>
      </c>
      <c r="Y144" s="153">
        <v>3480000</v>
      </c>
      <c r="Z144" s="152"/>
      <c r="AA144" s="152"/>
      <c r="AB144" s="152"/>
      <c r="AC144" s="183">
        <f t="shared" si="75"/>
        <v>25404000</v>
      </c>
      <c r="AD144" s="406">
        <f t="shared" si="76"/>
        <v>12876000</v>
      </c>
      <c r="AF144" s="933">
        <v>174</v>
      </c>
      <c r="AG144" s="934" t="s">
        <v>415</v>
      </c>
      <c r="AH144" s="279" t="s">
        <v>733</v>
      </c>
      <c r="AI144" s="851">
        <f t="shared" si="73"/>
        <v>114</v>
      </c>
      <c r="AJ144" s="935">
        <v>38280000</v>
      </c>
      <c r="AK144" s="930">
        <f t="shared" si="77"/>
        <v>0</v>
      </c>
      <c r="AL144" s="872"/>
      <c r="AM144" s="314">
        <f t="shared" si="74"/>
        <v>0</v>
      </c>
    </row>
    <row r="145" spans="1:39" s="6" customFormat="1">
      <c r="A145" s="869" t="s">
        <v>61</v>
      </c>
      <c r="B145" s="143">
        <f t="shared" si="71"/>
        <v>40700000</v>
      </c>
      <c r="C145" s="93" t="s">
        <v>36</v>
      </c>
      <c r="D145" s="93" t="s">
        <v>861</v>
      </c>
      <c r="E145" s="93" t="s">
        <v>857</v>
      </c>
      <c r="F145" s="93" t="s">
        <v>857</v>
      </c>
      <c r="G145" s="1983" t="s">
        <v>56</v>
      </c>
      <c r="H145" s="2003" t="s">
        <v>1380</v>
      </c>
      <c r="I145" s="1990">
        <v>180</v>
      </c>
      <c r="J145" s="207">
        <v>0</v>
      </c>
      <c r="K145" s="522"/>
      <c r="L145" s="1054">
        <v>151</v>
      </c>
      <c r="M145" s="628">
        <v>40700000</v>
      </c>
      <c r="N145" s="517">
        <v>70</v>
      </c>
      <c r="O145" s="163">
        <v>40700000</v>
      </c>
      <c r="P145" s="236">
        <v>130</v>
      </c>
      <c r="Q145" s="241"/>
      <c r="R145" s="153">
        <v>1233333</v>
      </c>
      <c r="S145" s="153">
        <v>3700000</v>
      </c>
      <c r="T145" s="153">
        <f>VLOOKUP(N145,[7]Hoja2!N$132:T$199,7,0)</f>
        <v>3700000</v>
      </c>
      <c r="U145" s="153">
        <v>3700000</v>
      </c>
      <c r="V145" s="153">
        <v>3700000</v>
      </c>
      <c r="W145" s="153">
        <v>3700000</v>
      </c>
      <c r="X145" s="153">
        <v>3700000</v>
      </c>
      <c r="Y145" s="153">
        <v>3700000</v>
      </c>
      <c r="Z145" s="152"/>
      <c r="AA145" s="152"/>
      <c r="AB145" s="152"/>
      <c r="AC145" s="183">
        <f t="shared" si="75"/>
        <v>27133333</v>
      </c>
      <c r="AD145" s="406">
        <f t="shared" si="76"/>
        <v>13566667</v>
      </c>
      <c r="AF145" s="933">
        <v>180</v>
      </c>
      <c r="AG145" s="934" t="s">
        <v>416</v>
      </c>
      <c r="AH145" s="279" t="s">
        <v>734</v>
      </c>
      <c r="AI145" s="851">
        <f t="shared" si="73"/>
        <v>130</v>
      </c>
      <c r="AJ145" s="935">
        <v>40700000</v>
      </c>
      <c r="AK145" s="930">
        <f t="shared" si="77"/>
        <v>0</v>
      </c>
      <c r="AL145" s="872"/>
      <c r="AM145" s="314">
        <f t="shared" si="74"/>
        <v>0</v>
      </c>
    </row>
    <row r="146" spans="1:39" s="6" customFormat="1">
      <c r="A146" s="869" t="s">
        <v>61</v>
      </c>
      <c r="B146" s="143">
        <f t="shared" si="71"/>
        <v>40700000</v>
      </c>
      <c r="C146" s="93" t="s">
        <v>36</v>
      </c>
      <c r="D146" s="93" t="s">
        <v>861</v>
      </c>
      <c r="E146" s="93" t="s">
        <v>857</v>
      </c>
      <c r="F146" s="93" t="s">
        <v>857</v>
      </c>
      <c r="G146" s="1983" t="s">
        <v>56</v>
      </c>
      <c r="H146" s="2003" t="s">
        <v>1380</v>
      </c>
      <c r="I146" s="1990">
        <v>181</v>
      </c>
      <c r="J146" s="207">
        <v>0</v>
      </c>
      <c r="K146" s="522"/>
      <c r="L146" s="1054">
        <v>147</v>
      </c>
      <c r="M146" s="628">
        <v>40700000</v>
      </c>
      <c r="N146" s="517">
        <v>153</v>
      </c>
      <c r="O146" s="163">
        <v>40700000</v>
      </c>
      <c r="P146" s="236">
        <v>137</v>
      </c>
      <c r="Q146" s="241"/>
      <c r="R146" s="153">
        <v>740000</v>
      </c>
      <c r="S146" s="153">
        <v>3700000</v>
      </c>
      <c r="T146" s="153">
        <f>VLOOKUP(N146,[7]Hoja2!N$132:T$199,7,0)</f>
        <v>3700000</v>
      </c>
      <c r="U146" s="153">
        <v>3700000</v>
      </c>
      <c r="V146" s="153">
        <v>3700000</v>
      </c>
      <c r="W146" s="153">
        <v>3700000</v>
      </c>
      <c r="X146" s="153">
        <v>3700000</v>
      </c>
      <c r="Y146" s="153">
        <v>3700000</v>
      </c>
      <c r="Z146" s="152"/>
      <c r="AA146" s="152"/>
      <c r="AB146" s="152"/>
      <c r="AC146" s="183">
        <f t="shared" si="75"/>
        <v>26640000</v>
      </c>
      <c r="AD146" s="406">
        <f t="shared" si="76"/>
        <v>14060000</v>
      </c>
      <c r="AF146" s="933">
        <v>181</v>
      </c>
      <c r="AG146" s="934" t="s">
        <v>417</v>
      </c>
      <c r="AH146" s="279" t="s">
        <v>735</v>
      </c>
      <c r="AI146" s="851">
        <f t="shared" si="73"/>
        <v>137</v>
      </c>
      <c r="AJ146" s="935">
        <v>40700000</v>
      </c>
      <c r="AK146" s="930">
        <f t="shared" si="77"/>
        <v>0</v>
      </c>
      <c r="AL146" s="872"/>
      <c r="AM146" s="314">
        <f t="shared" si="74"/>
        <v>0</v>
      </c>
    </row>
    <row r="147" spans="1:39" s="6" customFormat="1">
      <c r="A147" s="869" t="s">
        <v>61</v>
      </c>
      <c r="B147" s="143">
        <f t="shared" si="71"/>
        <v>47520000</v>
      </c>
      <c r="C147" s="93" t="s">
        <v>36</v>
      </c>
      <c r="D147" s="93" t="s">
        <v>861</v>
      </c>
      <c r="E147" s="93" t="s">
        <v>857</v>
      </c>
      <c r="F147" s="93" t="s">
        <v>857</v>
      </c>
      <c r="G147" s="1983" t="s">
        <v>56</v>
      </c>
      <c r="H147" s="2003" t="s">
        <v>1380</v>
      </c>
      <c r="I147" s="1990">
        <v>182</v>
      </c>
      <c r="J147" s="207">
        <v>0</v>
      </c>
      <c r="K147" s="522"/>
      <c r="L147" s="1054">
        <v>21</v>
      </c>
      <c r="M147" s="628">
        <v>47520000</v>
      </c>
      <c r="N147" s="517">
        <v>20</v>
      </c>
      <c r="O147" s="163">
        <v>47520000</v>
      </c>
      <c r="P147" s="236">
        <v>12</v>
      </c>
      <c r="Q147" s="241"/>
      <c r="R147" s="153">
        <v>2016000</v>
      </c>
      <c r="S147" s="153">
        <v>4320000</v>
      </c>
      <c r="T147" s="153">
        <f>VLOOKUP(N147,[7]Hoja2!N$132:T$199,7,0)</f>
        <v>4320000</v>
      </c>
      <c r="U147" s="153">
        <v>4320000</v>
      </c>
      <c r="V147" s="153">
        <v>4320000</v>
      </c>
      <c r="W147" s="153">
        <v>4320000</v>
      </c>
      <c r="X147" s="153">
        <v>4320000</v>
      </c>
      <c r="Y147" s="153">
        <v>4320000</v>
      </c>
      <c r="Z147" s="152"/>
      <c r="AA147" s="152"/>
      <c r="AB147" s="152"/>
      <c r="AC147" s="183">
        <f t="shared" si="75"/>
        <v>32256000</v>
      </c>
      <c r="AD147" s="406">
        <f t="shared" si="76"/>
        <v>15264000</v>
      </c>
      <c r="AF147" s="933">
        <v>182</v>
      </c>
      <c r="AG147" s="934" t="s">
        <v>418</v>
      </c>
      <c r="AH147" s="279" t="s">
        <v>736</v>
      </c>
      <c r="AI147" s="851">
        <f t="shared" si="73"/>
        <v>12</v>
      </c>
      <c r="AJ147" s="935">
        <v>47520000</v>
      </c>
      <c r="AK147" s="930">
        <f t="shared" si="77"/>
        <v>0</v>
      </c>
      <c r="AL147" s="872"/>
      <c r="AM147" s="314">
        <f t="shared" si="74"/>
        <v>0</v>
      </c>
    </row>
    <row r="148" spans="1:39" s="6" customFormat="1">
      <c r="A148" s="869" t="s">
        <v>61</v>
      </c>
      <c r="B148" s="143">
        <f t="shared" si="71"/>
        <v>46200000</v>
      </c>
      <c r="C148" s="93" t="s">
        <v>36</v>
      </c>
      <c r="D148" s="93" t="s">
        <v>861</v>
      </c>
      <c r="E148" s="93" t="s">
        <v>857</v>
      </c>
      <c r="F148" s="93" t="s">
        <v>857</v>
      </c>
      <c r="G148" s="1983" t="s">
        <v>56</v>
      </c>
      <c r="H148" s="2003" t="s">
        <v>1380</v>
      </c>
      <c r="I148" s="1990">
        <v>184</v>
      </c>
      <c r="J148" s="207">
        <v>0</v>
      </c>
      <c r="K148" s="522"/>
      <c r="L148" s="1054">
        <v>20</v>
      </c>
      <c r="M148" s="628">
        <v>46200000</v>
      </c>
      <c r="N148" s="517">
        <v>30</v>
      </c>
      <c r="O148" s="163">
        <v>46200000</v>
      </c>
      <c r="P148" s="236">
        <v>11</v>
      </c>
      <c r="Q148" s="241"/>
      <c r="R148" s="153">
        <v>1820000</v>
      </c>
      <c r="S148" s="153">
        <v>4200000</v>
      </c>
      <c r="T148" s="153">
        <f>VLOOKUP(N148,[7]Hoja2!N$132:T$199,7,0)</f>
        <v>4200000</v>
      </c>
      <c r="U148" s="153">
        <v>4200000</v>
      </c>
      <c r="V148" s="153">
        <v>4200000</v>
      </c>
      <c r="W148" s="153">
        <v>4200000</v>
      </c>
      <c r="X148" s="153">
        <v>4200000</v>
      </c>
      <c r="Y148" s="153">
        <v>4200000</v>
      </c>
      <c r="Z148" s="152"/>
      <c r="AA148" s="152"/>
      <c r="AB148" s="152"/>
      <c r="AC148" s="183">
        <f t="shared" si="75"/>
        <v>31220000</v>
      </c>
      <c r="AD148" s="406">
        <f t="shared" si="76"/>
        <v>14980000</v>
      </c>
      <c r="AF148" s="933">
        <v>184</v>
      </c>
      <c r="AG148" s="934" t="s">
        <v>419</v>
      </c>
      <c r="AH148" s="279" t="s">
        <v>737</v>
      </c>
      <c r="AI148" s="851">
        <f t="shared" si="73"/>
        <v>11</v>
      </c>
      <c r="AJ148" s="935">
        <v>46200000</v>
      </c>
      <c r="AK148" s="930">
        <f t="shared" si="77"/>
        <v>0</v>
      </c>
      <c r="AL148" s="872"/>
      <c r="AM148" s="314">
        <f t="shared" si="74"/>
        <v>0</v>
      </c>
    </row>
    <row r="149" spans="1:39" s="6" customFormat="1">
      <c r="A149" s="869" t="s">
        <v>61</v>
      </c>
      <c r="B149" s="143">
        <f t="shared" si="71"/>
        <v>31570000</v>
      </c>
      <c r="C149" s="93" t="s">
        <v>36</v>
      </c>
      <c r="D149" s="93" t="s">
        <v>861</v>
      </c>
      <c r="E149" s="93" t="s">
        <v>857</v>
      </c>
      <c r="F149" s="93" t="s">
        <v>857</v>
      </c>
      <c r="G149" s="1983" t="s">
        <v>56</v>
      </c>
      <c r="H149" s="2003" t="s">
        <v>1380</v>
      </c>
      <c r="I149" s="1990">
        <v>186</v>
      </c>
      <c r="J149" s="207">
        <v>0</v>
      </c>
      <c r="K149" s="522"/>
      <c r="L149" s="626">
        <v>240</v>
      </c>
      <c r="M149" s="196">
        <v>31570000</v>
      </c>
      <c r="N149" s="517">
        <f>VLOOKUP(L149,[6]RP!I$249:J$307,2,0)</f>
        <v>222</v>
      </c>
      <c r="O149" s="154">
        <v>31570000</v>
      </c>
      <c r="P149" s="1058">
        <v>189</v>
      </c>
      <c r="Q149" s="241"/>
      <c r="R149" s="153"/>
      <c r="S149" s="153">
        <v>2583000</v>
      </c>
      <c r="T149" s="153">
        <f>VLOOKUP(N149,[7]Hoja2!N$132:T$199,7,0)</f>
        <v>2870000</v>
      </c>
      <c r="U149" s="153">
        <v>2870000</v>
      </c>
      <c r="V149" s="153">
        <v>2870000</v>
      </c>
      <c r="W149" s="153">
        <v>2870000</v>
      </c>
      <c r="X149" s="153">
        <v>2870000</v>
      </c>
      <c r="Y149" s="153">
        <v>2870000</v>
      </c>
      <c r="Z149" s="152"/>
      <c r="AA149" s="152"/>
      <c r="AB149" s="152"/>
      <c r="AC149" s="183">
        <f t="shared" si="75"/>
        <v>19803000</v>
      </c>
      <c r="AD149" s="406">
        <f t="shared" si="76"/>
        <v>11767000</v>
      </c>
      <c r="AF149" s="933">
        <v>186</v>
      </c>
      <c r="AG149" s="934" t="s">
        <v>420</v>
      </c>
      <c r="AH149" s="886" t="s">
        <v>738</v>
      </c>
      <c r="AI149" s="851">
        <f t="shared" si="73"/>
        <v>189</v>
      </c>
      <c r="AJ149" s="935">
        <v>31570000</v>
      </c>
      <c r="AK149" s="930">
        <f t="shared" si="77"/>
        <v>0</v>
      </c>
      <c r="AL149" s="872"/>
      <c r="AM149" s="314">
        <f t="shared" si="74"/>
        <v>0</v>
      </c>
    </row>
    <row r="150" spans="1:39" s="6" customFormat="1">
      <c r="A150" s="869" t="s">
        <v>61</v>
      </c>
      <c r="B150" s="143">
        <f t="shared" si="71"/>
        <v>57000000</v>
      </c>
      <c r="C150" s="93" t="s">
        <v>36</v>
      </c>
      <c r="D150" s="93" t="s">
        <v>861</v>
      </c>
      <c r="E150" s="93" t="s">
        <v>857</v>
      </c>
      <c r="F150" s="93" t="s">
        <v>857</v>
      </c>
      <c r="G150" s="1983" t="s">
        <v>56</v>
      </c>
      <c r="H150" s="2003" t="s">
        <v>1380</v>
      </c>
      <c r="I150" s="1990">
        <v>187</v>
      </c>
      <c r="J150" s="207">
        <v>0</v>
      </c>
      <c r="K150" s="522"/>
      <c r="L150" s="1054">
        <v>322</v>
      </c>
      <c r="M150" s="196">
        <v>57000000</v>
      </c>
      <c r="N150" s="282">
        <v>332</v>
      </c>
      <c r="O150" s="868">
        <v>57000000</v>
      </c>
      <c r="P150" s="245">
        <v>277</v>
      </c>
      <c r="Q150" s="241"/>
      <c r="R150" s="153"/>
      <c r="S150" s="153"/>
      <c r="T150" s="153">
        <f>VLOOKUP(N150,[7]Hoja2!N$132:T$199,7,0)</f>
        <v>4940000</v>
      </c>
      <c r="U150" s="153">
        <v>5700000</v>
      </c>
      <c r="V150" s="153">
        <v>5700000</v>
      </c>
      <c r="W150" s="153">
        <v>5700000</v>
      </c>
      <c r="X150" s="153">
        <v>5700000</v>
      </c>
      <c r="Y150" s="153">
        <v>5700000</v>
      </c>
      <c r="Z150" s="152"/>
      <c r="AA150" s="152"/>
      <c r="AB150" s="152"/>
      <c r="AC150" s="183">
        <f t="shared" si="75"/>
        <v>33440000</v>
      </c>
      <c r="AD150" s="406">
        <f t="shared" si="76"/>
        <v>23560000</v>
      </c>
      <c r="AF150" s="933">
        <v>187</v>
      </c>
      <c r="AG150" s="934" t="s">
        <v>421</v>
      </c>
      <c r="AH150" s="934" t="s">
        <v>824</v>
      </c>
      <c r="AI150" s="851">
        <f t="shared" si="73"/>
        <v>277</v>
      </c>
      <c r="AJ150" s="935">
        <f>45000000+12000000</f>
        <v>57000000</v>
      </c>
      <c r="AK150" s="930">
        <f t="shared" si="77"/>
        <v>0</v>
      </c>
      <c r="AL150" s="872"/>
      <c r="AM150" s="314">
        <f t="shared" si="74"/>
        <v>0</v>
      </c>
    </row>
    <row r="151" spans="1:39" s="6" customFormat="1">
      <c r="A151" s="869" t="s">
        <v>61</v>
      </c>
      <c r="B151" s="143">
        <f t="shared" si="71"/>
        <v>57000000</v>
      </c>
      <c r="C151" s="93" t="s">
        <v>36</v>
      </c>
      <c r="D151" s="93" t="s">
        <v>861</v>
      </c>
      <c r="E151" s="93" t="s">
        <v>857</v>
      </c>
      <c r="F151" s="93" t="s">
        <v>857</v>
      </c>
      <c r="G151" s="1983" t="s">
        <v>56</v>
      </c>
      <c r="H151" s="2003" t="s">
        <v>1380</v>
      </c>
      <c r="I151" s="1990">
        <v>188</v>
      </c>
      <c r="J151" s="207">
        <v>0</v>
      </c>
      <c r="K151" s="522"/>
      <c r="L151" s="1054">
        <v>323</v>
      </c>
      <c r="M151" s="196">
        <v>57000000</v>
      </c>
      <c r="N151" s="282">
        <v>339</v>
      </c>
      <c r="O151" s="868">
        <v>57000000</v>
      </c>
      <c r="P151" s="245">
        <v>278</v>
      </c>
      <c r="Q151" s="241"/>
      <c r="R151" s="153"/>
      <c r="S151" s="153"/>
      <c r="T151" s="153">
        <f>VLOOKUP(N151,[7]Hoja2!N$132:T$199,7,0)</f>
        <v>4940000</v>
      </c>
      <c r="U151" s="153">
        <v>5700000</v>
      </c>
      <c r="V151" s="153">
        <v>5700000</v>
      </c>
      <c r="W151" s="153">
        <v>5700000</v>
      </c>
      <c r="X151" s="153">
        <v>5700000</v>
      </c>
      <c r="Y151" s="153">
        <v>5700000</v>
      </c>
      <c r="Z151" s="152"/>
      <c r="AA151" s="152"/>
      <c r="AB151" s="152"/>
      <c r="AC151" s="183">
        <f t="shared" si="75"/>
        <v>33440000</v>
      </c>
      <c r="AD151" s="406">
        <f t="shared" si="76"/>
        <v>23560000</v>
      </c>
      <c r="AF151" s="933">
        <v>188</v>
      </c>
      <c r="AG151" s="934" t="s">
        <v>422</v>
      </c>
      <c r="AH151" s="934" t="s">
        <v>825</v>
      </c>
      <c r="AI151" s="851">
        <f t="shared" si="73"/>
        <v>278</v>
      </c>
      <c r="AJ151" s="935">
        <f>56000000+1000000</f>
        <v>57000000</v>
      </c>
      <c r="AK151" s="930">
        <f t="shared" si="77"/>
        <v>0</v>
      </c>
      <c r="AL151" s="872"/>
      <c r="AM151" s="314">
        <f t="shared" si="74"/>
        <v>0</v>
      </c>
    </row>
    <row r="152" spans="1:39" s="6" customFormat="1">
      <c r="A152" s="869" t="s">
        <v>61</v>
      </c>
      <c r="B152" s="143">
        <f t="shared" si="71"/>
        <v>33990000</v>
      </c>
      <c r="C152" s="93" t="s">
        <v>36</v>
      </c>
      <c r="D152" s="93" t="s">
        <v>861</v>
      </c>
      <c r="E152" s="93" t="s">
        <v>857</v>
      </c>
      <c r="F152" s="93" t="s">
        <v>857</v>
      </c>
      <c r="G152" s="1983" t="s">
        <v>56</v>
      </c>
      <c r="H152" s="2003" t="s">
        <v>1380</v>
      </c>
      <c r="I152" s="1990">
        <v>189</v>
      </c>
      <c r="J152" s="207">
        <v>0</v>
      </c>
      <c r="K152" s="522"/>
      <c r="L152" s="1054">
        <v>54</v>
      </c>
      <c r="M152" s="628">
        <v>33990000</v>
      </c>
      <c r="N152" s="517">
        <v>31</v>
      </c>
      <c r="O152" s="163">
        <v>33990000</v>
      </c>
      <c r="P152" s="236">
        <v>27</v>
      </c>
      <c r="Q152" s="241"/>
      <c r="R152" s="153">
        <v>1339000</v>
      </c>
      <c r="S152" s="153">
        <v>3090000</v>
      </c>
      <c r="T152" s="153">
        <f>VLOOKUP(N152,[7]Hoja2!N$132:T$199,7,0)</f>
        <v>3090000</v>
      </c>
      <c r="U152" s="153">
        <v>3090000</v>
      </c>
      <c r="V152" s="153">
        <v>3090000</v>
      </c>
      <c r="W152" s="153">
        <v>3090000</v>
      </c>
      <c r="X152" s="153">
        <v>3090000</v>
      </c>
      <c r="Y152" s="153">
        <v>3090000</v>
      </c>
      <c r="Z152" s="152"/>
      <c r="AA152" s="152"/>
      <c r="AB152" s="152"/>
      <c r="AC152" s="183">
        <f t="shared" si="75"/>
        <v>22969000</v>
      </c>
      <c r="AD152" s="406">
        <f t="shared" si="76"/>
        <v>11021000</v>
      </c>
      <c r="AF152" s="933">
        <v>189</v>
      </c>
      <c r="AG152" s="934" t="s">
        <v>392</v>
      </c>
      <c r="AH152" s="279" t="s">
        <v>739</v>
      </c>
      <c r="AI152" s="851">
        <f t="shared" si="73"/>
        <v>27</v>
      </c>
      <c r="AJ152" s="935">
        <v>33990000</v>
      </c>
      <c r="AK152" s="930">
        <f t="shared" si="77"/>
        <v>0</v>
      </c>
      <c r="AL152" s="872"/>
      <c r="AM152" s="314">
        <f t="shared" si="74"/>
        <v>0</v>
      </c>
    </row>
    <row r="153" spans="1:39" s="6" customFormat="1">
      <c r="A153" s="869" t="s">
        <v>61</v>
      </c>
      <c r="B153" s="143">
        <f t="shared" si="71"/>
        <v>33300000</v>
      </c>
      <c r="C153" s="93" t="s">
        <v>36</v>
      </c>
      <c r="D153" s="93" t="s">
        <v>861</v>
      </c>
      <c r="E153" s="93" t="s">
        <v>857</v>
      </c>
      <c r="F153" s="93" t="s">
        <v>857</v>
      </c>
      <c r="G153" s="1983" t="s">
        <v>56</v>
      </c>
      <c r="H153" s="2003" t="s">
        <v>1380</v>
      </c>
      <c r="I153" s="1990">
        <v>190</v>
      </c>
      <c r="J153" s="207">
        <v>0</v>
      </c>
      <c r="K153" s="522"/>
      <c r="L153" s="1054">
        <v>360</v>
      </c>
      <c r="M153" s="196">
        <v>33300000</v>
      </c>
      <c r="N153" s="282">
        <v>365</v>
      </c>
      <c r="O153" s="868">
        <v>33300000</v>
      </c>
      <c r="P153" s="245">
        <v>290</v>
      </c>
      <c r="Q153" s="241"/>
      <c r="R153" s="153"/>
      <c r="S153" s="153"/>
      <c r="T153" s="153">
        <f>VLOOKUP(N153,[7]Hoja2!N$132:T$199,7,0)</f>
        <v>2096667</v>
      </c>
      <c r="U153" s="153">
        <v>3700000</v>
      </c>
      <c r="V153" s="153">
        <v>3700000</v>
      </c>
      <c r="W153" s="153">
        <v>3700000</v>
      </c>
      <c r="X153" s="153">
        <v>3700000</v>
      </c>
      <c r="Y153" s="153"/>
      <c r="Z153" s="152"/>
      <c r="AA153" s="152"/>
      <c r="AB153" s="152"/>
      <c r="AC153" s="183">
        <f t="shared" si="75"/>
        <v>16896667</v>
      </c>
      <c r="AD153" s="406">
        <f t="shared" si="76"/>
        <v>16403333</v>
      </c>
      <c r="AF153" s="933">
        <v>190</v>
      </c>
      <c r="AG153" s="934" t="s">
        <v>423</v>
      </c>
      <c r="AH153" s="934" t="s">
        <v>836</v>
      </c>
      <c r="AI153" s="851">
        <f t="shared" si="73"/>
        <v>290</v>
      </c>
      <c r="AJ153" s="935">
        <v>33300000</v>
      </c>
      <c r="AK153" s="930">
        <f t="shared" si="77"/>
        <v>0</v>
      </c>
      <c r="AL153" s="872"/>
      <c r="AM153" s="314">
        <f t="shared" si="74"/>
        <v>0</v>
      </c>
    </row>
    <row r="154" spans="1:39" s="6" customFormat="1">
      <c r="A154" s="869" t="s">
        <v>61</v>
      </c>
      <c r="B154" s="143">
        <f t="shared" si="71"/>
        <v>54600000</v>
      </c>
      <c r="C154" s="93" t="s">
        <v>36</v>
      </c>
      <c r="D154" s="93" t="s">
        <v>861</v>
      </c>
      <c r="E154" s="93" t="s">
        <v>857</v>
      </c>
      <c r="F154" s="93" t="s">
        <v>857</v>
      </c>
      <c r="G154" s="1983" t="s">
        <v>56</v>
      </c>
      <c r="H154" s="2003" t="s">
        <v>1380</v>
      </c>
      <c r="I154" s="1990">
        <v>191</v>
      </c>
      <c r="J154" s="207">
        <v>0</v>
      </c>
      <c r="K154" s="522"/>
      <c r="L154" s="1054">
        <v>297</v>
      </c>
      <c r="M154" s="196">
        <v>54600000</v>
      </c>
      <c r="N154" s="517">
        <v>322</v>
      </c>
      <c r="O154" s="868">
        <v>54600000</v>
      </c>
      <c r="P154" s="245">
        <v>257</v>
      </c>
      <c r="Q154" s="241"/>
      <c r="R154" s="153"/>
      <c r="S154" s="153">
        <v>866667</v>
      </c>
      <c r="T154" s="153">
        <f>VLOOKUP(N154,[7]Hoja2!N$132:T$199,7,0)</f>
        <v>5200000</v>
      </c>
      <c r="U154" s="153">
        <v>5200000</v>
      </c>
      <c r="V154" s="153">
        <v>5200000</v>
      </c>
      <c r="W154" s="153">
        <v>5200000</v>
      </c>
      <c r="X154" s="153">
        <v>5200000</v>
      </c>
      <c r="Y154" s="153">
        <v>5200000</v>
      </c>
      <c r="Z154" s="152"/>
      <c r="AA154" s="152"/>
      <c r="AB154" s="152"/>
      <c r="AC154" s="183">
        <f t="shared" si="75"/>
        <v>32066667</v>
      </c>
      <c r="AD154" s="406">
        <f t="shared" si="76"/>
        <v>22533333</v>
      </c>
      <c r="AF154" s="933">
        <v>191</v>
      </c>
      <c r="AG154" s="934" t="s">
        <v>514</v>
      </c>
      <c r="AH154" s="934" t="s">
        <v>813</v>
      </c>
      <c r="AI154" s="851">
        <f t="shared" si="73"/>
        <v>257</v>
      </c>
      <c r="AJ154" s="935">
        <f>57200000-2600000</f>
        <v>54600000</v>
      </c>
      <c r="AK154" s="930">
        <f t="shared" si="77"/>
        <v>0</v>
      </c>
      <c r="AL154" s="872"/>
      <c r="AM154" s="314">
        <f t="shared" si="74"/>
        <v>0</v>
      </c>
    </row>
    <row r="155" spans="1:39" s="6" customFormat="1">
      <c r="A155" s="869" t="s">
        <v>61</v>
      </c>
      <c r="B155" s="143">
        <f t="shared" si="71"/>
        <v>38729000</v>
      </c>
      <c r="C155" s="93" t="s">
        <v>36</v>
      </c>
      <c r="D155" s="93" t="s">
        <v>861</v>
      </c>
      <c r="E155" s="93" t="s">
        <v>857</v>
      </c>
      <c r="F155" s="93" t="s">
        <v>857</v>
      </c>
      <c r="G155" s="1983" t="s">
        <v>56</v>
      </c>
      <c r="H155" s="2003" t="s">
        <v>1380</v>
      </c>
      <c r="I155" s="1990">
        <v>192</v>
      </c>
      <c r="J155" s="207">
        <v>0</v>
      </c>
      <c r="K155" s="522"/>
      <c r="L155" s="1054">
        <v>152</v>
      </c>
      <c r="M155" s="196">
        <v>38729000</v>
      </c>
      <c r="N155" s="517">
        <v>186</v>
      </c>
      <c r="O155" s="807">
        <v>38729000</v>
      </c>
      <c r="P155" s="236">
        <v>139</v>
      </c>
      <c r="Q155" s="241"/>
      <c r="R155" s="153"/>
      <c r="S155" s="153">
        <v>3700000</v>
      </c>
      <c r="T155" s="153">
        <f>VLOOKUP(N155,[7]Hoja2!N$132:T$199,7,0)</f>
        <v>3700000</v>
      </c>
      <c r="U155" s="153">
        <v>3700000</v>
      </c>
      <c r="V155" s="153">
        <v>3700000</v>
      </c>
      <c r="W155" s="153">
        <v>3700000</v>
      </c>
      <c r="X155" s="153">
        <v>3700000</v>
      </c>
      <c r="Y155" s="153">
        <v>3700000</v>
      </c>
      <c r="Z155" s="152"/>
      <c r="AA155" s="152"/>
      <c r="AB155" s="152"/>
      <c r="AC155" s="183">
        <f t="shared" si="75"/>
        <v>25900000</v>
      </c>
      <c r="AD155" s="406">
        <f t="shared" si="76"/>
        <v>12829000</v>
      </c>
      <c r="AF155" s="933">
        <v>192</v>
      </c>
      <c r="AG155" s="934" t="s">
        <v>424</v>
      </c>
      <c r="AH155" s="279" t="s">
        <v>740</v>
      </c>
      <c r="AI155" s="851">
        <f t="shared" si="73"/>
        <v>139</v>
      </c>
      <c r="AJ155" s="935">
        <v>38729000</v>
      </c>
      <c r="AK155" s="930">
        <f>AJ155-O155</f>
        <v>0</v>
      </c>
      <c r="AL155" s="872"/>
      <c r="AM155" s="314">
        <f t="shared" si="74"/>
        <v>0</v>
      </c>
    </row>
    <row r="156" spans="1:39" s="6" customFormat="1">
      <c r="A156" s="869" t="s">
        <v>61</v>
      </c>
      <c r="B156" s="143">
        <f t="shared" si="71"/>
        <v>70290000</v>
      </c>
      <c r="C156" s="93" t="s">
        <v>36</v>
      </c>
      <c r="D156" s="93" t="s">
        <v>861</v>
      </c>
      <c r="E156" s="93" t="s">
        <v>857</v>
      </c>
      <c r="F156" s="93" t="s">
        <v>857</v>
      </c>
      <c r="G156" s="1983" t="s">
        <v>56</v>
      </c>
      <c r="H156" s="2003" t="s">
        <v>1380</v>
      </c>
      <c r="I156" s="1990">
        <v>194</v>
      </c>
      <c r="J156" s="207">
        <v>0</v>
      </c>
      <c r="K156" s="522"/>
      <c r="L156" s="1054">
        <v>26</v>
      </c>
      <c r="M156" s="628">
        <v>70290000</v>
      </c>
      <c r="N156" s="517">
        <v>10</v>
      </c>
      <c r="O156" s="163">
        <v>70290000</v>
      </c>
      <c r="P156" s="236">
        <v>8</v>
      </c>
      <c r="Q156" s="241"/>
      <c r="R156" s="153">
        <v>3195000</v>
      </c>
      <c r="S156" s="153">
        <v>6390000</v>
      </c>
      <c r="T156" s="153">
        <f>VLOOKUP(N156,[7]Hoja2!N$132:T$199,7,0)</f>
        <v>6390000</v>
      </c>
      <c r="U156" s="153">
        <v>6390000</v>
      </c>
      <c r="V156" s="153">
        <v>6390000</v>
      </c>
      <c r="W156" s="153">
        <v>6390000</v>
      </c>
      <c r="X156" s="153">
        <v>6390000</v>
      </c>
      <c r="Y156" s="153">
        <v>6390000</v>
      </c>
      <c r="Z156" s="152"/>
      <c r="AA156" s="152"/>
      <c r="AB156" s="152"/>
      <c r="AC156" s="183">
        <f t="shared" si="75"/>
        <v>47925000</v>
      </c>
      <c r="AD156" s="406">
        <f t="shared" si="76"/>
        <v>22365000</v>
      </c>
      <c r="AF156" s="933">
        <v>194</v>
      </c>
      <c r="AG156" s="934" t="s">
        <v>425</v>
      </c>
      <c r="AH156" s="279" t="s">
        <v>741</v>
      </c>
      <c r="AI156" s="851">
        <f t="shared" si="73"/>
        <v>8</v>
      </c>
      <c r="AJ156" s="935">
        <v>70290000</v>
      </c>
      <c r="AK156" s="930">
        <f>AJ156-O156</f>
        <v>0</v>
      </c>
      <c r="AL156" s="872"/>
      <c r="AM156" s="314">
        <f t="shared" si="74"/>
        <v>0</v>
      </c>
    </row>
    <row r="157" spans="1:39" s="6" customFormat="1">
      <c r="A157" s="869" t="s">
        <v>61</v>
      </c>
      <c r="B157" s="143">
        <f t="shared" si="71"/>
        <v>38280000</v>
      </c>
      <c r="C157" s="93" t="s">
        <v>36</v>
      </c>
      <c r="D157" s="93" t="s">
        <v>861</v>
      </c>
      <c r="E157" s="93" t="s">
        <v>857</v>
      </c>
      <c r="F157" s="93" t="s">
        <v>857</v>
      </c>
      <c r="G157" s="1983" t="s">
        <v>56</v>
      </c>
      <c r="H157" s="2003" t="s">
        <v>1380</v>
      </c>
      <c r="I157" s="1990">
        <v>196</v>
      </c>
      <c r="J157" s="207">
        <v>0</v>
      </c>
      <c r="K157" s="522"/>
      <c r="L157" s="1054">
        <v>64</v>
      </c>
      <c r="M157" s="628">
        <v>38280000</v>
      </c>
      <c r="N157" s="517">
        <v>13</v>
      </c>
      <c r="O157" s="163">
        <v>38280000</v>
      </c>
      <c r="P157" s="236">
        <v>5</v>
      </c>
      <c r="Q157" s="241"/>
      <c r="R157" s="153">
        <v>1740000</v>
      </c>
      <c r="S157" s="153">
        <v>3480000</v>
      </c>
      <c r="T157" s="153">
        <f>VLOOKUP(N157,[7]Hoja2!N$132:T$199,7,0)</f>
        <v>3480000</v>
      </c>
      <c r="U157" s="153">
        <v>3480000</v>
      </c>
      <c r="V157" s="153">
        <v>3480000</v>
      </c>
      <c r="W157" s="153">
        <v>3480000</v>
      </c>
      <c r="X157" s="153">
        <v>3480000</v>
      </c>
      <c r="Y157" s="153">
        <v>3480000</v>
      </c>
      <c r="Z157" s="152"/>
      <c r="AA157" s="152"/>
      <c r="AB157" s="152"/>
      <c r="AC157" s="183">
        <f t="shared" si="75"/>
        <v>26100000</v>
      </c>
      <c r="AD157" s="406">
        <f t="shared" si="76"/>
        <v>12180000</v>
      </c>
      <c r="AF157" s="933">
        <v>196</v>
      </c>
      <c r="AG157" s="934" t="s">
        <v>426</v>
      </c>
      <c r="AH157" s="279" t="s">
        <v>742</v>
      </c>
      <c r="AI157" s="851">
        <f t="shared" si="73"/>
        <v>5</v>
      </c>
      <c r="AJ157" s="935">
        <v>38280000</v>
      </c>
      <c r="AK157" s="930">
        <f t="shared" si="77"/>
        <v>0</v>
      </c>
      <c r="AL157" s="872"/>
      <c r="AM157" s="314">
        <f t="shared" si="74"/>
        <v>0</v>
      </c>
    </row>
    <row r="158" spans="1:39" s="6" customFormat="1">
      <c r="A158" s="869" t="s">
        <v>61</v>
      </c>
      <c r="B158" s="143">
        <f t="shared" si="71"/>
        <v>33550000</v>
      </c>
      <c r="C158" s="93" t="s">
        <v>36</v>
      </c>
      <c r="D158" s="93" t="s">
        <v>861</v>
      </c>
      <c r="E158" s="93" t="s">
        <v>857</v>
      </c>
      <c r="F158" s="93" t="s">
        <v>857</v>
      </c>
      <c r="G158" s="1983" t="s">
        <v>56</v>
      </c>
      <c r="H158" s="2003" t="s">
        <v>1380</v>
      </c>
      <c r="I158" s="1990">
        <v>199</v>
      </c>
      <c r="J158" s="207">
        <v>0</v>
      </c>
      <c r="K158" s="522"/>
      <c r="L158" s="1054">
        <v>62</v>
      </c>
      <c r="M158" s="628">
        <v>33550000</v>
      </c>
      <c r="N158" s="517">
        <v>12</v>
      </c>
      <c r="O158" s="163">
        <v>33550000</v>
      </c>
      <c r="P158" s="236">
        <v>2</v>
      </c>
      <c r="Q158" s="241"/>
      <c r="R158" s="153">
        <v>1525000</v>
      </c>
      <c r="S158" s="153">
        <v>3050000</v>
      </c>
      <c r="T158" s="153">
        <f>VLOOKUP(N158,[7]Hoja2!N$132:T$199,7,0)</f>
        <v>3050000</v>
      </c>
      <c r="U158" s="153">
        <v>3050000</v>
      </c>
      <c r="V158" s="153">
        <v>3050000</v>
      </c>
      <c r="W158" s="153">
        <v>3050000</v>
      </c>
      <c r="X158" s="153">
        <v>3050000</v>
      </c>
      <c r="Y158" s="153">
        <v>3050000</v>
      </c>
      <c r="Z158" s="152"/>
      <c r="AA158" s="152"/>
      <c r="AB158" s="152"/>
      <c r="AC158" s="183">
        <f t="shared" si="75"/>
        <v>22875000</v>
      </c>
      <c r="AD158" s="406">
        <f t="shared" si="76"/>
        <v>10675000</v>
      </c>
      <c r="AF158" s="933">
        <v>199</v>
      </c>
      <c r="AG158" s="934" t="s">
        <v>427</v>
      </c>
      <c r="AH158" s="279" t="s">
        <v>743</v>
      </c>
      <c r="AI158" s="851">
        <f t="shared" si="73"/>
        <v>2</v>
      </c>
      <c r="AJ158" s="935">
        <v>33550000</v>
      </c>
      <c r="AK158" s="930">
        <f t="shared" si="77"/>
        <v>0</v>
      </c>
      <c r="AL158" s="872"/>
      <c r="AM158" s="314">
        <f t="shared" si="74"/>
        <v>0</v>
      </c>
    </row>
    <row r="159" spans="1:39" s="6" customFormat="1">
      <c r="A159" s="869" t="s">
        <v>61</v>
      </c>
      <c r="B159" s="143">
        <f t="shared" si="71"/>
        <v>0</v>
      </c>
      <c r="C159" s="93" t="s">
        <v>36</v>
      </c>
      <c r="D159" s="93" t="s">
        <v>861</v>
      </c>
      <c r="E159" s="93" t="s">
        <v>857</v>
      </c>
      <c r="F159" s="93" t="s">
        <v>857</v>
      </c>
      <c r="G159" s="1983" t="s">
        <v>56</v>
      </c>
      <c r="H159" s="2003" t="s">
        <v>1380</v>
      </c>
      <c r="I159" s="1990" t="s">
        <v>150</v>
      </c>
      <c r="J159" s="207">
        <v>0</v>
      </c>
      <c r="K159" s="522"/>
      <c r="L159" s="1054"/>
      <c r="M159" s="196"/>
      <c r="N159" s="282"/>
      <c r="O159" s="868"/>
      <c r="P159" s="245"/>
      <c r="Q159" s="241"/>
      <c r="R159" s="153"/>
      <c r="S159" s="153"/>
      <c r="T159" s="153"/>
      <c r="U159" s="153"/>
      <c r="V159" s="153"/>
      <c r="W159" s="153"/>
      <c r="X159" s="153"/>
      <c r="Y159" s="153"/>
      <c r="Z159" s="152"/>
      <c r="AA159" s="152"/>
      <c r="AB159" s="152"/>
      <c r="AC159" s="183">
        <f t="shared" si="75"/>
        <v>0</v>
      </c>
      <c r="AD159" s="406">
        <f t="shared" si="76"/>
        <v>0</v>
      </c>
      <c r="AF159" s="933" t="s">
        <v>150</v>
      </c>
      <c r="AG159" s="934" t="s">
        <v>428</v>
      </c>
      <c r="AH159" s="934" t="s">
        <v>178</v>
      </c>
      <c r="AI159" s="851">
        <f t="shared" si="73"/>
        <v>0</v>
      </c>
      <c r="AJ159" s="935">
        <v>1300000</v>
      </c>
      <c r="AK159" s="930">
        <f t="shared" si="77"/>
        <v>1300000</v>
      </c>
      <c r="AL159" s="872"/>
      <c r="AM159" s="314">
        <f t="shared" si="74"/>
        <v>1300000</v>
      </c>
    </row>
    <row r="160" spans="1:39" s="6" customFormat="1">
      <c r="A160" s="869" t="s">
        <v>61</v>
      </c>
      <c r="B160" s="143">
        <f t="shared" si="71"/>
        <v>82500000</v>
      </c>
      <c r="C160" s="93" t="s">
        <v>36</v>
      </c>
      <c r="D160" s="93" t="s">
        <v>861</v>
      </c>
      <c r="E160" s="93" t="s">
        <v>857</v>
      </c>
      <c r="F160" s="93" t="s">
        <v>857</v>
      </c>
      <c r="G160" s="1983" t="s">
        <v>56</v>
      </c>
      <c r="H160" s="2003" t="s">
        <v>1380</v>
      </c>
      <c r="I160" s="1990">
        <v>206</v>
      </c>
      <c r="J160" s="207">
        <v>0</v>
      </c>
      <c r="K160" s="522"/>
      <c r="L160" s="1054">
        <v>239</v>
      </c>
      <c r="M160" s="628">
        <v>82500000</v>
      </c>
      <c r="N160" s="517">
        <v>204</v>
      </c>
      <c r="O160" s="163">
        <v>82500000</v>
      </c>
      <c r="P160" s="236">
        <v>194</v>
      </c>
      <c r="Q160" s="241"/>
      <c r="R160" s="153"/>
      <c r="S160" s="153">
        <v>7500000</v>
      </c>
      <c r="T160" s="153">
        <f>VLOOKUP(N160,[7]Hoja2!N$132:T$199,7,0)</f>
        <v>7500000</v>
      </c>
      <c r="U160" s="153">
        <v>7500000</v>
      </c>
      <c r="V160" s="153">
        <v>7500000</v>
      </c>
      <c r="W160" s="153">
        <v>7500000</v>
      </c>
      <c r="X160" s="153">
        <v>7500000</v>
      </c>
      <c r="Y160" s="153">
        <v>7500000</v>
      </c>
      <c r="Z160" s="152"/>
      <c r="AA160" s="152"/>
      <c r="AB160" s="152"/>
      <c r="AC160" s="183">
        <f t="shared" si="75"/>
        <v>52500000</v>
      </c>
      <c r="AD160" s="406">
        <f t="shared" si="76"/>
        <v>30000000</v>
      </c>
      <c r="AF160" s="933">
        <v>206</v>
      </c>
      <c r="AG160" s="934" t="s">
        <v>429</v>
      </c>
      <c r="AH160" s="279" t="s">
        <v>744</v>
      </c>
      <c r="AI160" s="851">
        <f t="shared" si="73"/>
        <v>194</v>
      </c>
      <c r="AJ160" s="935">
        <v>82500000</v>
      </c>
      <c r="AK160" s="930">
        <f t="shared" si="77"/>
        <v>0</v>
      </c>
      <c r="AL160" s="872"/>
      <c r="AM160" s="314">
        <f t="shared" si="74"/>
        <v>0</v>
      </c>
    </row>
    <row r="161" spans="1:39" s="6" customFormat="1">
      <c r="A161" s="869" t="s">
        <v>61</v>
      </c>
      <c r="B161" s="143">
        <f t="shared" si="71"/>
        <v>57000000</v>
      </c>
      <c r="C161" s="93" t="s">
        <v>36</v>
      </c>
      <c r="D161" s="93" t="s">
        <v>861</v>
      </c>
      <c r="E161" s="93" t="s">
        <v>857</v>
      </c>
      <c r="F161" s="93" t="s">
        <v>857</v>
      </c>
      <c r="G161" s="1983" t="s">
        <v>56</v>
      </c>
      <c r="H161" s="2003" t="s">
        <v>1380</v>
      </c>
      <c r="I161" s="1435">
        <v>437</v>
      </c>
      <c r="J161" s="207">
        <v>0</v>
      </c>
      <c r="K161" s="522"/>
      <c r="L161" s="282">
        <v>271</v>
      </c>
      <c r="M161" s="196">
        <v>57000000</v>
      </c>
      <c r="N161" s="517">
        <f>VLOOKUP(L161,[6]RP!I$249:J$307,2,0)</f>
        <v>278</v>
      </c>
      <c r="O161" s="154">
        <v>57000000</v>
      </c>
      <c r="P161" s="1058">
        <v>246</v>
      </c>
      <c r="Q161" s="241"/>
      <c r="R161" s="153"/>
      <c r="S161" s="153">
        <v>3610000</v>
      </c>
      <c r="T161" s="153">
        <f>VLOOKUP(N161,[7]Hoja2!N$132:T$199,7,0)</f>
        <v>5700000</v>
      </c>
      <c r="U161" s="153">
        <v>5700000</v>
      </c>
      <c r="V161" s="153">
        <v>5700000</v>
      </c>
      <c r="W161" s="153">
        <v>5700000</v>
      </c>
      <c r="X161" s="153">
        <v>5700000</v>
      </c>
      <c r="Y161" s="153">
        <v>5700000</v>
      </c>
      <c r="Z161" s="152"/>
      <c r="AA161" s="152"/>
      <c r="AB161" s="152"/>
      <c r="AC161" s="183">
        <f t="shared" si="75"/>
        <v>37810000</v>
      </c>
      <c r="AD161" s="406">
        <f t="shared" si="76"/>
        <v>19190000</v>
      </c>
      <c r="AF161" s="923">
        <v>437</v>
      </c>
      <c r="AG161" s="279" t="s">
        <v>688</v>
      </c>
      <c r="AH161" s="886" t="s">
        <v>745</v>
      </c>
      <c r="AI161" s="851">
        <f t="shared" si="73"/>
        <v>246</v>
      </c>
      <c r="AJ161" s="315">
        <v>57000000</v>
      </c>
      <c r="AK161" s="930">
        <f t="shared" si="77"/>
        <v>0</v>
      </c>
      <c r="AL161" s="872"/>
      <c r="AM161" s="314">
        <f t="shared" si="74"/>
        <v>0</v>
      </c>
    </row>
    <row r="162" spans="1:39" s="6" customFormat="1">
      <c r="A162" s="869" t="s">
        <v>61</v>
      </c>
      <c r="B162" s="143">
        <f t="shared" si="71"/>
        <v>30000000</v>
      </c>
      <c r="C162" s="93" t="s">
        <v>36</v>
      </c>
      <c r="D162" s="93" t="s">
        <v>861</v>
      </c>
      <c r="E162" s="93" t="s">
        <v>857</v>
      </c>
      <c r="F162" s="93" t="s">
        <v>857</v>
      </c>
      <c r="G162" s="1983" t="s">
        <v>56</v>
      </c>
      <c r="H162" s="2003" t="s">
        <v>1380</v>
      </c>
      <c r="I162" s="1041">
        <v>447</v>
      </c>
      <c r="J162" s="207">
        <v>0</v>
      </c>
      <c r="K162" s="522"/>
      <c r="L162" s="282">
        <v>367</v>
      </c>
      <c r="M162" s="196">
        <v>30000000</v>
      </c>
      <c r="N162" s="282">
        <v>379</v>
      </c>
      <c r="O162" s="868">
        <v>30000000</v>
      </c>
      <c r="P162" s="245">
        <v>296</v>
      </c>
      <c r="Q162" s="241"/>
      <c r="R162" s="143"/>
      <c r="S162" s="143"/>
      <c r="T162" s="153">
        <f>VLOOKUP(N162,[7]Hoja2!N$132:T$199,7,0)</f>
        <v>2000000</v>
      </c>
      <c r="U162" s="153">
        <v>5000000</v>
      </c>
      <c r="V162" s="153">
        <v>5000000</v>
      </c>
      <c r="W162" s="153">
        <v>5000000</v>
      </c>
      <c r="X162" s="153">
        <v>5000000</v>
      </c>
      <c r="Y162" s="153">
        <v>5000000</v>
      </c>
      <c r="Z162" s="152"/>
      <c r="AA162" s="152"/>
      <c r="AB162" s="152"/>
      <c r="AC162" s="183">
        <f t="shared" si="75"/>
        <v>27000000</v>
      </c>
      <c r="AD162" s="406">
        <f t="shared" si="76"/>
        <v>3000000</v>
      </c>
      <c r="AF162" s="923">
        <v>447</v>
      </c>
      <c r="AG162" s="279" t="s">
        <v>782</v>
      </c>
      <c r="AH162" s="934" t="s">
        <v>848</v>
      </c>
      <c r="AI162" s="851">
        <f t="shared" si="73"/>
        <v>296</v>
      </c>
      <c r="AJ162" s="315">
        <f>31779333-1779333</f>
        <v>30000000</v>
      </c>
      <c r="AK162" s="930">
        <f t="shared" si="77"/>
        <v>0</v>
      </c>
      <c r="AL162" s="872"/>
      <c r="AM162" s="314">
        <f t="shared" si="74"/>
        <v>0</v>
      </c>
    </row>
    <row r="163" spans="1:39" s="6" customFormat="1">
      <c r="A163" s="869" t="s">
        <v>61</v>
      </c>
      <c r="B163" s="143">
        <f t="shared" si="71"/>
        <v>15000000</v>
      </c>
      <c r="C163" s="93" t="s">
        <v>36</v>
      </c>
      <c r="D163" s="93" t="s">
        <v>861</v>
      </c>
      <c r="E163" s="93" t="s">
        <v>857</v>
      </c>
      <c r="F163" s="93" t="s">
        <v>857</v>
      </c>
      <c r="G163" s="1983" t="s">
        <v>56</v>
      </c>
      <c r="H163" s="2003" t="s">
        <v>1380</v>
      </c>
      <c r="I163" s="1041" t="s">
        <v>178</v>
      </c>
      <c r="J163" s="207">
        <v>600</v>
      </c>
      <c r="K163" s="522">
        <v>15000000</v>
      </c>
      <c r="L163" s="860" t="s">
        <v>1361</v>
      </c>
      <c r="M163" s="196">
        <f>15000000-15000000+15000000</f>
        <v>15000000</v>
      </c>
      <c r="N163" s="282">
        <v>835</v>
      </c>
      <c r="O163" s="868">
        <v>15000000</v>
      </c>
      <c r="P163" s="245">
        <v>296</v>
      </c>
      <c r="Q163" s="241"/>
      <c r="R163" s="143"/>
      <c r="S163" s="143"/>
      <c r="T163" s="153"/>
      <c r="U163" s="153"/>
      <c r="V163" s="153"/>
      <c r="W163" s="153"/>
      <c r="X163" s="153"/>
      <c r="Y163" s="153"/>
      <c r="Z163" s="152"/>
      <c r="AA163" s="152"/>
      <c r="AB163" s="152"/>
      <c r="AC163" s="183">
        <f t="shared" ref="AC163:AC164" si="78">SUM(Q163:AB163)</f>
        <v>0</v>
      </c>
      <c r="AD163" s="406">
        <f t="shared" ref="AD163:AD164" si="79">O163-AC163</f>
        <v>15000000</v>
      </c>
      <c r="AF163" s="923" t="s">
        <v>349</v>
      </c>
      <c r="AG163" s="279" t="s">
        <v>1316</v>
      </c>
      <c r="AH163" s="934" t="s">
        <v>848</v>
      </c>
      <c r="AI163" s="851">
        <f t="shared" ref="AI163" si="80">P163</f>
        <v>296</v>
      </c>
      <c r="AJ163" s="315">
        <v>15000000</v>
      </c>
      <c r="AK163" s="930">
        <f t="shared" si="77"/>
        <v>0</v>
      </c>
      <c r="AL163" s="872"/>
      <c r="AM163" s="314">
        <f t="shared" si="74"/>
        <v>0</v>
      </c>
    </row>
    <row r="164" spans="1:39" s="6" customFormat="1">
      <c r="A164" s="869" t="s">
        <v>61</v>
      </c>
      <c r="B164" s="143">
        <f t="shared" si="71"/>
        <v>44940000</v>
      </c>
      <c r="C164" s="93" t="s">
        <v>36</v>
      </c>
      <c r="D164" s="93" t="s">
        <v>861</v>
      </c>
      <c r="E164" s="93" t="s">
        <v>857</v>
      </c>
      <c r="F164" s="93" t="s">
        <v>857</v>
      </c>
      <c r="G164" s="1983" t="s">
        <v>56</v>
      </c>
      <c r="H164" s="2003" t="s">
        <v>1380</v>
      </c>
      <c r="I164" s="1041">
        <v>448</v>
      </c>
      <c r="J164" s="207">
        <v>0</v>
      </c>
      <c r="K164" s="522"/>
      <c r="L164" s="282">
        <v>368</v>
      </c>
      <c r="M164" s="196">
        <v>44940000</v>
      </c>
      <c r="N164" s="282">
        <v>383</v>
      </c>
      <c r="O164" s="868">
        <v>44940000</v>
      </c>
      <c r="P164" s="245">
        <v>299</v>
      </c>
      <c r="Q164" s="241"/>
      <c r="R164" s="143"/>
      <c r="S164" s="143"/>
      <c r="T164" s="153"/>
      <c r="U164" s="153">
        <f>2746333+7490000</f>
        <v>10236333</v>
      </c>
      <c r="V164" s="153">
        <v>7490000</v>
      </c>
      <c r="W164" s="153">
        <v>7490000</v>
      </c>
      <c r="X164" s="153">
        <v>7490000</v>
      </c>
      <c r="Y164" s="153">
        <v>7490000</v>
      </c>
      <c r="Z164" s="152"/>
      <c r="AA164" s="152"/>
      <c r="AB164" s="152"/>
      <c r="AC164" s="183">
        <f t="shared" si="78"/>
        <v>40196333</v>
      </c>
      <c r="AD164" s="406">
        <f t="shared" si="79"/>
        <v>4743667</v>
      </c>
      <c r="AF164" s="923">
        <v>448</v>
      </c>
      <c r="AG164" s="279" t="s">
        <v>783</v>
      </c>
      <c r="AH164" s="934" t="s">
        <v>849</v>
      </c>
      <c r="AI164" s="851">
        <f t="shared" si="73"/>
        <v>299</v>
      </c>
      <c r="AJ164" s="315">
        <v>44940000</v>
      </c>
      <c r="AK164" s="930">
        <f t="shared" si="77"/>
        <v>0</v>
      </c>
      <c r="AL164" s="872"/>
      <c r="AM164" s="314">
        <f t="shared" si="74"/>
        <v>0</v>
      </c>
    </row>
    <row r="165" spans="1:39" s="6" customFormat="1">
      <c r="A165" s="869" t="s">
        <v>61</v>
      </c>
      <c r="B165" s="143">
        <f t="shared" si="71"/>
        <v>22470000</v>
      </c>
      <c r="C165" s="93" t="s">
        <v>36</v>
      </c>
      <c r="D165" s="93" t="s">
        <v>861</v>
      </c>
      <c r="E165" s="93" t="s">
        <v>857</v>
      </c>
      <c r="F165" s="93" t="s">
        <v>857</v>
      </c>
      <c r="G165" s="1983" t="s">
        <v>56</v>
      </c>
      <c r="H165" s="2003" t="s">
        <v>1380</v>
      </c>
      <c r="I165" s="1041" t="s">
        <v>178</v>
      </c>
      <c r="J165" s="207">
        <v>601</v>
      </c>
      <c r="K165" s="522">
        <v>22470000</v>
      </c>
      <c r="L165" s="282">
        <v>681</v>
      </c>
      <c r="M165" s="196">
        <v>22470000</v>
      </c>
      <c r="N165" s="282"/>
      <c r="O165" s="868"/>
      <c r="P165" s="245">
        <v>299</v>
      </c>
      <c r="Q165" s="241"/>
      <c r="R165" s="143"/>
      <c r="S165" s="143"/>
      <c r="T165" s="153"/>
      <c r="U165" s="153"/>
      <c r="V165" s="153"/>
      <c r="W165" s="153"/>
      <c r="X165" s="153"/>
      <c r="Y165" s="153"/>
      <c r="Z165" s="152"/>
      <c r="AA165" s="152"/>
      <c r="AB165" s="152"/>
      <c r="AC165" s="183">
        <f t="shared" ref="AC165:AC171" si="81">SUM(Q165:AB165)</f>
        <v>0</v>
      </c>
      <c r="AD165" s="406">
        <f t="shared" ref="AD165:AD171" si="82">O165-AC165</f>
        <v>0</v>
      </c>
      <c r="AF165" s="923" t="s">
        <v>349</v>
      </c>
      <c r="AG165" s="279" t="s">
        <v>1307</v>
      </c>
      <c r="AH165" s="934" t="s">
        <v>849</v>
      </c>
      <c r="AI165" s="851">
        <f t="shared" si="73"/>
        <v>299</v>
      </c>
      <c r="AJ165" s="315">
        <v>22470000</v>
      </c>
      <c r="AK165" s="930">
        <f t="shared" si="77"/>
        <v>22470000</v>
      </c>
      <c r="AL165" s="872"/>
      <c r="AM165" s="314">
        <f t="shared" si="74"/>
        <v>0</v>
      </c>
    </row>
    <row r="166" spans="1:39" s="6" customFormat="1">
      <c r="A166" s="869" t="s">
        <v>61</v>
      </c>
      <c r="B166" s="143">
        <f t="shared" si="71"/>
        <v>42600000</v>
      </c>
      <c r="C166" s="93" t="s">
        <v>36</v>
      </c>
      <c r="D166" s="93" t="s">
        <v>861</v>
      </c>
      <c r="E166" s="93" t="s">
        <v>857</v>
      </c>
      <c r="F166" s="93" t="s">
        <v>857</v>
      </c>
      <c r="G166" s="1983" t="s">
        <v>56</v>
      </c>
      <c r="H166" s="2003" t="s">
        <v>1380</v>
      </c>
      <c r="I166" s="1041">
        <v>449</v>
      </c>
      <c r="J166" s="207">
        <v>0</v>
      </c>
      <c r="K166" s="522"/>
      <c r="L166" s="282">
        <v>369</v>
      </c>
      <c r="M166" s="196">
        <v>42600000</v>
      </c>
      <c r="N166" s="282">
        <v>378</v>
      </c>
      <c r="O166" s="868">
        <v>42600000</v>
      </c>
      <c r="P166" s="245">
        <v>295</v>
      </c>
      <c r="Q166" s="241"/>
      <c r="R166" s="143"/>
      <c r="S166" s="143"/>
      <c r="T166" s="153">
        <v>2840000</v>
      </c>
      <c r="U166" s="153">
        <v>7100000</v>
      </c>
      <c r="V166" s="153">
        <v>7100000</v>
      </c>
      <c r="W166" s="153">
        <v>7100000</v>
      </c>
      <c r="X166" s="153"/>
      <c r="Y166" s="153">
        <v>4023333</v>
      </c>
      <c r="Z166" s="152"/>
      <c r="AA166" s="152"/>
      <c r="AB166" s="152"/>
      <c r="AC166" s="183">
        <f t="shared" si="81"/>
        <v>28163333</v>
      </c>
      <c r="AD166" s="406">
        <f t="shared" si="82"/>
        <v>14436667</v>
      </c>
      <c r="AF166" s="923">
        <v>449</v>
      </c>
      <c r="AG166" s="279" t="s">
        <v>784</v>
      </c>
      <c r="AH166" s="934" t="s">
        <v>847</v>
      </c>
      <c r="AI166" s="851">
        <f t="shared" si="73"/>
        <v>295</v>
      </c>
      <c r="AJ166" s="315">
        <v>42600000</v>
      </c>
      <c r="AK166" s="930">
        <f t="shared" si="77"/>
        <v>0</v>
      </c>
      <c r="AL166" s="872"/>
      <c r="AM166" s="314">
        <f t="shared" si="74"/>
        <v>0</v>
      </c>
    </row>
    <row r="167" spans="1:39" s="6" customFormat="1">
      <c r="A167" s="869" t="s">
        <v>61</v>
      </c>
      <c r="B167" s="143">
        <f t="shared" si="71"/>
        <v>30900000</v>
      </c>
      <c r="C167" s="93" t="s">
        <v>36</v>
      </c>
      <c r="D167" s="93" t="s">
        <v>861</v>
      </c>
      <c r="E167" s="93" t="s">
        <v>857</v>
      </c>
      <c r="F167" s="93" t="s">
        <v>857</v>
      </c>
      <c r="G167" s="1983" t="s">
        <v>56</v>
      </c>
      <c r="H167" s="2003" t="s">
        <v>1380</v>
      </c>
      <c r="I167" s="1041">
        <v>455</v>
      </c>
      <c r="J167" s="207">
        <v>0</v>
      </c>
      <c r="K167" s="522"/>
      <c r="L167" s="282">
        <v>481</v>
      </c>
      <c r="M167" s="196">
        <v>30900000</v>
      </c>
      <c r="N167" s="282">
        <v>509</v>
      </c>
      <c r="O167" s="868">
        <v>30900000</v>
      </c>
      <c r="P167" s="245">
        <v>362</v>
      </c>
      <c r="Q167" s="241"/>
      <c r="R167" s="143"/>
      <c r="S167" s="143"/>
      <c r="T167" s="143"/>
      <c r="U167" s="143"/>
      <c r="V167" s="153">
        <v>1785333</v>
      </c>
      <c r="W167" s="153">
        <v>4120000</v>
      </c>
      <c r="X167" s="153">
        <f>4120000-4120000</f>
        <v>0</v>
      </c>
      <c r="Y167" s="153">
        <f>4120000+4120000</f>
        <v>8240000</v>
      </c>
      <c r="Z167" s="152"/>
      <c r="AA167" s="152"/>
      <c r="AB167" s="152"/>
      <c r="AC167" s="183">
        <f t="shared" si="81"/>
        <v>14145333</v>
      </c>
      <c r="AD167" s="406">
        <f t="shared" si="82"/>
        <v>16754667</v>
      </c>
      <c r="AF167" s="923">
        <v>455</v>
      </c>
      <c r="AG167" s="279" t="s">
        <v>926</v>
      </c>
      <c r="AH167" s="934" t="s">
        <v>1034</v>
      </c>
      <c r="AI167" s="851">
        <f t="shared" si="73"/>
        <v>362</v>
      </c>
      <c r="AJ167" s="315">
        <f>32000000-1100000</f>
        <v>30900000</v>
      </c>
      <c r="AK167" s="930">
        <f t="shared" si="77"/>
        <v>0</v>
      </c>
      <c r="AL167" s="872"/>
      <c r="AM167" s="314">
        <f t="shared" si="74"/>
        <v>0</v>
      </c>
    </row>
    <row r="168" spans="1:39" s="6" customFormat="1">
      <c r="A168" s="869" t="s">
        <v>61</v>
      </c>
      <c r="B168" s="143">
        <f t="shared" si="71"/>
        <v>24000000</v>
      </c>
      <c r="C168" s="93" t="s">
        <v>36</v>
      </c>
      <c r="D168" s="93" t="s">
        <v>861</v>
      </c>
      <c r="E168" s="93" t="s">
        <v>857</v>
      </c>
      <c r="F168" s="93" t="s">
        <v>857</v>
      </c>
      <c r="G168" s="1983" t="s">
        <v>56</v>
      </c>
      <c r="H168" s="2003" t="s">
        <v>1380</v>
      </c>
      <c r="I168" s="1041">
        <v>540</v>
      </c>
      <c r="J168" s="207">
        <v>0</v>
      </c>
      <c r="K168" s="522"/>
      <c r="L168" s="282">
        <v>567</v>
      </c>
      <c r="M168" s="196">
        <v>24000000</v>
      </c>
      <c r="N168" s="282">
        <v>649</v>
      </c>
      <c r="O168" s="868">
        <v>24000000</v>
      </c>
      <c r="P168" s="245">
        <v>390</v>
      </c>
      <c r="Q168" s="241"/>
      <c r="R168" s="143"/>
      <c r="S168" s="143"/>
      <c r="T168" s="143"/>
      <c r="U168" s="143"/>
      <c r="V168" s="152"/>
      <c r="W168" s="153"/>
      <c r="X168" s="153">
        <v>4833333</v>
      </c>
      <c r="Y168" s="153">
        <v>5000000</v>
      </c>
      <c r="Z168" s="152"/>
      <c r="AA168" s="152"/>
      <c r="AB168" s="152"/>
      <c r="AC168" s="183">
        <f t="shared" si="81"/>
        <v>9833333</v>
      </c>
      <c r="AD168" s="406">
        <f t="shared" si="82"/>
        <v>14166667</v>
      </c>
      <c r="AF168" s="923">
        <v>540</v>
      </c>
      <c r="AG168" s="279" t="s">
        <v>1127</v>
      </c>
      <c r="AH168" s="934" t="s">
        <v>1173</v>
      </c>
      <c r="AI168" s="851">
        <f t="shared" si="73"/>
        <v>390</v>
      </c>
      <c r="AJ168" s="315">
        <v>24000000</v>
      </c>
      <c r="AK168" s="930">
        <f t="shared" si="77"/>
        <v>0</v>
      </c>
      <c r="AL168" s="872"/>
      <c r="AM168" s="314">
        <f t="shared" si="74"/>
        <v>0</v>
      </c>
    </row>
    <row r="169" spans="1:39" s="865" customFormat="1">
      <c r="A169" s="869" t="s">
        <v>61</v>
      </c>
      <c r="B169" s="143">
        <f t="shared" si="71"/>
        <v>0</v>
      </c>
      <c r="C169" s="93" t="s">
        <v>36</v>
      </c>
      <c r="D169" s="93" t="s">
        <v>861</v>
      </c>
      <c r="E169" s="93" t="s">
        <v>857</v>
      </c>
      <c r="F169" s="93" t="s">
        <v>857</v>
      </c>
      <c r="G169" s="1983" t="s">
        <v>56</v>
      </c>
      <c r="H169" s="2003" t="s">
        <v>1380</v>
      </c>
      <c r="I169" s="1041">
        <v>541</v>
      </c>
      <c r="J169" s="207">
        <v>0</v>
      </c>
      <c r="K169" s="806"/>
      <c r="L169" s="860"/>
      <c r="M169" s="859"/>
      <c r="N169" s="860"/>
      <c r="O169" s="859"/>
      <c r="P169" s="245"/>
      <c r="Q169" s="241"/>
      <c r="R169" s="143"/>
      <c r="S169" s="143"/>
      <c r="T169" s="143"/>
      <c r="U169" s="143"/>
      <c r="V169" s="153"/>
      <c r="W169" s="153"/>
      <c r="X169" s="153"/>
      <c r="Y169" s="153"/>
      <c r="Z169" s="152"/>
      <c r="AA169" s="152"/>
      <c r="AB169" s="152"/>
      <c r="AC169" s="183">
        <f t="shared" si="81"/>
        <v>0</v>
      </c>
      <c r="AD169" s="406">
        <f t="shared" si="82"/>
        <v>0</v>
      </c>
      <c r="AF169" s="923">
        <v>541</v>
      </c>
      <c r="AG169" s="365" t="s">
        <v>1128</v>
      </c>
      <c r="AH169" s="934" t="s">
        <v>178</v>
      </c>
      <c r="AI169" s="851">
        <f t="shared" si="73"/>
        <v>0</v>
      </c>
      <c r="AJ169" s="871">
        <f>21000000-21000000</f>
        <v>0</v>
      </c>
      <c r="AK169" s="930">
        <f t="shared" si="77"/>
        <v>0</v>
      </c>
      <c r="AL169" s="872"/>
      <c r="AM169" s="314">
        <f t="shared" si="74"/>
        <v>0</v>
      </c>
    </row>
    <row r="170" spans="1:39" s="865" customFormat="1">
      <c r="A170" s="869" t="s">
        <v>61</v>
      </c>
      <c r="B170" s="143">
        <f t="shared" si="71"/>
        <v>15000000</v>
      </c>
      <c r="C170" s="93" t="s">
        <v>36</v>
      </c>
      <c r="D170" s="93" t="s">
        <v>861</v>
      </c>
      <c r="E170" s="93" t="s">
        <v>857</v>
      </c>
      <c r="F170" s="93" t="s">
        <v>857</v>
      </c>
      <c r="G170" s="1983" t="s">
        <v>56</v>
      </c>
      <c r="H170" s="2003" t="s">
        <v>1380</v>
      </c>
      <c r="I170" s="1041">
        <v>551</v>
      </c>
      <c r="J170" s="207"/>
      <c r="K170" s="806"/>
      <c r="L170" s="860">
        <v>602</v>
      </c>
      <c r="M170" s="859">
        <v>15000000</v>
      </c>
      <c r="N170" s="860">
        <v>731</v>
      </c>
      <c r="O170" s="859">
        <v>15000000</v>
      </c>
      <c r="P170" s="245">
        <v>431</v>
      </c>
      <c r="Q170" s="1427"/>
      <c r="R170" s="868"/>
      <c r="S170" s="868"/>
      <c r="T170" s="868"/>
      <c r="U170" s="868"/>
      <c r="V170" s="481"/>
      <c r="W170" s="153"/>
      <c r="X170" s="153"/>
      <c r="Y170" s="153">
        <v>3571428</v>
      </c>
      <c r="Z170" s="1428"/>
      <c r="AA170" s="1428"/>
      <c r="AB170" s="1428"/>
      <c r="AC170" s="183">
        <f t="shared" si="81"/>
        <v>3571428</v>
      </c>
      <c r="AD170" s="406">
        <f t="shared" si="82"/>
        <v>11428572</v>
      </c>
      <c r="AF170" s="923">
        <v>551</v>
      </c>
      <c r="AG170" s="365" t="s">
        <v>1151</v>
      </c>
      <c r="AH170" s="934" t="s">
        <v>1263</v>
      </c>
      <c r="AI170" s="851">
        <f t="shared" si="73"/>
        <v>431</v>
      </c>
      <c r="AJ170" s="871">
        <v>15000000</v>
      </c>
      <c r="AK170" s="930">
        <f t="shared" si="77"/>
        <v>0</v>
      </c>
      <c r="AL170" s="872"/>
      <c r="AM170" s="314">
        <f t="shared" si="74"/>
        <v>0</v>
      </c>
    </row>
    <row r="171" spans="1:39" s="865" customFormat="1">
      <c r="A171" s="869" t="s">
        <v>61</v>
      </c>
      <c r="B171" s="143">
        <f t="shared" si="71"/>
        <v>33000000</v>
      </c>
      <c r="C171" s="93" t="s">
        <v>36</v>
      </c>
      <c r="D171" s="93" t="s">
        <v>861</v>
      </c>
      <c r="E171" s="93" t="s">
        <v>857</v>
      </c>
      <c r="F171" s="93" t="s">
        <v>857</v>
      </c>
      <c r="G171" s="1983" t="s">
        <v>56</v>
      </c>
      <c r="H171" s="2003" t="s">
        <v>1380</v>
      </c>
      <c r="I171" s="1041">
        <v>552</v>
      </c>
      <c r="J171" s="207"/>
      <c r="K171" s="806"/>
      <c r="L171" s="860">
        <v>590</v>
      </c>
      <c r="M171" s="859">
        <v>33000000</v>
      </c>
      <c r="N171" s="860">
        <v>660</v>
      </c>
      <c r="O171" s="859">
        <v>33000000</v>
      </c>
      <c r="P171" s="245">
        <v>404</v>
      </c>
      <c r="Q171" s="1427"/>
      <c r="R171" s="868"/>
      <c r="S171" s="868"/>
      <c r="T171" s="868"/>
      <c r="U171" s="868"/>
      <c r="V171" s="481"/>
      <c r="W171" s="153"/>
      <c r="X171" s="153">
        <v>5720000</v>
      </c>
      <c r="Y171" s="153">
        <v>6600000</v>
      </c>
      <c r="Z171" s="1428"/>
      <c r="AA171" s="1428"/>
      <c r="AB171" s="1428"/>
      <c r="AC171" s="183">
        <f t="shared" si="81"/>
        <v>12320000</v>
      </c>
      <c r="AD171" s="406">
        <f t="shared" si="82"/>
        <v>20680000</v>
      </c>
      <c r="AF171" s="923">
        <v>552</v>
      </c>
      <c r="AG171" s="365" t="s">
        <v>1152</v>
      </c>
      <c r="AH171" s="934" t="s">
        <v>1174</v>
      </c>
      <c r="AI171" s="851">
        <f t="shared" si="73"/>
        <v>404</v>
      </c>
      <c r="AJ171" s="871">
        <v>33000000</v>
      </c>
      <c r="AK171" s="930">
        <f t="shared" si="77"/>
        <v>0</v>
      </c>
      <c r="AL171" s="872"/>
      <c r="AM171" s="314">
        <f t="shared" si="74"/>
        <v>0</v>
      </c>
    </row>
    <row r="172" spans="1:39" s="865" customFormat="1">
      <c r="A172" s="869" t="s">
        <v>61</v>
      </c>
      <c r="B172" s="143">
        <f t="shared" si="71"/>
        <v>0</v>
      </c>
      <c r="C172" s="93" t="s">
        <v>36</v>
      </c>
      <c r="D172" s="93" t="s">
        <v>861</v>
      </c>
      <c r="E172" s="93" t="s">
        <v>857</v>
      </c>
      <c r="F172" s="93" t="s">
        <v>857</v>
      </c>
      <c r="G172" s="1983" t="s">
        <v>56</v>
      </c>
      <c r="H172" s="2003" t="s">
        <v>1380</v>
      </c>
      <c r="I172" s="1041">
        <v>599</v>
      </c>
      <c r="J172" s="207"/>
      <c r="K172" s="806"/>
      <c r="L172" s="860"/>
      <c r="M172" s="859"/>
      <c r="N172" s="860"/>
      <c r="O172" s="859"/>
      <c r="P172" s="245"/>
      <c r="Q172" s="1427"/>
      <c r="R172" s="868"/>
      <c r="S172" s="868"/>
      <c r="T172" s="868"/>
      <c r="U172" s="868"/>
      <c r="V172" s="481"/>
      <c r="W172" s="481"/>
      <c r="X172" s="481"/>
      <c r="Y172" s="481"/>
      <c r="Z172" s="1428"/>
      <c r="AA172" s="1428"/>
      <c r="AB172" s="1428"/>
      <c r="AC172" s="183">
        <f t="shared" ref="AC172:AC174" si="83">SUM(Q172:AB172)</f>
        <v>0</v>
      </c>
      <c r="AD172" s="406">
        <f t="shared" ref="AD172:AD174" si="84">O172-AC172</f>
        <v>0</v>
      </c>
      <c r="AF172" s="923">
        <v>599</v>
      </c>
      <c r="AG172" s="365" t="s">
        <v>1353</v>
      </c>
      <c r="AH172" s="934"/>
      <c r="AI172" s="851">
        <f t="shared" si="73"/>
        <v>0</v>
      </c>
      <c r="AJ172" s="871">
        <v>7500000</v>
      </c>
      <c r="AK172" s="930">
        <f t="shared" si="77"/>
        <v>7500000</v>
      </c>
      <c r="AL172" s="872"/>
      <c r="AM172" s="314">
        <f t="shared" si="74"/>
        <v>7500000</v>
      </c>
    </row>
    <row r="173" spans="1:39" s="865" customFormat="1">
      <c r="A173" s="869" t="s">
        <v>61</v>
      </c>
      <c r="B173" s="143">
        <f t="shared" si="71"/>
        <v>0</v>
      </c>
      <c r="C173" s="93" t="s">
        <v>36</v>
      </c>
      <c r="D173" s="93" t="s">
        <v>861</v>
      </c>
      <c r="E173" s="93" t="s">
        <v>857</v>
      </c>
      <c r="F173" s="93" t="s">
        <v>857</v>
      </c>
      <c r="G173" s="1983" t="s">
        <v>56</v>
      </c>
      <c r="H173" s="2003" t="s">
        <v>1380</v>
      </c>
      <c r="I173" s="1041" t="s">
        <v>178</v>
      </c>
      <c r="J173" s="207"/>
      <c r="K173" s="806"/>
      <c r="L173" s="860"/>
      <c r="M173" s="859"/>
      <c r="N173" s="860"/>
      <c r="O173" s="859"/>
      <c r="P173" s="245"/>
      <c r="Q173" s="1427"/>
      <c r="R173" s="868"/>
      <c r="S173" s="868"/>
      <c r="T173" s="868"/>
      <c r="U173" s="868"/>
      <c r="V173" s="481"/>
      <c r="W173" s="481"/>
      <c r="X173" s="481"/>
      <c r="Y173" s="481"/>
      <c r="Z173" s="1428"/>
      <c r="AA173" s="1428"/>
      <c r="AB173" s="1428"/>
      <c r="AC173" s="183">
        <f t="shared" si="83"/>
        <v>0</v>
      </c>
      <c r="AD173" s="406">
        <f t="shared" si="84"/>
        <v>0</v>
      </c>
      <c r="AF173" s="923"/>
      <c r="AG173" s="365"/>
      <c r="AH173" s="934"/>
      <c r="AI173" s="851">
        <f t="shared" si="73"/>
        <v>0</v>
      </c>
      <c r="AJ173" s="871"/>
      <c r="AK173" s="930">
        <f t="shared" si="77"/>
        <v>0</v>
      </c>
      <c r="AL173" s="872"/>
      <c r="AM173" s="314">
        <f t="shared" si="74"/>
        <v>0</v>
      </c>
    </row>
    <row r="174" spans="1:39" s="865" customFormat="1">
      <c r="A174" s="869" t="s">
        <v>61</v>
      </c>
      <c r="B174" s="143">
        <f t="shared" si="71"/>
        <v>0</v>
      </c>
      <c r="C174" s="93" t="s">
        <v>36</v>
      </c>
      <c r="D174" s="93" t="s">
        <v>861</v>
      </c>
      <c r="E174" s="93" t="s">
        <v>857</v>
      </c>
      <c r="F174" s="93" t="s">
        <v>857</v>
      </c>
      <c r="G174" s="1983" t="s">
        <v>56</v>
      </c>
      <c r="H174" s="2003" t="s">
        <v>1380</v>
      </c>
      <c r="I174" s="1041" t="s">
        <v>178</v>
      </c>
      <c r="J174" s="207"/>
      <c r="K174" s="806"/>
      <c r="L174" s="860"/>
      <c r="M174" s="859"/>
      <c r="N174" s="860"/>
      <c r="O174" s="859"/>
      <c r="P174" s="245"/>
      <c r="Q174" s="1427"/>
      <c r="R174" s="868"/>
      <c r="S174" s="868"/>
      <c r="T174" s="868"/>
      <c r="U174" s="868"/>
      <c r="V174" s="481"/>
      <c r="W174" s="481"/>
      <c r="X174" s="481"/>
      <c r="Y174" s="481"/>
      <c r="Z174" s="1428"/>
      <c r="AA174" s="1428"/>
      <c r="AB174" s="1428"/>
      <c r="AC174" s="183">
        <f t="shared" si="83"/>
        <v>0</v>
      </c>
      <c r="AD174" s="406">
        <f t="shared" si="84"/>
        <v>0</v>
      </c>
      <c r="AF174" s="923" t="s">
        <v>349</v>
      </c>
      <c r="AG174" s="365" t="s">
        <v>520</v>
      </c>
      <c r="AH174" s="934"/>
      <c r="AI174" s="851">
        <f t="shared" si="73"/>
        <v>0</v>
      </c>
      <c r="AJ174" s="871">
        <f>9820000+23323334-32410000+319333</f>
        <v>1052667</v>
      </c>
      <c r="AK174" s="930">
        <f t="shared" si="77"/>
        <v>1052667</v>
      </c>
      <c r="AL174" s="872"/>
      <c r="AM174" s="314">
        <f t="shared" si="74"/>
        <v>1052667</v>
      </c>
    </row>
    <row r="175" spans="1:39" s="8" customFormat="1">
      <c r="A175" s="168" t="s">
        <v>24</v>
      </c>
      <c r="B175" s="276">
        <f>B106-SUM(B107:B174)</f>
        <v>12708000</v>
      </c>
      <c r="C175" s="84"/>
      <c r="D175" s="84"/>
      <c r="E175" s="84"/>
      <c r="F175" s="84"/>
      <c r="G175" s="1951"/>
      <c r="H175" s="1957"/>
      <c r="I175" s="1006"/>
      <c r="J175" s="210"/>
      <c r="K175" s="1525"/>
      <c r="L175" s="101"/>
      <c r="M175" s="142">
        <f>SUM(M107:M174)</f>
        <v>2464373000</v>
      </c>
      <c r="N175" s="101"/>
      <c r="O175" s="142">
        <f>SUM(O106:O174)</f>
        <v>2441903000</v>
      </c>
      <c r="P175" s="182"/>
      <c r="Q175" s="142">
        <f t="shared" ref="Q175:AB175" si="85">SUM(Q106:Q174)</f>
        <v>0</v>
      </c>
      <c r="R175" s="142">
        <f t="shared" si="85"/>
        <v>49922664</v>
      </c>
      <c r="S175" s="142">
        <f t="shared" si="85"/>
        <v>178783969</v>
      </c>
      <c r="T175" s="142">
        <f t="shared" si="85"/>
        <v>199726667</v>
      </c>
      <c r="U175" s="142">
        <f t="shared" si="85"/>
        <v>228084333</v>
      </c>
      <c r="V175" s="142">
        <f t="shared" si="85"/>
        <v>227932000</v>
      </c>
      <c r="W175" s="142">
        <f t="shared" si="85"/>
        <v>228650000</v>
      </c>
      <c r="X175" s="142">
        <f t="shared" si="85"/>
        <v>229200000</v>
      </c>
      <c r="Y175" s="142">
        <f t="shared" si="85"/>
        <v>239988094</v>
      </c>
      <c r="Z175" s="142">
        <f t="shared" si="85"/>
        <v>0</v>
      </c>
      <c r="AA175" s="142">
        <f t="shared" si="85"/>
        <v>0</v>
      </c>
      <c r="AB175" s="142">
        <f t="shared" si="85"/>
        <v>0</v>
      </c>
      <c r="AC175" s="142">
        <f>SUM(AC107:AC174)</f>
        <v>1582287727</v>
      </c>
      <c r="AD175" s="142">
        <f>SUM(AD107:AD174)</f>
        <v>859615273</v>
      </c>
      <c r="AE175" s="142">
        <f>SUM(AE107:AE169)</f>
        <v>0</v>
      </c>
      <c r="AF175" s="907"/>
      <c r="AG175" s="14"/>
      <c r="AH175" s="14"/>
      <c r="AI175" s="101"/>
      <c r="AJ175" s="14">
        <f>SUM(AJ107:AJ174)</f>
        <v>2477081000</v>
      </c>
      <c r="AK175" s="182">
        <f>SUM(AK107:AK174)</f>
        <v>35178000</v>
      </c>
      <c r="AL175" s="872">
        <f>B106-AJ175</f>
        <v>0</v>
      </c>
    </row>
    <row r="176" spans="1:39" s="8" customFormat="1" ht="24" customHeight="1">
      <c r="A176" s="622" t="s">
        <v>61</v>
      </c>
      <c r="B176" s="505">
        <v>1971000</v>
      </c>
      <c r="C176" s="786" t="s">
        <v>57</v>
      </c>
      <c r="D176" s="786" t="s">
        <v>861</v>
      </c>
      <c r="E176" s="786" t="s">
        <v>857</v>
      </c>
      <c r="F176" s="786" t="s">
        <v>857</v>
      </c>
      <c r="G176" s="1984" t="s">
        <v>56</v>
      </c>
      <c r="H176" s="2004" t="s">
        <v>1380</v>
      </c>
      <c r="I176" s="1033"/>
      <c r="J176" s="1139"/>
      <c r="K176" s="1531"/>
      <c r="L176" s="1140"/>
      <c r="M176" s="1141"/>
      <c r="N176" s="1140"/>
      <c r="O176" s="1141"/>
      <c r="P176" s="1142"/>
      <c r="Q176" s="1143"/>
      <c r="R176" s="1141"/>
      <c r="S176" s="1141"/>
      <c r="T176" s="1141"/>
      <c r="U176" s="1141"/>
      <c r="V176" s="1141"/>
      <c r="W176" s="1141"/>
      <c r="X176" s="1141"/>
      <c r="Y176" s="1141"/>
      <c r="Z176" s="1141"/>
      <c r="AA176" s="1141"/>
      <c r="AB176" s="1141"/>
      <c r="AC176" s="1144">
        <f>SUM(Q176:AB176)</f>
        <v>0</v>
      </c>
      <c r="AD176" s="1145">
        <f>O176-AC176</f>
        <v>0</v>
      </c>
      <c r="AE176" s="1146"/>
      <c r="AF176" s="1147"/>
      <c r="AG176" s="1148"/>
      <c r="AH176" s="1148"/>
      <c r="AI176" s="1149"/>
      <c r="AJ176" s="1150"/>
      <c r="AK176" s="1151"/>
      <c r="AL176" s="872"/>
    </row>
    <row r="177" spans="1:39" s="130" customFormat="1">
      <c r="A177" s="876" t="s">
        <v>61</v>
      </c>
      <c r="B177" s="778">
        <f>K177</f>
        <v>0</v>
      </c>
      <c r="C177" s="93" t="s">
        <v>57</v>
      </c>
      <c r="D177" s="93" t="s">
        <v>861</v>
      </c>
      <c r="E177" s="93" t="s">
        <v>857</v>
      </c>
      <c r="F177" s="93" t="s">
        <v>857</v>
      </c>
      <c r="G177" s="1983" t="s">
        <v>56</v>
      </c>
      <c r="H177" s="2003" t="s">
        <v>1380</v>
      </c>
      <c r="I177" s="1988">
        <v>193</v>
      </c>
      <c r="J177" s="781">
        <v>0</v>
      </c>
      <c r="K177" s="233"/>
      <c r="L177" s="1054">
        <v>152</v>
      </c>
      <c r="M177" s="196">
        <v>1971000</v>
      </c>
      <c r="N177" s="517">
        <v>186</v>
      </c>
      <c r="O177" s="196">
        <v>1971000</v>
      </c>
      <c r="P177" s="236">
        <v>139</v>
      </c>
      <c r="Q177" s="784"/>
      <c r="R177" s="782"/>
      <c r="S177" s="196"/>
      <c r="T177" s="153">
        <v>0</v>
      </c>
      <c r="U177" s="153"/>
      <c r="V177" s="153"/>
      <c r="W177" s="782"/>
      <c r="X177" s="782"/>
      <c r="Y177" s="782">
        <v>0</v>
      </c>
      <c r="Z177" s="782"/>
      <c r="AA177" s="782"/>
      <c r="AB177" s="782"/>
      <c r="AC177" s="183">
        <f>SUM(Q177:AB177)</f>
        <v>0</v>
      </c>
      <c r="AD177" s="406">
        <f>O177-AC177</f>
        <v>1971000</v>
      </c>
      <c r="AF177" s="928">
        <v>193</v>
      </c>
      <c r="AG177" s="322" t="s">
        <v>424</v>
      </c>
      <c r="AH177" s="328" t="s">
        <v>178</v>
      </c>
      <c r="AI177" s="851">
        <f>P177</f>
        <v>139</v>
      </c>
      <c r="AJ177" s="929">
        <v>1971000</v>
      </c>
      <c r="AK177" s="930">
        <f>AJ177-O177</f>
        <v>0</v>
      </c>
      <c r="AL177" s="874"/>
    </row>
    <row r="178" spans="1:39" s="8" customFormat="1">
      <c r="A178" s="168" t="s">
        <v>24</v>
      </c>
      <c r="B178" s="276">
        <f>B176-SUM(B177:B177)</f>
        <v>1971000</v>
      </c>
      <c r="C178" s="84"/>
      <c r="D178" s="84"/>
      <c r="E178" s="84"/>
      <c r="F178" s="84"/>
      <c r="G178" s="1951"/>
      <c r="H178" s="1957"/>
      <c r="I178" s="1006"/>
      <c r="J178" s="210"/>
      <c r="K178" s="1525"/>
      <c r="L178" s="101"/>
      <c r="M178" s="142">
        <f>SUM(M176:M177)</f>
        <v>1971000</v>
      </c>
      <c r="N178" s="101"/>
      <c r="O178" s="142">
        <f>SUM(O176:O177)</f>
        <v>1971000</v>
      </c>
      <c r="P178" s="182"/>
      <c r="Q178" s="142">
        <f>SUM(Q177)</f>
        <v>0</v>
      </c>
      <c r="R178" s="142">
        <f>SUM(R177)</f>
        <v>0</v>
      </c>
      <c r="S178" s="142">
        <f>SUM(S177)</f>
        <v>0</v>
      </c>
      <c r="T178" s="142">
        <f t="shared" ref="T178:AD178" si="86">SUM(T177)</f>
        <v>0</v>
      </c>
      <c r="U178" s="142">
        <f t="shared" si="86"/>
        <v>0</v>
      </c>
      <c r="V178" s="142">
        <f t="shared" si="86"/>
        <v>0</v>
      </c>
      <c r="W178" s="142">
        <f t="shared" si="86"/>
        <v>0</v>
      </c>
      <c r="X178" s="142">
        <f t="shared" si="86"/>
        <v>0</v>
      </c>
      <c r="Y178" s="142">
        <f t="shared" si="86"/>
        <v>0</v>
      </c>
      <c r="Z178" s="142">
        <f t="shared" si="86"/>
        <v>0</v>
      </c>
      <c r="AA178" s="142">
        <f t="shared" si="86"/>
        <v>0</v>
      </c>
      <c r="AB178" s="142">
        <f t="shared" si="86"/>
        <v>0</v>
      </c>
      <c r="AC178" s="142">
        <f t="shared" si="86"/>
        <v>0</v>
      </c>
      <c r="AD178" s="142">
        <f t="shared" si="86"/>
        <v>1971000</v>
      </c>
      <c r="AE178" s="142">
        <f>SUM(AE176:AE177)</f>
        <v>0</v>
      </c>
      <c r="AF178" s="907"/>
      <c r="AG178" s="14"/>
      <c r="AH178" s="14"/>
      <c r="AI178" s="101"/>
      <c r="AJ178" s="14">
        <f>SUM(AJ176:AJ177)</f>
        <v>1971000</v>
      </c>
      <c r="AK178" s="182">
        <f>SUM(AK176:AK177)</f>
        <v>0</v>
      </c>
      <c r="AL178" s="872">
        <f>B176-AJ178</f>
        <v>0</v>
      </c>
    </row>
    <row r="179" spans="1:39" s="6" customFormat="1" ht="31.5" customHeight="1">
      <c r="A179" s="790" t="s">
        <v>62</v>
      </c>
      <c r="B179" s="504">
        <f>267820000-8140000</f>
        <v>259680000</v>
      </c>
      <c r="C179" s="1371" t="s">
        <v>36</v>
      </c>
      <c r="D179" s="1371" t="s">
        <v>861</v>
      </c>
      <c r="E179" s="1371" t="s">
        <v>857</v>
      </c>
      <c r="F179" s="1371" t="s">
        <v>857</v>
      </c>
      <c r="G179" s="1985" t="s">
        <v>56</v>
      </c>
      <c r="H179" s="2005" t="s">
        <v>1380</v>
      </c>
      <c r="I179" s="1034"/>
      <c r="J179" s="398">
        <v>0</v>
      </c>
      <c r="K179" s="1532"/>
      <c r="L179" s="465"/>
      <c r="M179" s="399"/>
      <c r="N179" s="465"/>
      <c r="O179" s="400"/>
      <c r="P179" s="401"/>
      <c r="Q179" s="402"/>
      <c r="R179" s="400"/>
      <c r="S179" s="400"/>
      <c r="T179" s="400"/>
      <c r="U179" s="400"/>
      <c r="V179" s="400"/>
      <c r="W179" s="400"/>
      <c r="X179" s="400"/>
      <c r="Y179" s="400"/>
      <c r="Z179" s="400"/>
      <c r="AA179" s="400"/>
      <c r="AB179" s="400"/>
      <c r="AC179" s="403"/>
      <c r="AD179" s="411"/>
      <c r="AF179" s="931"/>
      <c r="AG179" s="260"/>
      <c r="AH179" s="260"/>
      <c r="AI179" s="1105"/>
      <c r="AJ179" s="862"/>
      <c r="AK179" s="919"/>
      <c r="AL179" s="872"/>
    </row>
    <row r="180" spans="1:39" s="6" customFormat="1">
      <c r="A180" s="877" t="s">
        <v>62</v>
      </c>
      <c r="B180" s="143">
        <f t="shared" ref="B180:B186" si="87">M180</f>
        <v>55000000</v>
      </c>
      <c r="C180" s="218" t="s">
        <v>36</v>
      </c>
      <c r="D180" s="218" t="s">
        <v>861</v>
      </c>
      <c r="E180" s="218" t="s">
        <v>857</v>
      </c>
      <c r="F180" s="218" t="s">
        <v>857</v>
      </c>
      <c r="G180" s="1986" t="s">
        <v>56</v>
      </c>
      <c r="H180" s="2006" t="s">
        <v>1380</v>
      </c>
      <c r="I180" s="1435">
        <v>121</v>
      </c>
      <c r="J180" s="521">
        <v>0</v>
      </c>
      <c r="K180" s="522"/>
      <c r="L180" s="1054">
        <v>85</v>
      </c>
      <c r="M180" s="628">
        <v>55000000</v>
      </c>
      <c r="N180" s="517">
        <v>41</v>
      </c>
      <c r="O180" s="163">
        <v>55000000</v>
      </c>
      <c r="P180" s="236">
        <v>57</v>
      </c>
      <c r="Q180" s="241"/>
      <c r="R180" s="153">
        <v>2166667</v>
      </c>
      <c r="S180" s="153">
        <v>5000000</v>
      </c>
      <c r="T180" s="153">
        <f>VLOOKUP(N180,[7]Hoja2!N$132:T$199,7,0)</f>
        <v>5000000</v>
      </c>
      <c r="U180" s="153">
        <v>5000000</v>
      </c>
      <c r="V180" s="153">
        <v>5000000</v>
      </c>
      <c r="W180" s="153">
        <v>5000000</v>
      </c>
      <c r="X180" s="153">
        <v>5000000</v>
      </c>
      <c r="Y180" s="153">
        <v>5000000</v>
      </c>
      <c r="Z180" s="152"/>
      <c r="AA180" s="152"/>
      <c r="AB180" s="152"/>
      <c r="AC180" s="183">
        <f t="shared" ref="AC180" si="88">SUM(Q180:AB180)</f>
        <v>37166667</v>
      </c>
      <c r="AD180" s="406">
        <f t="shared" ref="AD180" si="89">O180-AC180</f>
        <v>17833333</v>
      </c>
      <c r="AF180" s="923">
        <v>121</v>
      </c>
      <c r="AG180" s="279" t="s">
        <v>430</v>
      </c>
      <c r="AH180" s="279" t="s">
        <v>746</v>
      </c>
      <c r="AI180" s="851">
        <f t="shared" ref="AI180:AI186" si="90">P180</f>
        <v>57</v>
      </c>
      <c r="AJ180" s="315">
        <v>55000000</v>
      </c>
      <c r="AK180" s="930">
        <f>AJ180-O180</f>
        <v>0</v>
      </c>
      <c r="AL180" s="872"/>
      <c r="AM180" s="314">
        <f t="shared" ref="AM180:AM186" si="91">AJ180-M180</f>
        <v>0</v>
      </c>
    </row>
    <row r="181" spans="1:39" s="6" customFormat="1">
      <c r="A181" s="877" t="s">
        <v>62</v>
      </c>
      <c r="B181" s="143">
        <f t="shared" si="87"/>
        <v>22660000</v>
      </c>
      <c r="C181" s="218" t="s">
        <v>36</v>
      </c>
      <c r="D181" s="218" t="s">
        <v>861</v>
      </c>
      <c r="E181" s="218" t="s">
        <v>857</v>
      </c>
      <c r="F181" s="218" t="s">
        <v>857</v>
      </c>
      <c r="G181" s="1986" t="s">
        <v>56</v>
      </c>
      <c r="H181" s="2006" t="s">
        <v>1380</v>
      </c>
      <c r="I181" s="1435">
        <v>126</v>
      </c>
      <c r="J181" s="521">
        <v>0</v>
      </c>
      <c r="K181" s="522"/>
      <c r="L181" s="1054">
        <v>245</v>
      </c>
      <c r="M181" s="628">
        <v>22660000</v>
      </c>
      <c r="N181" s="517">
        <f>VLOOKUP(L181,[6]RP!I$249:J$307,2,0)</f>
        <v>233</v>
      </c>
      <c r="O181" s="154">
        <v>21630000</v>
      </c>
      <c r="P181" s="1058">
        <v>211</v>
      </c>
      <c r="Q181" s="241"/>
      <c r="R181" s="153"/>
      <c r="S181" s="153">
        <v>1716666</v>
      </c>
      <c r="T181" s="153">
        <f>VLOOKUP(N181,[7]Hoja2!N$132:T$199,7,0)</f>
        <v>2060000</v>
      </c>
      <c r="U181" s="153">
        <v>2060000</v>
      </c>
      <c r="V181" s="153">
        <v>2060000</v>
      </c>
      <c r="W181" s="153">
        <v>2060000</v>
      </c>
      <c r="X181" s="153">
        <v>2060000</v>
      </c>
      <c r="Y181" s="153">
        <v>2060000</v>
      </c>
      <c r="Z181" s="152"/>
      <c r="AA181" s="152"/>
      <c r="AB181" s="152"/>
      <c r="AC181" s="183">
        <f t="shared" ref="AC181:AC186" si="92">SUM(Q181:AB181)</f>
        <v>14076666</v>
      </c>
      <c r="AD181" s="406">
        <f t="shared" ref="AD181:AD186" si="93">O181-AC181</f>
        <v>7553334</v>
      </c>
      <c r="AF181" s="923">
        <v>126</v>
      </c>
      <c r="AG181" s="279" t="s">
        <v>431</v>
      </c>
      <c r="AH181" s="886" t="s">
        <v>747</v>
      </c>
      <c r="AI181" s="851">
        <f t="shared" si="90"/>
        <v>211</v>
      </c>
      <c r="AJ181" s="315">
        <f>30800000-8140000</f>
        <v>22660000</v>
      </c>
      <c r="AK181" s="930">
        <f t="shared" ref="AK181:AK186" si="94">AJ181-O181</f>
        <v>1030000</v>
      </c>
      <c r="AL181" s="872"/>
      <c r="AM181" s="314">
        <f t="shared" si="91"/>
        <v>0</v>
      </c>
    </row>
    <row r="182" spans="1:39" s="6" customFormat="1">
      <c r="A182" s="877" t="s">
        <v>62</v>
      </c>
      <c r="B182" s="143">
        <f t="shared" si="87"/>
        <v>40700000</v>
      </c>
      <c r="C182" s="218" t="s">
        <v>36</v>
      </c>
      <c r="D182" s="218" t="s">
        <v>861</v>
      </c>
      <c r="E182" s="218" t="s">
        <v>857</v>
      </c>
      <c r="F182" s="218" t="s">
        <v>857</v>
      </c>
      <c r="G182" s="1986" t="s">
        <v>56</v>
      </c>
      <c r="H182" s="2006" t="s">
        <v>1380</v>
      </c>
      <c r="I182" s="1435">
        <v>127</v>
      </c>
      <c r="J182" s="521">
        <v>0</v>
      </c>
      <c r="K182" s="522"/>
      <c r="L182" s="1054">
        <v>148</v>
      </c>
      <c r="M182" s="628">
        <v>40700000</v>
      </c>
      <c r="N182" s="517">
        <v>68</v>
      </c>
      <c r="O182" s="163">
        <v>40700000</v>
      </c>
      <c r="P182" s="236">
        <v>129</v>
      </c>
      <c r="Q182" s="241"/>
      <c r="R182" s="153">
        <v>986667</v>
      </c>
      <c r="S182" s="153">
        <v>3700000</v>
      </c>
      <c r="T182" s="153">
        <f>VLOOKUP(N182,[7]Hoja2!N$132:T$199,7,0)</f>
        <v>3700000</v>
      </c>
      <c r="U182" s="153">
        <v>3700000</v>
      </c>
      <c r="V182" s="153">
        <v>3700000</v>
      </c>
      <c r="W182" s="153">
        <v>3700000</v>
      </c>
      <c r="X182" s="153">
        <v>3700000</v>
      </c>
      <c r="Y182" s="153">
        <v>3700000</v>
      </c>
      <c r="Z182" s="152"/>
      <c r="AA182" s="152"/>
      <c r="AB182" s="152"/>
      <c r="AC182" s="183">
        <f t="shared" si="92"/>
        <v>26886667</v>
      </c>
      <c r="AD182" s="406">
        <f t="shared" si="93"/>
        <v>13813333</v>
      </c>
      <c r="AF182" s="923">
        <v>127</v>
      </c>
      <c r="AG182" s="279" t="s">
        <v>432</v>
      </c>
      <c r="AH182" s="279" t="s">
        <v>748</v>
      </c>
      <c r="AI182" s="851">
        <f t="shared" si="90"/>
        <v>129</v>
      </c>
      <c r="AJ182" s="315">
        <v>40700000</v>
      </c>
      <c r="AK182" s="930">
        <f t="shared" si="94"/>
        <v>0</v>
      </c>
      <c r="AL182" s="872"/>
      <c r="AM182" s="314">
        <f t="shared" si="91"/>
        <v>0</v>
      </c>
    </row>
    <row r="183" spans="1:39" s="6" customFormat="1">
      <c r="A183" s="877" t="s">
        <v>62</v>
      </c>
      <c r="B183" s="143">
        <f t="shared" si="87"/>
        <v>94820000</v>
      </c>
      <c r="C183" s="218" t="s">
        <v>36</v>
      </c>
      <c r="D183" s="218" t="s">
        <v>861</v>
      </c>
      <c r="E183" s="218" t="s">
        <v>857</v>
      </c>
      <c r="F183" s="218" t="s">
        <v>857</v>
      </c>
      <c r="G183" s="1986" t="s">
        <v>56</v>
      </c>
      <c r="H183" s="2006" t="s">
        <v>1380</v>
      </c>
      <c r="I183" s="1435">
        <v>133</v>
      </c>
      <c r="J183" s="521">
        <v>0</v>
      </c>
      <c r="K183" s="522"/>
      <c r="L183" s="1054">
        <v>102</v>
      </c>
      <c r="M183" s="628">
        <v>94820000</v>
      </c>
      <c r="N183" s="517">
        <v>107</v>
      </c>
      <c r="O183" s="163">
        <v>94820000</v>
      </c>
      <c r="P183" s="236">
        <v>76</v>
      </c>
      <c r="Q183" s="241"/>
      <c r="R183" s="153">
        <v>2298667</v>
      </c>
      <c r="S183" s="153">
        <v>8620000</v>
      </c>
      <c r="T183" s="153">
        <f>VLOOKUP(N183,[7]Hoja2!N$132:T$199,7,0)</f>
        <v>8620000</v>
      </c>
      <c r="U183" s="153">
        <v>8620000</v>
      </c>
      <c r="V183" s="153">
        <v>8620000</v>
      </c>
      <c r="W183" s="153">
        <v>8620000</v>
      </c>
      <c r="X183" s="153">
        <v>8620000</v>
      </c>
      <c r="Y183" s="153">
        <v>8620000</v>
      </c>
      <c r="Z183" s="152"/>
      <c r="AA183" s="152"/>
      <c r="AB183" s="152"/>
      <c r="AC183" s="183">
        <f t="shared" si="92"/>
        <v>62638667</v>
      </c>
      <c r="AD183" s="406">
        <f t="shared" si="93"/>
        <v>32181333</v>
      </c>
      <c r="AF183" s="923">
        <v>133</v>
      </c>
      <c r="AG183" s="279" t="s">
        <v>433</v>
      </c>
      <c r="AH183" s="279" t="s">
        <v>749</v>
      </c>
      <c r="AI183" s="851">
        <f t="shared" si="90"/>
        <v>76</v>
      </c>
      <c r="AJ183" s="315">
        <v>94820000</v>
      </c>
      <c r="AK183" s="930">
        <f t="shared" si="94"/>
        <v>0</v>
      </c>
      <c r="AL183" s="872"/>
      <c r="AM183" s="314">
        <f t="shared" si="91"/>
        <v>0</v>
      </c>
    </row>
    <row r="184" spans="1:39" s="6" customFormat="1">
      <c r="A184" s="877" t="s">
        <v>62</v>
      </c>
      <c r="B184" s="143">
        <f t="shared" si="87"/>
        <v>37000000</v>
      </c>
      <c r="C184" s="218" t="s">
        <v>36</v>
      </c>
      <c r="D184" s="218" t="s">
        <v>861</v>
      </c>
      <c r="E184" s="218" t="s">
        <v>857</v>
      </c>
      <c r="F184" s="218" t="s">
        <v>857</v>
      </c>
      <c r="G184" s="1986" t="s">
        <v>56</v>
      </c>
      <c r="H184" s="2006" t="s">
        <v>1380</v>
      </c>
      <c r="I184" s="1435">
        <v>135</v>
      </c>
      <c r="J184" s="521">
        <v>0</v>
      </c>
      <c r="K184" s="522"/>
      <c r="L184" s="1054">
        <v>318</v>
      </c>
      <c r="M184" s="628">
        <v>37000000</v>
      </c>
      <c r="N184" s="517">
        <v>325</v>
      </c>
      <c r="O184" s="154">
        <v>37000000</v>
      </c>
      <c r="P184" s="1058">
        <v>272</v>
      </c>
      <c r="Q184" s="241"/>
      <c r="R184" s="152"/>
      <c r="S184" s="153"/>
      <c r="T184" s="153">
        <f>VLOOKUP(N184,[7]Hoja2!N$132:T$199,7,0)</f>
        <v>4193333</v>
      </c>
      <c r="U184" s="153">
        <f>3090000+3700000</f>
        <v>6790000</v>
      </c>
      <c r="V184" s="153">
        <v>3700000</v>
      </c>
      <c r="W184" s="153">
        <v>3700000</v>
      </c>
      <c r="X184" s="153">
        <v>3700000</v>
      </c>
      <c r="Y184" s="153">
        <v>610000</v>
      </c>
      <c r="Z184" s="152"/>
      <c r="AA184" s="152"/>
      <c r="AB184" s="152"/>
      <c r="AC184" s="183">
        <f t="shared" si="92"/>
        <v>22693333</v>
      </c>
      <c r="AD184" s="406">
        <f t="shared" si="93"/>
        <v>14306667</v>
      </c>
      <c r="AF184" s="923">
        <v>135</v>
      </c>
      <c r="AG184" s="279" t="s">
        <v>434</v>
      </c>
      <c r="AH184" s="279" t="s">
        <v>1004</v>
      </c>
      <c r="AI184" s="851">
        <f t="shared" si="90"/>
        <v>272</v>
      </c>
      <c r="AJ184" s="315">
        <v>46500000</v>
      </c>
      <c r="AK184" s="930">
        <f t="shared" si="94"/>
        <v>9500000</v>
      </c>
      <c r="AL184" s="872"/>
      <c r="AM184" s="314">
        <f t="shared" si="91"/>
        <v>9500000</v>
      </c>
    </row>
    <row r="185" spans="1:39" s="6" customFormat="1">
      <c r="A185" s="877" t="s">
        <v>62</v>
      </c>
      <c r="B185" s="143">
        <f t="shared" si="87"/>
        <v>0</v>
      </c>
      <c r="C185" s="218" t="s">
        <v>36</v>
      </c>
      <c r="D185" s="218" t="s">
        <v>861</v>
      </c>
      <c r="E185" s="218" t="s">
        <v>857</v>
      </c>
      <c r="F185" s="218" t="s">
        <v>857</v>
      </c>
      <c r="G185" s="1986" t="s">
        <v>56</v>
      </c>
      <c r="H185" s="2006" t="s">
        <v>1380</v>
      </c>
      <c r="I185" s="1021" t="s">
        <v>178</v>
      </c>
      <c r="J185" s="521">
        <v>0</v>
      </c>
      <c r="K185" s="522"/>
      <c r="L185" s="281"/>
      <c r="M185" s="628"/>
      <c r="N185" s="281"/>
      <c r="O185" s="152"/>
      <c r="P185" s="861"/>
      <c r="Q185" s="241"/>
      <c r="R185" s="152"/>
      <c r="S185" s="152"/>
      <c r="T185" s="152"/>
      <c r="U185" s="152"/>
      <c r="V185" s="152"/>
      <c r="W185" s="152"/>
      <c r="X185" s="152"/>
      <c r="Y185" s="152"/>
      <c r="Z185" s="152"/>
      <c r="AA185" s="152"/>
      <c r="AB185" s="152"/>
      <c r="AC185" s="183">
        <f t="shared" si="92"/>
        <v>0</v>
      </c>
      <c r="AD185" s="406">
        <f t="shared" si="93"/>
        <v>0</v>
      </c>
      <c r="AF185" s="923"/>
      <c r="AG185" s="279"/>
      <c r="AH185" s="279" t="s">
        <v>178</v>
      </c>
      <c r="AI185" s="851">
        <f t="shared" si="90"/>
        <v>0</v>
      </c>
      <c r="AJ185" s="315"/>
      <c r="AK185" s="930">
        <f t="shared" si="94"/>
        <v>0</v>
      </c>
      <c r="AL185" s="872"/>
      <c r="AM185" s="314">
        <f t="shared" si="91"/>
        <v>0</v>
      </c>
    </row>
    <row r="186" spans="1:39" s="865" customFormat="1">
      <c r="A186" s="877" t="s">
        <v>62</v>
      </c>
      <c r="B186" s="143">
        <f t="shared" si="87"/>
        <v>0</v>
      </c>
      <c r="C186" s="218" t="s">
        <v>36</v>
      </c>
      <c r="D186" s="218" t="s">
        <v>861</v>
      </c>
      <c r="E186" s="218" t="s">
        <v>857</v>
      </c>
      <c r="F186" s="218" t="s">
        <v>857</v>
      </c>
      <c r="G186" s="1986" t="s">
        <v>56</v>
      </c>
      <c r="H186" s="2006" t="s">
        <v>1380</v>
      </c>
      <c r="I186" s="1021" t="s">
        <v>178</v>
      </c>
      <c r="J186" s="870">
        <v>0</v>
      </c>
      <c r="K186" s="806"/>
      <c r="L186" s="860"/>
      <c r="M186" s="628"/>
      <c r="N186" s="860"/>
      <c r="O186" s="143"/>
      <c r="P186" s="245"/>
      <c r="Q186" s="241"/>
      <c r="R186" s="154"/>
      <c r="S186" s="154"/>
      <c r="T186" s="154"/>
      <c r="U186" s="154"/>
      <c r="V186" s="153"/>
      <c r="W186" s="153"/>
      <c r="X186" s="153"/>
      <c r="Y186" s="153"/>
      <c r="Z186" s="152"/>
      <c r="AA186" s="152"/>
      <c r="AB186" s="152"/>
      <c r="AC186" s="183">
        <f t="shared" si="92"/>
        <v>0</v>
      </c>
      <c r="AD186" s="406">
        <f t="shared" si="93"/>
        <v>0</v>
      </c>
      <c r="AF186" s="923"/>
      <c r="AG186" s="365"/>
      <c r="AH186" s="279" t="s">
        <v>178</v>
      </c>
      <c r="AI186" s="851">
        <f t="shared" si="90"/>
        <v>0</v>
      </c>
      <c r="AJ186" s="871"/>
      <c r="AK186" s="930">
        <f t="shared" si="94"/>
        <v>0</v>
      </c>
      <c r="AL186" s="872"/>
      <c r="AM186" s="314">
        <f t="shared" si="91"/>
        <v>0</v>
      </c>
    </row>
    <row r="187" spans="1:39">
      <c r="A187" s="58" t="s">
        <v>24</v>
      </c>
      <c r="B187" s="508">
        <f>B179-SUM(B180:B186)</f>
        <v>9500000</v>
      </c>
      <c r="C187" s="72"/>
      <c r="D187" s="72"/>
      <c r="E187" s="72"/>
      <c r="F187" s="72"/>
      <c r="G187" s="1987"/>
      <c r="H187" s="2007"/>
      <c r="I187" s="1035"/>
      <c r="J187" s="211"/>
      <c r="K187" s="1533"/>
      <c r="L187" s="476"/>
      <c r="M187" s="191">
        <f>SUM(M180:M186)</f>
        <v>250180000</v>
      </c>
      <c r="N187" s="476"/>
      <c r="O187" s="191">
        <f>SUM(O180:O186)</f>
        <v>249150000</v>
      </c>
      <c r="P187" s="246"/>
      <c r="Q187" s="191">
        <f>SUM(Q180:Q186)</f>
        <v>0</v>
      </c>
      <c r="R187" s="191">
        <f>SUM(R180:R186)</f>
        <v>5452001</v>
      </c>
      <c r="S187" s="191">
        <f>SUM(S180:S186)</f>
        <v>19036666</v>
      </c>
      <c r="T187" s="191">
        <f>SUM(T180:T186)</f>
        <v>23573333</v>
      </c>
      <c r="U187" s="191">
        <f t="shared" ref="U187:AD187" si="95">SUM(U180:U186)</f>
        <v>26170000</v>
      </c>
      <c r="V187" s="191">
        <f t="shared" si="95"/>
        <v>23080000</v>
      </c>
      <c r="W187" s="191">
        <f t="shared" si="95"/>
        <v>23080000</v>
      </c>
      <c r="X187" s="191">
        <f t="shared" si="95"/>
        <v>23080000</v>
      </c>
      <c r="Y187" s="191">
        <f t="shared" si="95"/>
        <v>19990000</v>
      </c>
      <c r="Z187" s="191">
        <f t="shared" si="95"/>
        <v>0</v>
      </c>
      <c r="AA187" s="191">
        <f t="shared" si="95"/>
        <v>0</v>
      </c>
      <c r="AB187" s="191">
        <f t="shared" si="95"/>
        <v>0</v>
      </c>
      <c r="AC187" s="191">
        <f t="shared" si="95"/>
        <v>163462000</v>
      </c>
      <c r="AD187" s="191">
        <f t="shared" si="95"/>
        <v>85688000</v>
      </c>
      <c r="AF187" s="936"/>
      <c r="AG187" s="937"/>
      <c r="AH187" s="937"/>
      <c r="AI187" s="476"/>
      <c r="AJ187" s="937">
        <f>SUM(AJ180:AJ186)</f>
        <v>259680000</v>
      </c>
      <c r="AK187" s="246">
        <f>SUM(AK180:AK186)</f>
        <v>10530000</v>
      </c>
      <c r="AL187" s="873">
        <f>B179-AJ187</f>
        <v>0</v>
      </c>
    </row>
    <row r="188" spans="1:39" s="8" customFormat="1">
      <c r="A188" s="177"/>
      <c r="B188" s="509"/>
      <c r="C188" s="219"/>
      <c r="D188" s="219"/>
      <c r="E188" s="219"/>
      <c r="F188" s="219"/>
      <c r="G188" s="220"/>
      <c r="H188" s="1970"/>
      <c r="I188" s="1036"/>
      <c r="J188" s="221"/>
      <c r="K188" s="1534"/>
      <c r="L188" s="477"/>
      <c r="M188" s="222"/>
      <c r="N188" s="477"/>
      <c r="O188" s="560"/>
      <c r="P188" s="247"/>
      <c r="Q188" s="242"/>
      <c r="R188" s="560"/>
      <c r="S188" s="560"/>
      <c r="T188" s="560"/>
      <c r="U188" s="560"/>
      <c r="V188" s="560"/>
      <c r="W188" s="560"/>
      <c r="X188" s="560"/>
      <c r="Y188" s="560"/>
      <c r="Z188" s="560"/>
      <c r="AA188" s="560"/>
      <c r="AB188" s="560"/>
      <c r="AC188" s="323"/>
      <c r="AD188" s="412"/>
      <c r="AF188" s="924"/>
      <c r="AG188" s="261"/>
      <c r="AH188" s="261"/>
      <c r="AI188" s="851"/>
      <c r="AJ188" s="316"/>
      <c r="AK188" s="926"/>
      <c r="AL188" s="872"/>
    </row>
    <row r="189" spans="1:39" ht="15.75" thickBot="1">
      <c r="A189" s="579" t="s">
        <v>175</v>
      </c>
      <c r="B189" s="510">
        <f>B17+B44+B74+B83+B105+B179</f>
        <v>5578162000</v>
      </c>
      <c r="C189" s="192"/>
      <c r="D189" s="192"/>
      <c r="E189" s="192"/>
      <c r="F189" s="192"/>
      <c r="G189" s="193"/>
      <c r="H189" s="1971"/>
      <c r="I189" s="1037"/>
      <c r="J189" s="212"/>
      <c r="K189" s="1535"/>
      <c r="L189" s="478"/>
      <c r="M189" s="194">
        <f>M33+M38+M43+M65+M73+M82+M104+M175+M178+M187</f>
        <v>5114614248</v>
      </c>
      <c r="N189" s="478"/>
      <c r="O189" s="194">
        <f>O33+O38+O43+O65+O73+O82+O104+O175+O178+O187</f>
        <v>4973337702</v>
      </c>
      <c r="P189" s="248"/>
      <c r="Q189" s="194">
        <f t="shared" ref="Q189:AD189" si="96">Q33+Q38+Q43+Q65+Q73+Q82+Q104+Q175+Q178+Q187</f>
        <v>5808174</v>
      </c>
      <c r="R189" s="194">
        <f t="shared" si="96"/>
        <v>73612986</v>
      </c>
      <c r="S189" s="194">
        <f t="shared" si="96"/>
        <v>321065651</v>
      </c>
      <c r="T189" s="194">
        <f t="shared" si="96"/>
        <v>368083299</v>
      </c>
      <c r="U189" s="194">
        <f t="shared" si="96"/>
        <v>396986571</v>
      </c>
      <c r="V189" s="194">
        <f t="shared" si="96"/>
        <v>437927363</v>
      </c>
      <c r="W189" s="194">
        <f t="shared" si="96"/>
        <v>396502526</v>
      </c>
      <c r="X189" s="194">
        <f t="shared" si="96"/>
        <v>479642020</v>
      </c>
      <c r="Y189" s="194">
        <f t="shared" si="96"/>
        <v>439111746</v>
      </c>
      <c r="Z189" s="194">
        <f t="shared" si="96"/>
        <v>0</v>
      </c>
      <c r="AA189" s="194">
        <f t="shared" si="96"/>
        <v>0</v>
      </c>
      <c r="AB189" s="194">
        <f t="shared" si="96"/>
        <v>0</v>
      </c>
      <c r="AC189" s="1543">
        <f t="shared" si="96"/>
        <v>2918740336</v>
      </c>
      <c r="AD189" s="1544">
        <f t="shared" si="96"/>
        <v>2054597366</v>
      </c>
      <c r="AF189" s="938"/>
      <c r="AG189" s="927"/>
      <c r="AH189" s="927"/>
      <c r="AI189" s="1106"/>
      <c r="AJ189" s="248">
        <f>AJ33+AJ38+AJ43+AJ65+AJ73+AJ82+AJ104+AJ175+AJ178+AJ187</f>
        <v>5578162000</v>
      </c>
      <c r="AK189" s="248">
        <f>AK33+AK38+AK43+AK65+AK73+AK82+AK104+AK175+AK178+AK187</f>
        <v>604824298</v>
      </c>
      <c r="AL189" s="248">
        <f>AL33+AL38+AL43+AL65+AL73+AL82+AL104+AL175+AL178+AL187</f>
        <v>0</v>
      </c>
    </row>
    <row r="190" spans="1:39" s="8" customFormat="1" ht="15">
      <c r="A190" s="792"/>
      <c r="B190" s="489"/>
      <c r="C190" s="74"/>
      <c r="D190" s="74"/>
      <c r="E190" s="74"/>
      <c r="F190" s="74"/>
      <c r="G190" s="74"/>
      <c r="H190" s="74"/>
      <c r="I190" s="1038"/>
      <c r="J190" s="213"/>
      <c r="K190" s="1536"/>
      <c r="L190" s="287"/>
      <c r="M190" s="76"/>
      <c r="N190" s="287"/>
      <c r="O190" s="76"/>
      <c r="P190" s="76"/>
      <c r="Q190" s="76"/>
      <c r="R190" s="76"/>
      <c r="S190" s="76"/>
      <c r="T190" s="76"/>
      <c r="U190" s="76"/>
      <c r="V190" s="76"/>
      <c r="W190" s="76"/>
      <c r="X190" s="76"/>
      <c r="Y190" s="76"/>
      <c r="Z190" s="76"/>
      <c r="AA190" s="76"/>
      <c r="AB190" s="76"/>
      <c r="AC190" s="1499"/>
      <c r="AD190" s="1545"/>
      <c r="AF190" s="842"/>
      <c r="AI190" s="1107"/>
      <c r="AJ190" s="314"/>
      <c r="AK190" s="314"/>
      <c r="AL190" s="872"/>
    </row>
    <row r="191" spans="1:39" s="8" customFormat="1" ht="15">
      <c r="A191" s="792"/>
      <c r="B191" s="489"/>
      <c r="C191" s="74"/>
      <c r="D191" s="74"/>
      <c r="E191" s="74"/>
      <c r="F191" s="74"/>
      <c r="G191" s="74"/>
      <c r="H191" s="74"/>
      <c r="I191" s="1038"/>
      <c r="J191" s="213"/>
      <c r="K191" s="1536"/>
      <c r="L191" s="287"/>
      <c r="M191" s="76"/>
      <c r="N191" s="287"/>
      <c r="O191" s="76"/>
      <c r="P191" s="76"/>
      <c r="Q191" s="76"/>
      <c r="R191" s="76"/>
      <c r="S191" s="76"/>
      <c r="T191" s="76"/>
      <c r="U191" s="76"/>
      <c r="V191" s="76"/>
      <c r="W191" s="76"/>
      <c r="X191" s="76"/>
      <c r="Y191" s="76"/>
      <c r="Z191" s="76"/>
      <c r="AA191" s="76"/>
      <c r="AB191" s="76"/>
      <c r="AC191" s="1499"/>
      <c r="AD191" s="1545"/>
      <c r="AF191" s="842"/>
      <c r="AI191" s="1107"/>
      <c r="AJ191" s="314"/>
      <c r="AK191" s="314"/>
      <c r="AL191" s="872"/>
    </row>
    <row r="192" spans="1:39" s="8" customFormat="1" ht="14.25">
      <c r="A192" s="615"/>
      <c r="B192" s="511"/>
      <c r="C192" s="73"/>
      <c r="D192" s="74"/>
      <c r="E192" s="74"/>
      <c r="F192" s="74"/>
      <c r="G192" s="74"/>
      <c r="H192" s="74"/>
      <c r="I192" s="1038"/>
      <c r="J192" s="213"/>
      <c r="K192" s="1536"/>
      <c r="L192" s="287"/>
      <c r="M192" s="76"/>
      <c r="N192" s="287"/>
      <c r="O192" s="223"/>
      <c r="P192" s="224"/>
      <c r="Q192" s="223"/>
      <c r="R192" s="223"/>
      <c r="S192" s="223"/>
      <c r="T192" s="223"/>
      <c r="U192" s="223"/>
      <c r="V192" s="223"/>
      <c r="W192" s="223"/>
      <c r="X192" s="223"/>
      <c r="Y192" s="223"/>
      <c r="Z192" s="223"/>
      <c r="AA192" s="223"/>
      <c r="AB192" s="223"/>
      <c r="AC192" s="1546"/>
      <c r="AD192" s="1547"/>
      <c r="AF192" s="842"/>
      <c r="AI192" s="1107"/>
      <c r="AJ192" s="314"/>
      <c r="AK192" s="314"/>
      <c r="AL192" s="872"/>
    </row>
    <row r="193" spans="1:38" ht="14.25">
      <c r="A193" s="22" t="s">
        <v>30</v>
      </c>
      <c r="B193" s="126" t="s">
        <v>12</v>
      </c>
      <c r="C193" s="845"/>
      <c r="D193" s="845"/>
      <c r="E193" s="845"/>
      <c r="F193" s="845"/>
      <c r="G193" s="845"/>
      <c r="H193" s="1916"/>
      <c r="I193" s="214"/>
      <c r="J193" s="214"/>
      <c r="K193" s="1537"/>
      <c r="L193" s="179"/>
      <c r="M193" s="111"/>
      <c r="N193" s="103"/>
      <c r="O193" s="225"/>
      <c r="P193" s="226"/>
      <c r="Q193" s="225"/>
      <c r="R193" s="225"/>
      <c r="S193" s="225"/>
      <c r="T193" s="225"/>
      <c r="U193" s="225"/>
      <c r="V193" s="225"/>
      <c r="W193" s="225"/>
      <c r="X193" s="225"/>
      <c r="Y193" s="225"/>
      <c r="Z193" s="225"/>
      <c r="AA193" s="225"/>
      <c r="AB193" s="225"/>
      <c r="AC193" s="1548"/>
      <c r="AD193" s="1549"/>
    </row>
    <row r="194" spans="1:38" s="129" customFormat="1" ht="24.75" customHeight="1">
      <c r="A194" s="25" t="s">
        <v>31</v>
      </c>
      <c r="B194" s="77">
        <f>B18+B34+B39+B45+B66+B74+B83+B106+B176+B179</f>
        <v>5578162000</v>
      </c>
      <c r="C194" s="592"/>
      <c r="D194" s="592"/>
      <c r="E194" s="592"/>
      <c r="F194" s="592"/>
      <c r="G194" s="592"/>
      <c r="H194" s="592"/>
      <c r="I194" s="993"/>
      <c r="J194" s="228"/>
      <c r="K194" s="1538"/>
      <c r="L194" s="288"/>
      <c r="M194" s="112" t="s">
        <v>17</v>
      </c>
      <c r="N194" s="359" t="s">
        <v>18</v>
      </c>
      <c r="O194" s="24" t="s">
        <v>19</v>
      </c>
      <c r="P194" s="555" t="s">
        <v>137</v>
      </c>
      <c r="Q194" s="1488">
        <v>5808174</v>
      </c>
      <c r="R194" s="1488">
        <v>73612986</v>
      </c>
      <c r="S194" s="1488">
        <v>321065651</v>
      </c>
      <c r="T194" s="1488">
        <v>368083299</v>
      </c>
      <c r="U194" s="1488">
        <v>396986571</v>
      </c>
      <c r="V194" s="1488">
        <v>437927363</v>
      </c>
      <c r="W194" s="1488">
        <v>396502526</v>
      </c>
      <c r="X194" s="1488">
        <v>479642020</v>
      </c>
      <c r="Y194" s="1488">
        <v>439111746</v>
      </c>
      <c r="Z194" s="1488"/>
      <c r="AA194" s="1488"/>
      <c r="AB194" s="1488"/>
      <c r="AC194" s="1488">
        <f>SUM(Q194:AB194)</f>
        <v>2918740336</v>
      </c>
      <c r="AD194" s="1489">
        <f>O189-AC194</f>
        <v>2054597366</v>
      </c>
      <c r="AF194" s="549"/>
      <c r="AI194" s="1108"/>
      <c r="AJ194" s="551"/>
      <c r="AK194" s="551"/>
      <c r="AL194" s="875"/>
    </row>
    <row r="195" spans="1:38" ht="15">
      <c r="A195" s="59"/>
      <c r="B195" s="324"/>
      <c r="C195" s="61"/>
      <c r="D195" s="2082"/>
      <c r="E195" s="2128"/>
      <c r="F195" s="2128"/>
      <c r="G195" s="2128"/>
      <c r="H195" s="1917"/>
      <c r="I195" s="1013"/>
      <c r="J195" s="226"/>
      <c r="K195" s="596"/>
      <c r="L195" s="1055"/>
      <c r="M195" s="1271">
        <f>M189</f>
        <v>5114614248</v>
      </c>
      <c r="N195" s="1271">
        <f>O189</f>
        <v>4973337702</v>
      </c>
      <c r="O195" s="1271">
        <f>AC189</f>
        <v>2918740336</v>
      </c>
      <c r="P195" s="226"/>
      <c r="Q195" s="225"/>
      <c r="R195" s="225"/>
      <c r="S195" s="225"/>
      <c r="T195" s="225"/>
      <c r="U195" s="225"/>
      <c r="V195" s="225"/>
      <c r="W195" s="225"/>
      <c r="X195" s="225"/>
      <c r="Y195" s="225"/>
      <c r="Z195" s="225"/>
      <c r="AA195" s="225"/>
      <c r="AB195" s="225"/>
      <c r="AC195" s="1548"/>
      <c r="AD195" s="1549"/>
    </row>
    <row r="196" spans="1:38" ht="24.75" customHeight="1">
      <c r="A196" s="794"/>
      <c r="B196" s="324"/>
      <c r="C196" s="61"/>
      <c r="D196" s="2138"/>
      <c r="E196" s="2138"/>
      <c r="F196" s="2138"/>
      <c r="G196" s="2138"/>
      <c r="H196" s="1919"/>
      <c r="I196" s="1039" t="s">
        <v>1134</v>
      </c>
      <c r="J196" s="226"/>
      <c r="K196" s="596"/>
      <c r="L196" s="1055"/>
      <c r="M196" s="76"/>
      <c r="N196" s="479" t="s">
        <v>31</v>
      </c>
      <c r="O196" s="1271">
        <f>O189</f>
        <v>4973337702</v>
      </c>
      <c r="P196" s="226"/>
      <c r="Q196" s="362">
        <f t="shared" ref="Q196:AC196" si="97">Q33+Q38+Q43+Q65+Q73+Q82+Q104+Q175+Q178+Q187</f>
        <v>5808174</v>
      </c>
      <c r="R196" s="362">
        <f t="shared" si="97"/>
        <v>73612986</v>
      </c>
      <c r="S196" s="362">
        <f t="shared" si="97"/>
        <v>321065651</v>
      </c>
      <c r="T196" s="362">
        <f t="shared" si="97"/>
        <v>368083299</v>
      </c>
      <c r="U196" s="362">
        <f t="shared" si="97"/>
        <v>396986571</v>
      </c>
      <c r="V196" s="362">
        <f t="shared" si="97"/>
        <v>437927363</v>
      </c>
      <c r="W196" s="362">
        <f t="shared" si="97"/>
        <v>396502526</v>
      </c>
      <c r="X196" s="362">
        <f t="shared" si="97"/>
        <v>479642020</v>
      </c>
      <c r="Y196" s="362">
        <f t="shared" si="97"/>
        <v>439111746</v>
      </c>
      <c r="Z196" s="362">
        <f t="shared" si="97"/>
        <v>0</v>
      </c>
      <c r="AA196" s="362">
        <f t="shared" si="97"/>
        <v>0</v>
      </c>
      <c r="AB196" s="362">
        <f t="shared" si="97"/>
        <v>0</v>
      </c>
      <c r="AC196" s="362">
        <f t="shared" si="97"/>
        <v>2918740336</v>
      </c>
      <c r="AD196" s="1550">
        <f>O196-AC196</f>
        <v>2054597366</v>
      </c>
    </row>
    <row r="197" spans="1:38" ht="13.5" thickBot="1">
      <c r="A197" s="616"/>
      <c r="B197" s="617"/>
      <c r="C197" s="618"/>
      <c r="D197" s="619"/>
      <c r="E197" s="69"/>
      <c r="F197" s="69"/>
      <c r="G197" s="69"/>
      <c r="H197" s="69"/>
      <c r="I197" s="1040"/>
      <c r="J197" s="262"/>
      <c r="K197" s="586"/>
      <c r="L197" s="1056"/>
      <c r="M197" s="515"/>
      <c r="N197" s="648"/>
      <c r="O197" s="589"/>
      <c r="P197" s="262"/>
      <c r="Q197" s="589"/>
      <c r="R197" s="589"/>
      <c r="S197" s="589"/>
      <c r="T197" s="589"/>
      <c r="U197" s="589"/>
      <c r="V197" s="589"/>
      <c r="W197" s="589"/>
      <c r="X197" s="589"/>
      <c r="Y197" s="589"/>
      <c r="Z197" s="589"/>
      <c r="AA197" s="589"/>
      <c r="AB197" s="589"/>
      <c r="AC197" s="589"/>
      <c r="AD197" s="591"/>
    </row>
    <row r="198" spans="1:38">
      <c r="A198" s="33"/>
      <c r="B198" s="128"/>
      <c r="C198" s="35"/>
      <c r="D198" s="36"/>
      <c r="AC198" s="116">
        <f>AC196-AC189</f>
        <v>0</v>
      </c>
    </row>
    <row r="199" spans="1:38">
      <c r="M199" s="367">
        <v>5114614248</v>
      </c>
      <c r="N199" s="367">
        <v>4973337702</v>
      </c>
      <c r="O199" s="418">
        <f>O195</f>
        <v>2918740336</v>
      </c>
      <c r="R199" s="116">
        <f>R196-R194</f>
        <v>0</v>
      </c>
      <c r="S199" s="116">
        <f>S194-S189</f>
        <v>0</v>
      </c>
      <c r="T199" s="116">
        <f>T194-T189</f>
        <v>0</v>
      </c>
      <c r="U199" s="116">
        <f t="shared" ref="U199:Y199" si="98">U194-U189</f>
        <v>0</v>
      </c>
      <c r="V199" s="116">
        <f t="shared" si="98"/>
        <v>0</v>
      </c>
      <c r="W199" s="116">
        <f t="shared" si="98"/>
        <v>0</v>
      </c>
      <c r="X199" s="116">
        <f t="shared" si="98"/>
        <v>0</v>
      </c>
      <c r="Y199" s="116">
        <f t="shared" si="98"/>
        <v>0</v>
      </c>
    </row>
    <row r="200" spans="1:38">
      <c r="M200" s="367">
        <f>M195-M196-M199</f>
        <v>0</v>
      </c>
      <c r="N200" s="367">
        <f>N199-N195</f>
        <v>0</v>
      </c>
      <c r="O200" s="367">
        <f>O199-O195</f>
        <v>0</v>
      </c>
    </row>
    <row r="201" spans="1:38">
      <c r="A201" s="368" t="s">
        <v>42</v>
      </c>
      <c r="B201" s="512" t="s">
        <v>43</v>
      </c>
      <c r="C201" s="370" t="s">
        <v>153</v>
      </c>
      <c r="D201" s="370" t="s">
        <v>125</v>
      </c>
      <c r="E201" s="370" t="s">
        <v>126</v>
      </c>
      <c r="F201" s="370" t="s">
        <v>127</v>
      </c>
    </row>
    <row r="202" spans="1:38">
      <c r="A202" s="414">
        <v>112</v>
      </c>
      <c r="B202" s="164" t="s">
        <v>521</v>
      </c>
      <c r="C202" s="1609">
        <f>B18</f>
        <v>1397667861</v>
      </c>
      <c r="D202" s="314">
        <f>M33</f>
        <v>1290716311</v>
      </c>
      <c r="E202" s="314">
        <f>O33</f>
        <v>1218123821</v>
      </c>
      <c r="F202" s="314">
        <f>AC33</f>
        <v>525818039</v>
      </c>
    </row>
    <row r="203" spans="1:38">
      <c r="A203" s="414">
        <v>112</v>
      </c>
      <c r="B203" s="1397" t="s">
        <v>971</v>
      </c>
      <c r="C203" s="1609">
        <f>B45</f>
        <v>368490000</v>
      </c>
      <c r="D203" s="314">
        <f>M65</f>
        <v>238978950</v>
      </c>
      <c r="E203" s="314">
        <f>O65</f>
        <v>199744311</v>
      </c>
      <c r="F203" s="1610">
        <f>AC65</f>
        <v>122758478</v>
      </c>
    </row>
    <row r="204" spans="1:38" s="420" customFormat="1">
      <c r="A204" s="414">
        <v>112</v>
      </c>
      <c r="B204" s="164" t="s">
        <v>523</v>
      </c>
      <c r="C204" s="1609">
        <f>B74+B83+B106+B179</f>
        <v>3599808139</v>
      </c>
      <c r="D204" s="314">
        <f>M82+M104+M175+M187</f>
        <v>3449483670</v>
      </c>
      <c r="E204" s="314">
        <f>O82+O104+O175+O187</f>
        <v>3423620336</v>
      </c>
      <c r="F204" s="1610">
        <f>AC82+AC104+AC175+AC187</f>
        <v>2210499060</v>
      </c>
      <c r="G204" s="1610"/>
      <c r="H204" s="1610"/>
      <c r="I204" s="417"/>
      <c r="J204" s="417"/>
      <c r="K204" s="165"/>
      <c r="L204" s="1057"/>
      <c r="M204" s="367"/>
      <c r="N204" s="480"/>
      <c r="O204" s="418"/>
      <c r="P204" s="417"/>
      <c r="Q204" s="418"/>
      <c r="R204" s="418"/>
      <c r="S204" s="418"/>
      <c r="T204" s="418"/>
      <c r="U204" s="418"/>
      <c r="V204" s="418"/>
      <c r="W204" s="418"/>
      <c r="X204" s="418"/>
      <c r="Y204" s="418"/>
      <c r="Z204" s="418"/>
      <c r="AA204" s="418"/>
      <c r="AB204" s="418"/>
      <c r="AC204" s="418"/>
      <c r="AD204" s="418"/>
      <c r="AI204" s="480"/>
      <c r="AJ204" s="367"/>
      <c r="AK204" s="367"/>
      <c r="AL204" s="873"/>
    </row>
    <row r="205" spans="1:38">
      <c r="A205" s="414">
        <v>112</v>
      </c>
      <c r="B205" s="1397" t="s">
        <v>972</v>
      </c>
      <c r="C205" s="314">
        <f>B66</f>
        <v>140000000</v>
      </c>
      <c r="D205" s="314">
        <f>M73</f>
        <v>63239317</v>
      </c>
      <c r="E205" s="314">
        <f>O73</f>
        <v>59664759</v>
      </c>
      <c r="F205" s="1610">
        <f>AC73</f>
        <v>59664759</v>
      </c>
    </row>
    <row r="206" spans="1:38">
      <c r="A206" s="1399" t="s">
        <v>973</v>
      </c>
      <c r="B206" s="164" t="s">
        <v>521</v>
      </c>
      <c r="C206" s="314">
        <f>B34</f>
        <v>69775000</v>
      </c>
      <c r="D206" s="314">
        <f>M38</f>
        <v>69775000</v>
      </c>
      <c r="E206" s="314">
        <f>O38</f>
        <v>69775000</v>
      </c>
      <c r="F206" s="314">
        <f>AC38</f>
        <v>0</v>
      </c>
      <c r="N206" s="367"/>
    </row>
    <row r="207" spans="1:38">
      <c r="A207" s="1399" t="s">
        <v>973</v>
      </c>
      <c r="B207" s="164" t="s">
        <v>523</v>
      </c>
      <c r="C207" s="314">
        <f>B176</f>
        <v>1971000</v>
      </c>
      <c r="D207" s="314">
        <f>M178</f>
        <v>1971000</v>
      </c>
      <c r="E207" s="314">
        <f>O178</f>
        <v>1971000</v>
      </c>
      <c r="F207" s="1610">
        <f>AC178</f>
        <v>0</v>
      </c>
    </row>
    <row r="208" spans="1:38">
      <c r="A208" s="1398" t="s">
        <v>522</v>
      </c>
      <c r="B208" s="164" t="s">
        <v>521</v>
      </c>
      <c r="C208" s="314">
        <f>B39</f>
        <v>450000</v>
      </c>
      <c r="D208" s="314">
        <f>M43</f>
        <v>450000</v>
      </c>
      <c r="E208" s="314">
        <f>O43</f>
        <v>438475</v>
      </c>
      <c r="F208" s="314">
        <f>AC43</f>
        <v>0</v>
      </c>
      <c r="N208" s="367"/>
    </row>
    <row r="209" spans="1:6">
      <c r="A209" s="419"/>
      <c r="B209" s="367" t="s">
        <v>128</v>
      </c>
      <c r="C209" s="367">
        <f>SUM(C202:C208)</f>
        <v>5578162000</v>
      </c>
      <c r="D209" s="367">
        <f t="shared" ref="D209:F209" si="99">SUM(D202:D208)</f>
        <v>5114614248</v>
      </c>
      <c r="E209" s="367">
        <f t="shared" si="99"/>
        <v>4973337702</v>
      </c>
      <c r="F209" s="367">
        <f t="shared" si="99"/>
        <v>2918740336</v>
      </c>
    </row>
    <row r="210" spans="1:6">
      <c r="A210" s="513"/>
    </row>
  </sheetData>
  <autoFilter ref="A16:AL187"/>
  <mergeCells count="17">
    <mergeCell ref="D196:E196"/>
    <mergeCell ref="F196:G196"/>
    <mergeCell ref="A4:G4"/>
    <mergeCell ref="A5:G5"/>
    <mergeCell ref="A6:G6"/>
    <mergeCell ref="A7:G7"/>
    <mergeCell ref="A8:G8"/>
    <mergeCell ref="A9:G9"/>
    <mergeCell ref="B10:D10"/>
    <mergeCell ref="B11:G11"/>
    <mergeCell ref="B12:G12"/>
    <mergeCell ref="D195:E195"/>
    <mergeCell ref="F195:G195"/>
    <mergeCell ref="A1:A3"/>
    <mergeCell ref="B1:AD1"/>
    <mergeCell ref="B2:AD2"/>
    <mergeCell ref="B3:AD3"/>
  </mergeCells>
  <conditionalFormatting sqref="AD179 AD188 AD39:AD42 AK39:AK42 AD4:AD37 AK1:AK37 AD44:AD174 AD192:AD1048576 AK44:AK1048576 AM1:AM1048576">
    <cfRule type="cellIs" dxfId="80" priority="24" operator="lessThan">
      <formula>0</formula>
    </cfRule>
  </conditionalFormatting>
  <conditionalFormatting sqref="AD35:AD37">
    <cfRule type="cellIs" dxfId="79" priority="21" operator="lessThan">
      <formula>0</formula>
    </cfRule>
  </conditionalFormatting>
  <conditionalFormatting sqref="AD39:AD42">
    <cfRule type="cellIs" dxfId="78" priority="20" operator="lessThan">
      <formula>0</formula>
    </cfRule>
  </conditionalFormatting>
  <conditionalFormatting sqref="AD46:AD64">
    <cfRule type="cellIs" dxfId="77" priority="19" operator="lessThan">
      <formula>0</formula>
    </cfRule>
  </conditionalFormatting>
  <conditionalFormatting sqref="AD75:AD81">
    <cfRule type="cellIs" dxfId="76" priority="17" operator="lessThan">
      <formula>0</formula>
    </cfRule>
  </conditionalFormatting>
  <conditionalFormatting sqref="AD84:AD103">
    <cfRule type="cellIs" dxfId="75" priority="16" operator="lessThan">
      <formula>0</formula>
    </cfRule>
  </conditionalFormatting>
  <conditionalFormatting sqref="AD176:AD177">
    <cfRule type="cellIs" dxfId="74" priority="14" operator="lessThan">
      <formula>0</formula>
    </cfRule>
  </conditionalFormatting>
  <conditionalFormatting sqref="AD180:AD186">
    <cfRule type="cellIs" dxfId="73" priority="13" operator="lessThan">
      <formula>0</formula>
    </cfRule>
  </conditionalFormatting>
  <conditionalFormatting sqref="AD176:AD202">
    <cfRule type="cellIs" dxfId="72" priority="4" operator="lessThan">
      <formula>0</formula>
    </cfRule>
  </conditionalFormatting>
  <printOptions horizontalCentered="1" verticalCentered="1"/>
  <pageMargins left="0.70866141732283472" right="1.7322834645669292" top="0" bottom="0" header="0" footer="0"/>
  <pageSetup scale="35" fitToWidth="2" fitToHeight="2" orientation="landscape" r:id="rId1"/>
  <headerFooter alignWithMargins="0">
    <oddFooter xml:space="preserve">&amp;LVersión 3. 23/07/2019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0"/>
  <sheetViews>
    <sheetView zoomScale="90" zoomScaleNormal="90" workbookViewId="0">
      <selection activeCell="C28" sqref="C28"/>
    </sheetView>
  </sheetViews>
  <sheetFormatPr baseColWidth="10" defaultRowHeight="12.75"/>
  <cols>
    <col min="1" max="1" width="31" customWidth="1"/>
    <col min="2" max="2" width="19" style="114" customWidth="1"/>
    <col min="3" max="3" width="30.7109375" customWidth="1"/>
    <col min="4" max="4" width="29.42578125" customWidth="1"/>
    <col min="5" max="5" width="20.85546875" customWidth="1"/>
    <col min="6" max="6" width="25.42578125" customWidth="1"/>
    <col min="7" max="7" width="26" customWidth="1"/>
    <col min="8" max="8" width="31.42578125" customWidth="1"/>
    <col min="9" max="9" width="13.28515625" style="104" customWidth="1"/>
    <col min="10" max="10" width="13.42578125" style="524" customWidth="1"/>
    <col min="11" max="11" width="13.42578125" style="164" customWidth="1"/>
    <col min="12" max="12" width="9.42578125" style="134" customWidth="1"/>
    <col min="13" max="13" width="20" style="133" customWidth="1"/>
    <col min="14" max="14" width="16.5703125" style="134" customWidth="1"/>
    <col min="15" max="15" width="17.28515625" style="545" customWidth="1"/>
    <col min="16" max="16" width="11.42578125" style="134" customWidth="1"/>
    <col min="17" max="17" width="11.42578125" style="546" customWidth="1"/>
    <col min="18" max="18" width="14.140625" style="546" customWidth="1"/>
    <col min="19" max="20" width="15.28515625" style="545" customWidth="1"/>
    <col min="21" max="21" width="15" style="1412" customWidth="1"/>
    <col min="22" max="22" width="14.28515625" style="545" customWidth="1"/>
    <col min="23" max="23" width="14.28515625" style="546" customWidth="1"/>
    <col min="24" max="24" width="14.28515625" style="545" customWidth="1"/>
    <col min="25" max="25" width="18.5703125" style="545" customWidth="1"/>
    <col min="26" max="28" width="11.42578125" style="546" customWidth="1"/>
    <col min="29" max="29" width="18" style="546" customWidth="1"/>
    <col min="30" max="30" width="17.140625" style="546" customWidth="1"/>
    <col min="31" max="31" width="4.140625" customWidth="1"/>
    <col min="32" max="32" width="11.42578125" hidden="1" customWidth="1"/>
    <col min="33" max="33" width="11.42578125" style="891" hidden="1" customWidth="1"/>
    <col min="34" max="34" width="13.28515625" style="1130" hidden="1" customWidth="1"/>
    <col min="35" max="35" width="11.42578125" style="104" hidden="1" customWidth="1"/>
    <col min="36" max="37" width="16.28515625" style="114" hidden="1" customWidth="1"/>
    <col min="38" max="38" width="14" style="875" hidden="1" customWidth="1"/>
    <col min="39" max="39" width="0" style="28" hidden="1" customWidth="1"/>
  </cols>
  <sheetData>
    <row r="1" spans="1:37" ht="42" customHeight="1" thickBot="1">
      <c r="A1" s="2105"/>
      <c r="B1" s="2135" t="s">
        <v>648</v>
      </c>
      <c r="C1" s="2136"/>
      <c r="D1" s="2136"/>
      <c r="E1" s="2136"/>
      <c r="F1" s="2136"/>
      <c r="G1" s="2136"/>
      <c r="H1" s="2136"/>
      <c r="I1" s="2136"/>
      <c r="J1" s="2136"/>
      <c r="K1" s="2136"/>
      <c r="L1" s="2136"/>
      <c r="M1" s="2136"/>
      <c r="N1" s="2136"/>
      <c r="O1" s="2136"/>
      <c r="P1" s="2136"/>
      <c r="Q1" s="2136"/>
      <c r="R1" s="2136"/>
      <c r="S1" s="2136"/>
      <c r="T1" s="2136"/>
      <c r="U1" s="2136"/>
      <c r="V1" s="2136"/>
      <c r="W1" s="2136"/>
      <c r="X1" s="2136"/>
      <c r="Y1" s="2136"/>
      <c r="Z1" s="2136"/>
      <c r="AA1" s="2136"/>
      <c r="AB1" s="2136"/>
      <c r="AC1" s="2136"/>
      <c r="AD1" s="2137"/>
    </row>
    <row r="2" spans="1:37" ht="42" customHeight="1" thickBot="1">
      <c r="A2" s="2106"/>
      <c r="B2" s="2135" t="s">
        <v>1222</v>
      </c>
      <c r="C2" s="2136"/>
      <c r="D2" s="2136"/>
      <c r="E2" s="2136"/>
      <c r="F2" s="2136"/>
      <c r="G2" s="2136"/>
      <c r="H2" s="2136"/>
      <c r="I2" s="2136"/>
      <c r="J2" s="2136"/>
      <c r="K2" s="2136"/>
      <c r="L2" s="2136"/>
      <c r="M2" s="2136"/>
      <c r="N2" s="2136"/>
      <c r="O2" s="2136"/>
      <c r="P2" s="2136"/>
      <c r="Q2" s="2136"/>
      <c r="R2" s="2136"/>
      <c r="S2" s="2136"/>
      <c r="T2" s="2136"/>
      <c r="U2" s="2136"/>
      <c r="V2" s="2136"/>
      <c r="W2" s="2136"/>
      <c r="X2" s="2136"/>
      <c r="Y2" s="2136"/>
      <c r="Z2" s="2136"/>
      <c r="AA2" s="2136"/>
      <c r="AB2" s="2136"/>
      <c r="AC2" s="2136"/>
      <c r="AD2" s="2137"/>
    </row>
    <row r="3" spans="1:37" ht="42" customHeight="1" thickBot="1">
      <c r="A3" s="2107"/>
      <c r="B3" s="2135" t="s">
        <v>1207</v>
      </c>
      <c r="C3" s="2136"/>
      <c r="D3" s="2136"/>
      <c r="E3" s="2136"/>
      <c r="F3" s="2136"/>
      <c r="G3" s="2136"/>
      <c r="H3" s="2136"/>
      <c r="I3" s="2136"/>
      <c r="J3" s="2136"/>
      <c r="K3" s="2136"/>
      <c r="L3" s="2136"/>
      <c r="M3" s="2136"/>
      <c r="N3" s="2136"/>
      <c r="O3" s="2136"/>
      <c r="P3" s="2136"/>
      <c r="Q3" s="2136"/>
      <c r="R3" s="2136"/>
      <c r="S3" s="2136"/>
      <c r="T3" s="2136"/>
      <c r="U3" s="2136"/>
      <c r="V3" s="2136"/>
      <c r="W3" s="2136"/>
      <c r="X3" s="2136"/>
      <c r="Y3" s="2136"/>
      <c r="Z3" s="2136"/>
      <c r="AA3" s="2136"/>
      <c r="AB3" s="2136"/>
      <c r="AC3" s="2136"/>
      <c r="AD3" s="2137"/>
    </row>
    <row r="4" spans="1:37">
      <c r="A4" s="2119" t="s">
        <v>0</v>
      </c>
      <c r="B4" s="2120"/>
      <c r="C4" s="2120"/>
      <c r="D4" s="2120"/>
      <c r="E4" s="2120"/>
      <c r="F4" s="2120"/>
      <c r="G4" s="2120"/>
      <c r="H4" s="1914"/>
      <c r="I4" s="1059"/>
      <c r="J4" s="1060"/>
      <c r="K4" s="1614"/>
      <c r="L4" s="1275"/>
      <c r="M4" s="1261"/>
      <c r="N4" s="1275"/>
      <c r="O4" s="1266"/>
      <c r="P4" s="1275"/>
      <c r="Q4" s="41"/>
      <c r="R4" s="41"/>
      <c r="S4" s="1259"/>
      <c r="T4" s="1372"/>
      <c r="U4" s="1405"/>
      <c r="V4" s="1429"/>
      <c r="W4" s="283"/>
      <c r="X4" s="1590"/>
      <c r="Y4" s="1120"/>
      <c r="Z4" s="283"/>
      <c r="AA4" s="283"/>
      <c r="AB4" s="283"/>
      <c r="AC4" s="283"/>
      <c r="AD4" s="633"/>
    </row>
    <row r="5" spans="1:37">
      <c r="A5" s="2119" t="s">
        <v>437</v>
      </c>
      <c r="B5" s="2120"/>
      <c r="C5" s="2120"/>
      <c r="D5" s="2120"/>
      <c r="E5" s="2120"/>
      <c r="F5" s="2120"/>
      <c r="G5" s="2120"/>
      <c r="H5" s="1914"/>
      <c r="I5" s="1059"/>
      <c r="J5" s="1060"/>
      <c r="K5" s="1614"/>
      <c r="L5" s="1275"/>
      <c r="M5" s="1261"/>
      <c r="N5" s="1275"/>
      <c r="O5" s="1266"/>
      <c r="P5" s="1275"/>
      <c r="Q5" s="41"/>
      <c r="R5" s="41"/>
      <c r="S5" s="1259"/>
      <c r="T5" s="1372"/>
      <c r="U5" s="1405"/>
      <c r="V5" s="1429"/>
      <c r="W5" s="283"/>
      <c r="X5" s="1590"/>
      <c r="Y5" s="1120"/>
      <c r="Z5" s="283"/>
      <c r="AA5" s="283"/>
      <c r="AB5" s="283"/>
      <c r="AC5" s="283"/>
      <c r="AD5" s="633"/>
    </row>
    <row r="6" spans="1:37">
      <c r="A6" s="2139" t="s">
        <v>63</v>
      </c>
      <c r="B6" s="2120"/>
      <c r="C6" s="2120"/>
      <c r="D6" s="2120"/>
      <c r="E6" s="2120"/>
      <c r="F6" s="2120"/>
      <c r="G6" s="2120"/>
      <c r="H6" s="1914"/>
      <c r="I6" s="1059"/>
      <c r="J6" s="1060"/>
      <c r="K6" s="1614"/>
      <c r="L6" s="1275"/>
      <c r="M6" s="1261"/>
      <c r="N6" s="1275"/>
      <c r="O6" s="1266"/>
      <c r="P6" s="1275"/>
      <c r="Q6" s="41"/>
      <c r="R6" s="41"/>
      <c r="S6" s="1259"/>
      <c r="T6" s="1372"/>
      <c r="U6" s="1405"/>
      <c r="V6" s="1429"/>
      <c r="W6" s="283"/>
      <c r="X6" s="1590"/>
      <c r="Y6" s="1120"/>
      <c r="Z6" s="283"/>
      <c r="AA6" s="283"/>
      <c r="AB6" s="283"/>
      <c r="AC6" s="283"/>
      <c r="AD6" s="633"/>
    </row>
    <row r="7" spans="1:37">
      <c r="A7" s="2139" t="s">
        <v>64</v>
      </c>
      <c r="B7" s="2120"/>
      <c r="C7" s="2120"/>
      <c r="D7" s="2120"/>
      <c r="E7" s="2120"/>
      <c r="F7" s="2120"/>
      <c r="G7" s="2120"/>
      <c r="H7" s="1914"/>
      <c r="I7" s="1059"/>
      <c r="J7" s="1060"/>
      <c r="K7" s="1614"/>
      <c r="L7" s="1275"/>
      <c r="M7" s="1261"/>
      <c r="N7" s="1275"/>
      <c r="O7" s="1266"/>
      <c r="P7" s="1275"/>
      <c r="Q7" s="41"/>
      <c r="R7" s="41"/>
      <c r="S7" s="1259"/>
      <c r="T7" s="1372"/>
      <c r="U7" s="1405"/>
      <c r="V7" s="1429"/>
      <c r="W7" s="283"/>
      <c r="X7" s="1590"/>
      <c r="Y7" s="1120"/>
      <c r="Z7" s="283"/>
      <c r="AA7" s="283"/>
      <c r="AB7" s="283"/>
      <c r="AC7" s="283"/>
      <c r="AD7" s="633"/>
    </row>
    <row r="8" spans="1:37">
      <c r="A8" s="2139" t="s">
        <v>65</v>
      </c>
      <c r="B8" s="2120"/>
      <c r="C8" s="2120"/>
      <c r="D8" s="2120"/>
      <c r="E8" s="2120"/>
      <c r="F8" s="2120"/>
      <c r="G8" s="2120"/>
      <c r="H8" s="1914"/>
      <c r="I8" s="1060"/>
      <c r="J8" s="1060"/>
      <c r="K8" s="1614"/>
      <c r="L8" s="1275"/>
      <c r="M8" s="1261"/>
      <c r="N8" s="1275"/>
      <c r="O8" s="1266"/>
      <c r="P8" s="1275"/>
      <c r="Q8" s="41"/>
      <c r="R8" s="41"/>
      <c r="S8" s="1259"/>
      <c r="T8" s="1372"/>
      <c r="U8" s="1405"/>
      <c r="V8" s="1429"/>
      <c r="W8" s="283"/>
      <c r="X8" s="1590"/>
      <c r="Y8" s="1120"/>
      <c r="Z8" s="283"/>
      <c r="AA8" s="283"/>
      <c r="AB8" s="283"/>
      <c r="AC8" s="283"/>
      <c r="AD8" s="633"/>
    </row>
    <row r="9" spans="1:37">
      <c r="A9" s="2140" t="s">
        <v>66</v>
      </c>
      <c r="B9" s="2141"/>
      <c r="C9" s="2141"/>
      <c r="D9" s="2141"/>
      <c r="E9" s="2141"/>
      <c r="F9" s="2141"/>
      <c r="G9" s="2141"/>
      <c r="H9" s="1920"/>
      <c r="I9" s="1060"/>
      <c r="J9" s="1060"/>
      <c r="K9" s="1614"/>
      <c r="L9" s="1275"/>
      <c r="M9" s="1261"/>
      <c r="N9" s="1275"/>
      <c r="O9" s="1266"/>
      <c r="P9" s="1275"/>
      <c r="Q9" s="41"/>
      <c r="R9" s="41"/>
      <c r="S9" s="1259"/>
      <c r="T9" s="1372"/>
      <c r="U9" s="1405"/>
      <c r="V9" s="1429"/>
      <c r="W9" s="283"/>
      <c r="X9" s="1590"/>
      <c r="Y9" s="1120"/>
      <c r="Z9" s="283"/>
      <c r="AA9" s="283"/>
      <c r="AB9" s="283"/>
      <c r="AC9" s="283"/>
      <c r="AD9" s="633"/>
    </row>
    <row r="10" spans="1:37">
      <c r="A10" s="299" t="s">
        <v>2</v>
      </c>
      <c r="B10" s="2120" t="s">
        <v>67</v>
      </c>
      <c r="C10" s="2120"/>
      <c r="D10" s="2120"/>
      <c r="E10" s="300"/>
      <c r="F10" s="300"/>
      <c r="G10" s="302"/>
      <c r="H10" s="300"/>
      <c r="I10" s="1060"/>
      <c r="J10" s="1060"/>
      <c r="K10" s="1614"/>
      <c r="L10" s="1275"/>
      <c r="M10" s="1261"/>
      <c r="N10" s="1275"/>
      <c r="O10" s="1266"/>
      <c r="P10" s="1275"/>
      <c r="Q10" s="41"/>
      <c r="R10" s="41"/>
      <c r="S10" s="1259"/>
      <c r="T10" s="1372"/>
      <c r="U10" s="1405"/>
      <c r="V10" s="1429"/>
      <c r="W10" s="283"/>
      <c r="X10" s="1590"/>
      <c r="Y10" s="1120"/>
      <c r="Z10" s="283"/>
      <c r="AA10" s="283"/>
      <c r="AB10" s="283"/>
      <c r="AC10" s="283"/>
      <c r="AD10" s="633"/>
    </row>
    <row r="11" spans="1:37">
      <c r="A11" s="299" t="s">
        <v>4</v>
      </c>
      <c r="B11" s="2120" t="s">
        <v>68</v>
      </c>
      <c r="C11" s="2120"/>
      <c r="D11" s="2120"/>
      <c r="E11" s="2120"/>
      <c r="F11" s="2120"/>
      <c r="G11" s="2120"/>
      <c r="H11" s="1914"/>
      <c r="I11" s="1060"/>
      <c r="J11" s="1060"/>
      <c r="K11" s="1614"/>
      <c r="L11" s="1275"/>
      <c r="M11" s="1261"/>
      <c r="N11" s="1275"/>
      <c r="O11" s="1266"/>
      <c r="P11" s="1275"/>
      <c r="Q11" s="41"/>
      <c r="R11" s="41"/>
      <c r="S11" s="1259"/>
      <c r="T11" s="1372"/>
      <c r="U11" s="1405"/>
      <c r="V11" s="1429"/>
      <c r="W11" s="283"/>
      <c r="X11" s="1590"/>
      <c r="Y11" s="1120"/>
      <c r="Z11" s="283"/>
      <c r="AA11" s="283"/>
      <c r="AB11" s="283"/>
      <c r="AC11" s="283"/>
      <c r="AD11" s="633"/>
    </row>
    <row r="12" spans="1:37">
      <c r="A12" s="301" t="s">
        <v>6</v>
      </c>
      <c r="B12" s="2120" t="s">
        <v>69</v>
      </c>
      <c r="C12" s="2120"/>
      <c r="D12" s="2120"/>
      <c r="E12" s="2120"/>
      <c r="F12" s="2120"/>
      <c r="G12" s="2120"/>
      <c r="H12" s="1914"/>
      <c r="I12" s="1060"/>
      <c r="J12" s="1060"/>
      <c r="K12" s="1614"/>
      <c r="L12" s="1275"/>
      <c r="M12" s="1261"/>
      <c r="N12" s="1275"/>
      <c r="O12" s="1266"/>
      <c r="P12" s="1275"/>
      <c r="Q12" s="41"/>
      <c r="R12" s="41"/>
      <c r="S12" s="1259"/>
      <c r="T12" s="1372"/>
      <c r="U12" s="1405"/>
      <c r="V12" s="1429"/>
      <c r="W12" s="283"/>
      <c r="X12" s="1590"/>
      <c r="Y12" s="1120"/>
      <c r="Z12" s="283"/>
      <c r="AA12" s="283"/>
      <c r="AB12" s="283"/>
      <c r="AC12" s="283"/>
      <c r="AD12" s="633"/>
    </row>
    <row r="13" spans="1:37">
      <c r="A13" s="634" t="s">
        <v>8</v>
      </c>
      <c r="B13" s="310">
        <v>43724</v>
      </c>
      <c r="C13" s="307"/>
      <c r="D13" s="307"/>
      <c r="E13" s="307"/>
      <c r="F13" s="307"/>
      <c r="G13" s="308"/>
      <c r="H13" s="307"/>
      <c r="I13" s="1060"/>
      <c r="J13" s="1060"/>
      <c r="K13" s="1614"/>
      <c r="L13" s="1275"/>
      <c r="M13" s="1261"/>
      <c r="N13" s="1275"/>
      <c r="O13" s="1266"/>
      <c r="P13" s="1275"/>
      <c r="Q13" s="41"/>
      <c r="R13" s="41"/>
      <c r="S13" s="1259"/>
      <c r="T13" s="1372"/>
      <c r="U13" s="1405"/>
      <c r="V13" s="1429"/>
      <c r="W13" s="283"/>
      <c r="X13" s="1590"/>
      <c r="Y13" s="1120"/>
      <c r="Z13" s="283"/>
      <c r="AA13" s="283"/>
      <c r="AB13" s="283"/>
      <c r="AC13" s="283"/>
      <c r="AD13" s="633"/>
    </row>
    <row r="14" spans="1:37">
      <c r="A14" s="889" t="s">
        <v>9</v>
      </c>
      <c r="B14" s="895">
        <f>D15-E15</f>
        <v>499660347</v>
      </c>
      <c r="C14" s="530" t="s">
        <v>136</v>
      </c>
      <c r="D14" s="530" t="s">
        <v>1044</v>
      </c>
      <c r="E14" s="530" t="s">
        <v>1045</v>
      </c>
      <c r="F14" s="311"/>
      <c r="G14" s="887"/>
      <c r="H14" s="2008"/>
      <c r="I14" s="1061"/>
      <c r="J14" s="1061"/>
      <c r="K14" s="1615"/>
      <c r="L14" s="1276"/>
      <c r="M14" s="1262"/>
      <c r="N14" s="1276"/>
      <c r="O14" s="1267"/>
      <c r="P14" s="1276"/>
      <c r="Q14" s="46"/>
      <c r="R14" s="46"/>
      <c r="S14" s="1260"/>
      <c r="T14" s="1373"/>
      <c r="U14" s="1406"/>
      <c r="V14" s="1430"/>
      <c r="W14" s="284"/>
      <c r="X14" s="1591"/>
      <c r="Y14" s="1121"/>
      <c r="Z14" s="284"/>
      <c r="AA14" s="284"/>
      <c r="AB14" s="284"/>
      <c r="AC14" s="284"/>
      <c r="AD14" s="635"/>
    </row>
    <row r="15" spans="1:37" ht="28.5" customHeight="1" thickBot="1">
      <c r="A15" s="890" t="s">
        <v>70</v>
      </c>
      <c r="B15" s="888">
        <f>C15+B14</f>
        <v>2923660347</v>
      </c>
      <c r="C15" s="888">
        <v>2424000000</v>
      </c>
      <c r="D15" s="888">
        <v>499660347</v>
      </c>
      <c r="E15" s="888"/>
      <c r="F15" s="313"/>
      <c r="G15" s="309"/>
      <c r="H15" s="2009"/>
      <c r="I15" s="1043"/>
      <c r="J15" s="1043"/>
      <c r="K15" s="482"/>
      <c r="L15" s="1277"/>
      <c r="M15" s="1263"/>
      <c r="N15" s="1280"/>
      <c r="O15" s="1268"/>
      <c r="P15" s="1280"/>
      <c r="Q15" s="48"/>
      <c r="R15" s="48"/>
      <c r="S15" s="1297"/>
      <c r="T15" s="1297"/>
      <c r="U15" s="1407"/>
      <c r="V15" s="277"/>
      <c r="W15" s="285"/>
      <c r="X15" s="277"/>
      <c r="Y15" s="277"/>
      <c r="Z15" s="285"/>
      <c r="AA15" s="285"/>
      <c r="AB15" s="285"/>
      <c r="AC15" s="285"/>
      <c r="AD15" s="636"/>
    </row>
    <row r="16" spans="1:37" ht="38.25">
      <c r="A16" s="49" t="s">
        <v>11</v>
      </c>
      <c r="B16" s="274" t="s">
        <v>12</v>
      </c>
      <c r="C16" s="50" t="s">
        <v>13</v>
      </c>
      <c r="D16" s="50" t="s">
        <v>14</v>
      </c>
      <c r="E16" s="50" t="s">
        <v>15</v>
      </c>
      <c r="F16" s="50" t="s">
        <v>436</v>
      </c>
      <c r="G16" s="50" t="s">
        <v>16</v>
      </c>
      <c r="H16" s="1969" t="s">
        <v>1379</v>
      </c>
      <c r="I16" s="106" t="s">
        <v>527</v>
      </c>
      <c r="J16" s="106" t="s">
        <v>95</v>
      </c>
      <c r="K16" s="278" t="s">
        <v>130</v>
      </c>
      <c r="L16" s="106" t="s">
        <v>96</v>
      </c>
      <c r="M16" s="278" t="s">
        <v>17</v>
      </c>
      <c r="N16" s="1288" t="s">
        <v>97</v>
      </c>
      <c r="O16" s="1273" t="s">
        <v>116</v>
      </c>
      <c r="P16" s="1288" t="s">
        <v>98</v>
      </c>
      <c r="Q16" s="264" t="s">
        <v>99</v>
      </c>
      <c r="R16" s="263" t="s">
        <v>100</v>
      </c>
      <c r="S16" s="263" t="s">
        <v>101</v>
      </c>
      <c r="T16" s="263" t="s">
        <v>102</v>
      </c>
      <c r="U16" s="263" t="s">
        <v>103</v>
      </c>
      <c r="V16" s="263" t="s">
        <v>104</v>
      </c>
      <c r="W16" s="263" t="s">
        <v>105</v>
      </c>
      <c r="X16" s="263" t="s">
        <v>106</v>
      </c>
      <c r="Y16" s="263" t="s">
        <v>107</v>
      </c>
      <c r="Z16" s="263" t="s">
        <v>108</v>
      </c>
      <c r="AA16" s="263" t="s">
        <v>109</v>
      </c>
      <c r="AB16" s="290" t="s">
        <v>110</v>
      </c>
      <c r="AC16" s="264" t="s">
        <v>111</v>
      </c>
      <c r="AD16" s="290" t="s">
        <v>112</v>
      </c>
      <c r="AF16" s="914" t="s">
        <v>138</v>
      </c>
      <c r="AG16" s="915" t="s">
        <v>114</v>
      </c>
      <c r="AH16" s="1131" t="s">
        <v>115</v>
      </c>
      <c r="AI16" s="1095" t="s">
        <v>119</v>
      </c>
      <c r="AJ16" s="917" t="s">
        <v>122</v>
      </c>
      <c r="AK16" s="918" t="s">
        <v>129</v>
      </c>
    </row>
    <row r="17" spans="1:39" s="6" customFormat="1" ht="51" customHeight="1">
      <c r="A17" s="637" t="s">
        <v>73</v>
      </c>
      <c r="B17" s="504">
        <f>1610400000+1050000-4750000-56780000-107596667-4911668</f>
        <v>1437411665</v>
      </c>
      <c r="C17" s="1306" t="s">
        <v>36</v>
      </c>
      <c r="D17" s="1420" t="s">
        <v>864</v>
      </c>
      <c r="E17" s="1306" t="s">
        <v>71</v>
      </c>
      <c r="F17" s="1306" t="s">
        <v>438</v>
      </c>
      <c r="G17" s="2023" t="s">
        <v>72</v>
      </c>
      <c r="H17" s="2024" t="s">
        <v>1387</v>
      </c>
      <c r="I17" s="1062"/>
      <c r="J17" s="519"/>
      <c r="K17" s="556"/>
      <c r="L17" s="1278"/>
      <c r="M17" s="1264"/>
      <c r="N17" s="1278"/>
      <c r="O17" s="1264"/>
      <c r="P17" s="1292"/>
      <c r="Q17" s="94"/>
      <c r="R17" s="94"/>
      <c r="S17" s="556"/>
      <c r="T17" s="556"/>
      <c r="U17" s="556"/>
      <c r="V17" s="556"/>
      <c r="W17" s="94"/>
      <c r="X17" s="556"/>
      <c r="Y17" s="556"/>
      <c r="Z17" s="94"/>
      <c r="AA17" s="94"/>
      <c r="AB17" s="638"/>
      <c r="AC17" s="94"/>
      <c r="AD17" s="638"/>
      <c r="AF17" s="1462"/>
      <c r="AG17" s="556"/>
      <c r="AH17" s="556"/>
      <c r="AI17" s="556"/>
      <c r="AJ17" s="556"/>
      <c r="AK17" s="1463"/>
      <c r="AL17" s="874"/>
      <c r="AM17" s="1414"/>
    </row>
    <row r="18" spans="1:39" s="865" customFormat="1">
      <c r="A18" s="885" t="s">
        <v>73</v>
      </c>
      <c r="B18" s="807">
        <f>M18</f>
        <v>48000000</v>
      </c>
      <c r="C18" s="94" t="s">
        <v>36</v>
      </c>
      <c r="D18" s="94" t="s">
        <v>864</v>
      </c>
      <c r="E18" s="94" t="s">
        <v>71</v>
      </c>
      <c r="F18" s="94" t="s">
        <v>438</v>
      </c>
      <c r="G18" s="2010" t="s">
        <v>72</v>
      </c>
      <c r="H18" s="1436" t="s">
        <v>1387</v>
      </c>
      <c r="I18" s="2019">
        <v>207</v>
      </c>
      <c r="J18" s="1071">
        <v>0</v>
      </c>
      <c r="K18" s="883"/>
      <c r="L18" s="1074">
        <v>251</v>
      </c>
      <c r="M18" s="806">
        <v>48000000</v>
      </c>
      <c r="N18" s="1074">
        <v>249</v>
      </c>
      <c r="O18" s="806">
        <v>48000000</v>
      </c>
      <c r="P18" s="1293">
        <v>216</v>
      </c>
      <c r="Q18" s="882"/>
      <c r="R18" s="882"/>
      <c r="S18" s="883">
        <v>3450000</v>
      </c>
      <c r="T18" s="883">
        <f>VLOOKUP(N18,[8]Hoja2!N$63:T$105,7,0)</f>
        <v>4500000</v>
      </c>
      <c r="U18" s="883">
        <v>4500000</v>
      </c>
      <c r="V18" s="883">
        <v>4500000</v>
      </c>
      <c r="W18" s="883">
        <v>4500000</v>
      </c>
      <c r="X18" s="883">
        <v>4500000</v>
      </c>
      <c r="Y18" s="883">
        <v>4500000</v>
      </c>
      <c r="Z18" s="882"/>
      <c r="AA18" s="882"/>
      <c r="AB18" s="884"/>
      <c r="AC18" s="240">
        <f t="shared" ref="AC18" si="0">SUM(Q18:AB18)</f>
        <v>30450000</v>
      </c>
      <c r="AD18" s="183">
        <f t="shared" ref="AD18" si="1">O18-AC18</f>
        <v>17550000</v>
      </c>
      <c r="AF18" s="920" t="s">
        <v>595</v>
      </c>
      <c r="AG18" s="854" t="s">
        <v>440</v>
      </c>
      <c r="AH18" s="1132" t="s">
        <v>756</v>
      </c>
      <c r="AI18" s="626">
        <f>P18</f>
        <v>216</v>
      </c>
      <c r="AJ18" s="154">
        <f>49500000-1500000</f>
        <v>48000000</v>
      </c>
      <c r="AK18" s="921">
        <f t="shared" ref="AK18:AK80" si="2">AJ18-O18</f>
        <v>0</v>
      </c>
      <c r="AL18" s="874"/>
      <c r="AM18" s="1606">
        <f>AJ18-M18</f>
        <v>0</v>
      </c>
    </row>
    <row r="19" spans="1:39" s="865" customFormat="1">
      <c r="A19" s="885" t="s">
        <v>73</v>
      </c>
      <c r="B19" s="807">
        <f t="shared" ref="B19:B80" si="3">M19</f>
        <v>37600000</v>
      </c>
      <c r="C19" s="94" t="s">
        <v>36</v>
      </c>
      <c r="D19" s="94" t="s">
        <v>864</v>
      </c>
      <c r="E19" s="94" t="s">
        <v>71</v>
      </c>
      <c r="F19" s="94" t="s">
        <v>438</v>
      </c>
      <c r="G19" s="2010" t="s">
        <v>72</v>
      </c>
      <c r="H19" s="1436" t="s">
        <v>1387</v>
      </c>
      <c r="I19" s="2019">
        <v>209</v>
      </c>
      <c r="J19" s="1071">
        <v>0</v>
      </c>
      <c r="K19" s="883"/>
      <c r="L19" s="1074">
        <v>50</v>
      </c>
      <c r="M19" s="806">
        <v>37600000</v>
      </c>
      <c r="N19" s="1074">
        <v>99</v>
      </c>
      <c r="O19" s="806">
        <v>37600000</v>
      </c>
      <c r="P19" s="1293">
        <v>34</v>
      </c>
      <c r="Q19" s="882"/>
      <c r="R19" s="1152">
        <v>2506667</v>
      </c>
      <c r="S19" s="883">
        <v>7520000</v>
      </c>
      <c r="T19" s="883">
        <f>VLOOKUP(N19,[8]Hoja2!N$63:T$105,7,0)</f>
        <v>7520000</v>
      </c>
      <c r="U19" s="883">
        <v>7520000</v>
      </c>
      <c r="V19" s="883">
        <v>7520000</v>
      </c>
      <c r="W19" s="883">
        <v>5013333</v>
      </c>
      <c r="X19" s="883"/>
      <c r="Y19" s="883"/>
      <c r="Z19" s="882"/>
      <c r="AA19" s="882"/>
      <c r="AB19" s="884"/>
      <c r="AC19" s="240">
        <f t="shared" ref="AC19:AC80" si="4">SUM(Q19:AB19)</f>
        <v>37600000</v>
      </c>
      <c r="AD19" s="183">
        <f t="shared" ref="AD19:AD80" si="5">O19-AC19</f>
        <v>0</v>
      </c>
      <c r="AF19" s="920">
        <v>209</v>
      </c>
      <c r="AG19" s="854" t="s">
        <v>441</v>
      </c>
      <c r="AH19" s="1132" t="str">
        <f>VLOOKUP(N19,[5]Hoja2!J$48:N$75,5,0)</f>
        <v>ANA MARIA FLOREZ FLOREZ</v>
      </c>
      <c r="AI19" s="626">
        <f t="shared" ref="AI19:AI80" si="6">P19</f>
        <v>34</v>
      </c>
      <c r="AJ19" s="154">
        <v>37600000</v>
      </c>
      <c r="AK19" s="921">
        <f t="shared" si="2"/>
        <v>0</v>
      </c>
      <c r="AL19" s="874"/>
      <c r="AM19" s="1606">
        <f t="shared" ref="AM19:AM80" si="7">AJ19-M19</f>
        <v>0</v>
      </c>
    </row>
    <row r="20" spans="1:39" s="865" customFormat="1">
      <c r="A20" s="885" t="s">
        <v>73</v>
      </c>
      <c r="B20" s="807">
        <f t="shared" si="3"/>
        <v>45333333</v>
      </c>
      <c r="C20" s="94" t="s">
        <v>36</v>
      </c>
      <c r="D20" s="94" t="s">
        <v>864</v>
      </c>
      <c r="E20" s="94" t="s">
        <v>71</v>
      </c>
      <c r="F20" s="94" t="s">
        <v>438</v>
      </c>
      <c r="G20" s="2010" t="s">
        <v>72</v>
      </c>
      <c r="H20" s="1436" t="s">
        <v>1387</v>
      </c>
      <c r="I20" s="2019">
        <v>210</v>
      </c>
      <c r="J20" s="1071">
        <v>0</v>
      </c>
      <c r="K20" s="883"/>
      <c r="L20" s="1074">
        <v>577</v>
      </c>
      <c r="M20" s="806">
        <v>45333333</v>
      </c>
      <c r="N20" s="1074">
        <v>670</v>
      </c>
      <c r="O20" s="806">
        <v>45333333</v>
      </c>
      <c r="P20" s="1293">
        <v>411</v>
      </c>
      <c r="Q20" s="882"/>
      <c r="R20" s="1152"/>
      <c r="S20" s="883"/>
      <c r="T20" s="883"/>
      <c r="U20" s="883"/>
      <c r="V20" s="883"/>
      <c r="W20" s="883"/>
      <c r="X20" s="883">
        <v>5600000</v>
      </c>
      <c r="Y20" s="883">
        <v>8000000</v>
      </c>
      <c r="Z20" s="882"/>
      <c r="AA20" s="882"/>
      <c r="AB20" s="884"/>
      <c r="AC20" s="240">
        <f t="shared" si="4"/>
        <v>13600000</v>
      </c>
      <c r="AD20" s="183">
        <f t="shared" si="5"/>
        <v>31733333</v>
      </c>
      <c r="AF20" s="920">
        <v>210</v>
      </c>
      <c r="AG20" s="854" t="s">
        <v>442</v>
      </c>
      <c r="AH20" s="1132" t="s">
        <v>1199</v>
      </c>
      <c r="AI20" s="626">
        <f t="shared" si="6"/>
        <v>411</v>
      </c>
      <c r="AJ20" s="154">
        <f>37600000+7520000+2880000-2666667</f>
        <v>45333333</v>
      </c>
      <c r="AK20" s="921">
        <f t="shared" si="2"/>
        <v>0</v>
      </c>
      <c r="AL20" s="874"/>
      <c r="AM20" s="1606">
        <f t="shared" si="7"/>
        <v>0</v>
      </c>
    </row>
    <row r="21" spans="1:39" s="865" customFormat="1">
      <c r="A21" s="885" t="s">
        <v>73</v>
      </c>
      <c r="B21" s="807">
        <f t="shared" si="3"/>
        <v>12360000</v>
      </c>
      <c r="C21" s="94" t="s">
        <v>36</v>
      </c>
      <c r="D21" s="94" t="s">
        <v>864</v>
      </c>
      <c r="E21" s="94" t="s">
        <v>71</v>
      </c>
      <c r="F21" s="94" t="s">
        <v>438</v>
      </c>
      <c r="G21" s="2010" t="s">
        <v>72</v>
      </c>
      <c r="H21" s="1436" t="s">
        <v>1387</v>
      </c>
      <c r="I21" s="2019">
        <v>211</v>
      </c>
      <c r="J21" s="1071">
        <v>0</v>
      </c>
      <c r="K21" s="883"/>
      <c r="L21" s="1074">
        <v>16</v>
      </c>
      <c r="M21" s="806">
        <v>12360000</v>
      </c>
      <c r="N21" s="1074">
        <v>39</v>
      </c>
      <c r="O21" s="806">
        <v>12360000</v>
      </c>
      <c r="P21" s="1293">
        <v>49</v>
      </c>
      <c r="Q21" s="882"/>
      <c r="R21" s="1152">
        <v>1373333</v>
      </c>
      <c r="S21" s="883">
        <v>4120000</v>
      </c>
      <c r="T21" s="883">
        <f>VLOOKUP(N21,[8]Hoja2!N$63:T$105,7,0)</f>
        <v>4120000</v>
      </c>
      <c r="U21" s="883">
        <v>2746667</v>
      </c>
      <c r="V21" s="883"/>
      <c r="W21" s="883"/>
      <c r="X21" s="883"/>
      <c r="Y21" s="883"/>
      <c r="Z21" s="882"/>
      <c r="AA21" s="882"/>
      <c r="AB21" s="884"/>
      <c r="AC21" s="240">
        <f t="shared" si="4"/>
        <v>12360000</v>
      </c>
      <c r="AD21" s="183">
        <f t="shared" si="5"/>
        <v>0</v>
      </c>
      <c r="AF21" s="920">
        <v>211</v>
      </c>
      <c r="AG21" s="854" t="s">
        <v>443</v>
      </c>
      <c r="AH21" s="1132" t="s">
        <v>951</v>
      </c>
      <c r="AI21" s="626">
        <f t="shared" si="6"/>
        <v>49</v>
      </c>
      <c r="AJ21" s="154">
        <v>12360000</v>
      </c>
      <c r="AK21" s="921">
        <f t="shared" si="2"/>
        <v>0</v>
      </c>
      <c r="AL21" s="874"/>
      <c r="AM21" s="1606">
        <f t="shared" si="7"/>
        <v>0</v>
      </c>
    </row>
    <row r="22" spans="1:39" s="865" customFormat="1">
      <c r="A22" s="885" t="s">
        <v>73</v>
      </c>
      <c r="B22" s="807">
        <f t="shared" si="3"/>
        <v>4120000</v>
      </c>
      <c r="C22" s="94" t="s">
        <v>36</v>
      </c>
      <c r="D22" s="94" t="s">
        <v>864</v>
      </c>
      <c r="E22" s="94" t="s">
        <v>71</v>
      </c>
      <c r="F22" s="94" t="s">
        <v>438</v>
      </c>
      <c r="G22" s="2010" t="s">
        <v>72</v>
      </c>
      <c r="H22" s="1436" t="s">
        <v>1387</v>
      </c>
      <c r="I22" s="2019">
        <v>211</v>
      </c>
      <c r="J22" s="1071"/>
      <c r="K22" s="883"/>
      <c r="L22" s="1074">
        <v>427</v>
      </c>
      <c r="M22" s="806">
        <v>4120000</v>
      </c>
      <c r="N22" s="1074">
        <v>430</v>
      </c>
      <c r="O22" s="806">
        <v>4120000</v>
      </c>
      <c r="P22" s="1293">
        <v>49</v>
      </c>
      <c r="Q22" s="882"/>
      <c r="R22" s="1152"/>
      <c r="S22" s="883"/>
      <c r="T22" s="883"/>
      <c r="U22" s="883">
        <v>1373333</v>
      </c>
      <c r="V22" s="883">
        <v>2746667</v>
      </c>
      <c r="W22" s="883"/>
      <c r="X22" s="883"/>
      <c r="Y22" s="883"/>
      <c r="Z22" s="882"/>
      <c r="AA22" s="882"/>
      <c r="AB22" s="884"/>
      <c r="AC22" s="240">
        <f t="shared" si="4"/>
        <v>4120000</v>
      </c>
      <c r="AD22" s="183">
        <f t="shared" si="5"/>
        <v>0</v>
      </c>
      <c r="AF22" s="920">
        <v>211</v>
      </c>
      <c r="AG22" s="854" t="s">
        <v>952</v>
      </c>
      <c r="AH22" s="1132" t="s">
        <v>951</v>
      </c>
      <c r="AI22" s="626">
        <f t="shared" si="6"/>
        <v>49</v>
      </c>
      <c r="AJ22" s="154">
        <v>4120000</v>
      </c>
      <c r="AK22" s="921">
        <f t="shared" si="2"/>
        <v>0</v>
      </c>
      <c r="AL22" s="874"/>
      <c r="AM22" s="1606">
        <f t="shared" si="7"/>
        <v>0</v>
      </c>
    </row>
    <row r="23" spans="1:39" s="865" customFormat="1">
      <c r="A23" s="885" t="s">
        <v>73</v>
      </c>
      <c r="B23" s="807">
        <f t="shared" si="3"/>
        <v>1922666</v>
      </c>
      <c r="C23" s="94" t="s">
        <v>36</v>
      </c>
      <c r="D23" s="94" t="s">
        <v>864</v>
      </c>
      <c r="E23" s="94" t="s">
        <v>71</v>
      </c>
      <c r="F23" s="94" t="s">
        <v>438</v>
      </c>
      <c r="G23" s="2010" t="s">
        <v>72</v>
      </c>
      <c r="H23" s="1436" t="s">
        <v>1387</v>
      </c>
      <c r="I23" s="2019">
        <v>211</v>
      </c>
      <c r="J23" s="1071"/>
      <c r="K23" s="883"/>
      <c r="L23" s="1074">
        <v>497</v>
      </c>
      <c r="M23" s="806">
        <f>2060000-137334</f>
        <v>1922666</v>
      </c>
      <c r="N23" s="1074">
        <v>516</v>
      </c>
      <c r="O23" s="806">
        <f>2060000-137334</f>
        <v>1922666</v>
      </c>
      <c r="P23" s="1293">
        <v>49</v>
      </c>
      <c r="Q23" s="882"/>
      <c r="R23" s="1152"/>
      <c r="S23" s="883"/>
      <c r="T23" s="883"/>
      <c r="U23" s="883"/>
      <c r="V23" s="883">
        <v>1373333</v>
      </c>
      <c r="W23" s="883">
        <v>549333</v>
      </c>
      <c r="X23" s="883"/>
      <c r="Y23" s="883"/>
      <c r="Z23" s="882"/>
      <c r="AA23" s="882"/>
      <c r="AB23" s="884"/>
      <c r="AC23" s="240">
        <f t="shared" si="4"/>
        <v>1922666</v>
      </c>
      <c r="AD23" s="183">
        <f t="shared" si="5"/>
        <v>0</v>
      </c>
      <c r="AF23" s="920">
        <v>211</v>
      </c>
      <c r="AG23" s="854" t="s">
        <v>994</v>
      </c>
      <c r="AH23" s="1132" t="s">
        <v>951</v>
      </c>
      <c r="AI23" s="626">
        <f t="shared" si="6"/>
        <v>49</v>
      </c>
      <c r="AJ23" s="154">
        <f>2060000-137334</f>
        <v>1922666</v>
      </c>
      <c r="AK23" s="921">
        <f t="shared" si="2"/>
        <v>0</v>
      </c>
      <c r="AL23" s="874"/>
      <c r="AM23" s="1606">
        <f t="shared" si="7"/>
        <v>0</v>
      </c>
    </row>
    <row r="24" spans="1:39" s="865" customFormat="1">
      <c r="A24" s="885" t="s">
        <v>73</v>
      </c>
      <c r="B24" s="807">
        <f t="shared" si="3"/>
        <v>0</v>
      </c>
      <c r="C24" s="94" t="s">
        <v>36</v>
      </c>
      <c r="D24" s="94" t="s">
        <v>864</v>
      </c>
      <c r="E24" s="94" t="s">
        <v>71</v>
      </c>
      <c r="F24" s="94" t="s">
        <v>438</v>
      </c>
      <c r="G24" s="2010" t="s">
        <v>72</v>
      </c>
      <c r="H24" s="1436" t="s">
        <v>1387</v>
      </c>
      <c r="I24" s="2019">
        <v>212</v>
      </c>
      <c r="J24" s="1071">
        <v>0</v>
      </c>
      <c r="K24" s="883"/>
      <c r="L24" s="1074">
        <v>304</v>
      </c>
      <c r="M24" s="806">
        <f>107100000-107100000</f>
        <v>0</v>
      </c>
      <c r="N24" s="1074"/>
      <c r="O24" s="806"/>
      <c r="P24" s="1293"/>
      <c r="Q24" s="882"/>
      <c r="R24" s="1152"/>
      <c r="S24" s="883"/>
      <c r="T24" s="883"/>
      <c r="U24" s="883"/>
      <c r="V24" s="883"/>
      <c r="W24" s="883"/>
      <c r="X24" s="883"/>
      <c r="Y24" s="883"/>
      <c r="Z24" s="882"/>
      <c r="AA24" s="882"/>
      <c r="AB24" s="884"/>
      <c r="AC24" s="240">
        <f t="shared" si="4"/>
        <v>0</v>
      </c>
      <c r="AD24" s="183">
        <f t="shared" si="5"/>
        <v>0</v>
      </c>
      <c r="AF24" s="920">
        <v>212</v>
      </c>
      <c r="AG24" s="854" t="s">
        <v>444</v>
      </c>
      <c r="AH24" s="1132">
        <v>0</v>
      </c>
      <c r="AI24" s="626">
        <f t="shared" si="6"/>
        <v>0</v>
      </c>
      <c r="AJ24" s="154">
        <f>112200000-5100000-107100000</f>
        <v>0</v>
      </c>
      <c r="AK24" s="921">
        <f t="shared" si="2"/>
        <v>0</v>
      </c>
      <c r="AL24" s="874"/>
      <c r="AM24" s="1606">
        <f t="shared" si="7"/>
        <v>0</v>
      </c>
    </row>
    <row r="25" spans="1:39" s="865" customFormat="1">
      <c r="A25" s="885" t="s">
        <v>73</v>
      </c>
      <c r="B25" s="807">
        <f t="shared" si="3"/>
        <v>64000000</v>
      </c>
      <c r="C25" s="94" t="s">
        <v>36</v>
      </c>
      <c r="D25" s="94" t="s">
        <v>864</v>
      </c>
      <c r="E25" s="94" t="s">
        <v>71</v>
      </c>
      <c r="F25" s="94" t="s">
        <v>438</v>
      </c>
      <c r="G25" s="2010" t="s">
        <v>72</v>
      </c>
      <c r="H25" s="1436" t="s">
        <v>1387</v>
      </c>
      <c r="I25" s="2019">
        <v>213</v>
      </c>
      <c r="J25" s="1071">
        <v>0</v>
      </c>
      <c r="K25" s="883"/>
      <c r="L25" s="1074">
        <v>363</v>
      </c>
      <c r="M25" s="806">
        <v>64000000</v>
      </c>
      <c r="N25" s="1074">
        <v>363</v>
      </c>
      <c r="O25" s="806">
        <v>64000000</v>
      </c>
      <c r="P25" s="1293">
        <v>289</v>
      </c>
      <c r="Q25" s="882"/>
      <c r="R25" s="1152"/>
      <c r="S25" s="883"/>
      <c r="T25" s="883">
        <f>4533333-4533333</f>
        <v>0</v>
      </c>
      <c r="U25" s="883">
        <f>4533333+8000000</f>
        <v>12533333</v>
      </c>
      <c r="V25" s="883">
        <v>8000000</v>
      </c>
      <c r="W25" s="883">
        <v>8000000</v>
      </c>
      <c r="X25" s="883">
        <v>8000000</v>
      </c>
      <c r="Y25" s="883">
        <v>8000000</v>
      </c>
      <c r="Z25" s="882"/>
      <c r="AA25" s="882"/>
      <c r="AB25" s="884"/>
      <c r="AC25" s="240">
        <f t="shared" si="4"/>
        <v>44533333</v>
      </c>
      <c r="AD25" s="183">
        <f t="shared" si="5"/>
        <v>19466667</v>
      </c>
      <c r="AF25" s="920">
        <v>213</v>
      </c>
      <c r="AG25" s="854" t="s">
        <v>460</v>
      </c>
      <c r="AH25" s="1132" t="s">
        <v>837</v>
      </c>
      <c r="AI25" s="626">
        <f t="shared" si="6"/>
        <v>289</v>
      </c>
      <c r="AJ25" s="154">
        <f>66000000+10000000-12000000</f>
        <v>64000000</v>
      </c>
      <c r="AK25" s="921">
        <f t="shared" si="2"/>
        <v>0</v>
      </c>
      <c r="AL25" s="874"/>
      <c r="AM25" s="1606">
        <f t="shared" si="7"/>
        <v>0</v>
      </c>
    </row>
    <row r="26" spans="1:39" s="865" customFormat="1">
      <c r="A26" s="885" t="s">
        <v>73</v>
      </c>
      <c r="B26" s="807">
        <f t="shared" si="3"/>
        <v>48000000</v>
      </c>
      <c r="C26" s="94" t="s">
        <v>36</v>
      </c>
      <c r="D26" s="94" t="s">
        <v>864</v>
      </c>
      <c r="E26" s="94" t="s">
        <v>71</v>
      </c>
      <c r="F26" s="94" t="s">
        <v>438</v>
      </c>
      <c r="G26" s="2010" t="s">
        <v>72</v>
      </c>
      <c r="H26" s="1436" t="s">
        <v>1387</v>
      </c>
      <c r="I26" s="2019">
        <v>214</v>
      </c>
      <c r="J26" s="1071">
        <v>0</v>
      </c>
      <c r="K26" s="883"/>
      <c r="L26" s="1074">
        <v>305</v>
      </c>
      <c r="M26" s="806">
        <v>48000000</v>
      </c>
      <c r="N26" s="1074">
        <v>320</v>
      </c>
      <c r="O26" s="806">
        <v>48000000</v>
      </c>
      <c r="P26" s="1293">
        <v>269</v>
      </c>
      <c r="Q26" s="882"/>
      <c r="R26" s="1152"/>
      <c r="S26" s="883"/>
      <c r="T26" s="883">
        <f>VLOOKUP(N26,[8]Hoja2!N$63:T$105,7,0)</f>
        <v>7000000</v>
      </c>
      <c r="U26" s="883">
        <v>4200000</v>
      </c>
      <c r="V26" s="883">
        <f>1800000+6000000</f>
        <v>7800000</v>
      </c>
      <c r="W26" s="883">
        <v>6000000</v>
      </c>
      <c r="X26" s="883">
        <v>6000000</v>
      </c>
      <c r="Y26" s="883">
        <v>6000000</v>
      </c>
      <c r="Z26" s="882"/>
      <c r="AA26" s="882"/>
      <c r="AB26" s="884"/>
      <c r="AC26" s="240">
        <f t="shared" si="4"/>
        <v>37000000</v>
      </c>
      <c r="AD26" s="183">
        <f t="shared" si="5"/>
        <v>11000000</v>
      </c>
      <c r="AF26" s="920">
        <v>214</v>
      </c>
      <c r="AG26" s="854" t="s">
        <v>445</v>
      </c>
      <c r="AH26" s="1132" t="s">
        <v>1041</v>
      </c>
      <c r="AI26" s="626">
        <f t="shared" si="6"/>
        <v>269</v>
      </c>
      <c r="AJ26" s="154">
        <f>47010000+990000</f>
        <v>48000000</v>
      </c>
      <c r="AK26" s="921">
        <f t="shared" si="2"/>
        <v>0</v>
      </c>
      <c r="AL26" s="874"/>
      <c r="AM26" s="1606">
        <f t="shared" si="7"/>
        <v>0</v>
      </c>
    </row>
    <row r="27" spans="1:39" s="865" customFormat="1">
      <c r="A27" s="885" t="s">
        <v>73</v>
      </c>
      <c r="B27" s="807">
        <f t="shared" si="3"/>
        <v>32000000</v>
      </c>
      <c r="C27" s="94" t="s">
        <v>36</v>
      </c>
      <c r="D27" s="94" t="s">
        <v>864</v>
      </c>
      <c r="E27" s="94" t="s">
        <v>71</v>
      </c>
      <c r="F27" s="94" t="s">
        <v>438</v>
      </c>
      <c r="G27" s="2010" t="s">
        <v>72</v>
      </c>
      <c r="H27" s="1436" t="s">
        <v>1387</v>
      </c>
      <c r="I27" s="2019">
        <v>215</v>
      </c>
      <c r="J27" s="1071">
        <v>0</v>
      </c>
      <c r="K27" s="883"/>
      <c r="L27" s="1074">
        <v>183</v>
      </c>
      <c r="M27" s="806">
        <v>32000000</v>
      </c>
      <c r="N27" s="1074">
        <v>188</v>
      </c>
      <c r="O27" s="806">
        <v>32000000</v>
      </c>
      <c r="P27" s="1293">
        <v>165</v>
      </c>
      <c r="Q27" s="882"/>
      <c r="R27" s="1152"/>
      <c r="S27" s="883">
        <v>4133333</v>
      </c>
      <c r="T27" s="883">
        <f>VLOOKUP(N27,[8]Hoja2!N$63:T$105,7,0)</f>
        <v>4000000</v>
      </c>
      <c r="U27" s="883">
        <v>4000000</v>
      </c>
      <c r="V27" s="883">
        <v>4000000</v>
      </c>
      <c r="W27" s="883">
        <v>4000000</v>
      </c>
      <c r="X27" s="883">
        <v>4000000</v>
      </c>
      <c r="Y27" s="883">
        <v>4000000</v>
      </c>
      <c r="Z27" s="882"/>
      <c r="AA27" s="882"/>
      <c r="AB27" s="884"/>
      <c r="AC27" s="240">
        <f t="shared" si="4"/>
        <v>28133333</v>
      </c>
      <c r="AD27" s="183">
        <f t="shared" si="5"/>
        <v>3866667</v>
      </c>
      <c r="AF27" s="920">
        <v>215</v>
      </c>
      <c r="AG27" s="854" t="s">
        <v>446</v>
      </c>
      <c r="AH27" s="1132" t="s">
        <v>1238</v>
      </c>
      <c r="AI27" s="626">
        <f t="shared" si="6"/>
        <v>165</v>
      </c>
      <c r="AJ27" s="154">
        <v>32000000</v>
      </c>
      <c r="AK27" s="921">
        <f t="shared" si="2"/>
        <v>0</v>
      </c>
      <c r="AL27" s="874"/>
      <c r="AM27" s="1606">
        <f t="shared" si="7"/>
        <v>0</v>
      </c>
    </row>
    <row r="28" spans="1:39" s="865" customFormat="1">
      <c r="A28" s="885" t="s">
        <v>73</v>
      </c>
      <c r="B28" s="807">
        <f t="shared" si="3"/>
        <v>0</v>
      </c>
      <c r="C28" s="94" t="s">
        <v>36</v>
      </c>
      <c r="D28" s="94" t="s">
        <v>864</v>
      </c>
      <c r="E28" s="94" t="s">
        <v>71</v>
      </c>
      <c r="F28" s="94" t="s">
        <v>438</v>
      </c>
      <c r="G28" s="2010" t="s">
        <v>72</v>
      </c>
      <c r="H28" s="1436" t="s">
        <v>1387</v>
      </c>
      <c r="I28" s="2019" t="s">
        <v>349</v>
      </c>
      <c r="J28" s="1071">
        <v>592</v>
      </c>
      <c r="K28" s="883">
        <v>12000000</v>
      </c>
      <c r="L28" s="1074">
        <v>693</v>
      </c>
      <c r="M28" s="806">
        <f>12000000-12000000</f>
        <v>0</v>
      </c>
      <c r="N28" s="1074"/>
      <c r="O28" s="806"/>
      <c r="P28" s="1293">
        <v>165</v>
      </c>
      <c r="Q28" s="882"/>
      <c r="R28" s="1152"/>
      <c r="S28" s="883"/>
      <c r="T28" s="883"/>
      <c r="U28" s="883"/>
      <c r="V28" s="883"/>
      <c r="W28" s="883"/>
      <c r="X28" s="883"/>
      <c r="Y28" s="883"/>
      <c r="Z28" s="882"/>
      <c r="AA28" s="882"/>
      <c r="AB28" s="884"/>
      <c r="AC28" s="240">
        <f t="shared" si="4"/>
        <v>0</v>
      </c>
      <c r="AD28" s="183">
        <f t="shared" si="5"/>
        <v>0</v>
      </c>
      <c r="AF28" s="920" t="s">
        <v>349</v>
      </c>
      <c r="AG28" s="854" t="s">
        <v>1278</v>
      </c>
      <c r="AH28" s="1132" t="s">
        <v>1238</v>
      </c>
      <c r="AI28" s="626">
        <f t="shared" si="6"/>
        <v>165</v>
      </c>
      <c r="AJ28" s="154">
        <v>12000000</v>
      </c>
      <c r="AK28" s="921">
        <f t="shared" si="2"/>
        <v>12000000</v>
      </c>
      <c r="AL28" s="874"/>
      <c r="AM28" s="1606">
        <f t="shared" si="7"/>
        <v>12000000</v>
      </c>
    </row>
    <row r="29" spans="1:39" s="865" customFormat="1">
      <c r="A29" s="885" t="s">
        <v>73</v>
      </c>
      <c r="B29" s="807">
        <f t="shared" si="3"/>
        <v>40640000</v>
      </c>
      <c r="C29" s="94" t="s">
        <v>36</v>
      </c>
      <c r="D29" s="94" t="s">
        <v>864</v>
      </c>
      <c r="E29" s="94" t="s">
        <v>71</v>
      </c>
      <c r="F29" s="94" t="s">
        <v>438</v>
      </c>
      <c r="G29" s="2010" t="s">
        <v>72</v>
      </c>
      <c r="H29" s="1436" t="s">
        <v>1387</v>
      </c>
      <c r="I29" s="2019">
        <v>216</v>
      </c>
      <c r="J29" s="1071">
        <v>0</v>
      </c>
      <c r="K29" s="883"/>
      <c r="L29" s="1074">
        <v>268</v>
      </c>
      <c r="M29" s="806">
        <v>40640000</v>
      </c>
      <c r="N29" s="1074">
        <v>314</v>
      </c>
      <c r="O29" s="806">
        <v>40640000</v>
      </c>
      <c r="P29" s="1293">
        <v>256</v>
      </c>
      <c r="Q29" s="882"/>
      <c r="R29" s="1152"/>
      <c r="S29" s="883">
        <v>1016000</v>
      </c>
      <c r="T29" s="883">
        <f>VLOOKUP(N29,[8]Hoja2!N$63:T$105,7,0)</f>
        <v>5080000</v>
      </c>
      <c r="U29" s="883">
        <v>5080000</v>
      </c>
      <c r="V29" s="883">
        <v>5080000</v>
      </c>
      <c r="W29" s="883">
        <v>5080000</v>
      </c>
      <c r="X29" s="883">
        <v>5080000</v>
      </c>
      <c r="Y29" s="883">
        <v>5080000</v>
      </c>
      <c r="Z29" s="882"/>
      <c r="AA29" s="882"/>
      <c r="AB29" s="884"/>
      <c r="AC29" s="240">
        <f t="shared" si="4"/>
        <v>31496000</v>
      </c>
      <c r="AD29" s="183">
        <f t="shared" si="5"/>
        <v>9144000</v>
      </c>
      <c r="AF29" s="920">
        <v>216</v>
      </c>
      <c r="AG29" s="854" t="s">
        <v>447</v>
      </c>
      <c r="AH29" s="1132" t="s">
        <v>819</v>
      </c>
      <c r="AI29" s="626">
        <f t="shared" si="6"/>
        <v>256</v>
      </c>
      <c r="AJ29" s="154">
        <v>40640000</v>
      </c>
      <c r="AK29" s="921">
        <f t="shared" si="2"/>
        <v>0</v>
      </c>
      <c r="AL29" s="874"/>
      <c r="AM29" s="1606">
        <f t="shared" si="7"/>
        <v>0</v>
      </c>
    </row>
    <row r="30" spans="1:39" s="865" customFormat="1">
      <c r="A30" s="885" t="s">
        <v>73</v>
      </c>
      <c r="B30" s="807">
        <f t="shared" si="3"/>
        <v>30480000</v>
      </c>
      <c r="C30" s="94" t="s">
        <v>36</v>
      </c>
      <c r="D30" s="94" t="s">
        <v>864</v>
      </c>
      <c r="E30" s="94" t="s">
        <v>71</v>
      </c>
      <c r="F30" s="94" t="s">
        <v>438</v>
      </c>
      <c r="G30" s="2010" t="s">
        <v>72</v>
      </c>
      <c r="H30" s="1436" t="s">
        <v>1387</v>
      </c>
      <c r="I30" s="2019">
        <v>217</v>
      </c>
      <c r="J30" s="1071">
        <v>0</v>
      </c>
      <c r="K30" s="883"/>
      <c r="L30" s="1074">
        <v>184</v>
      </c>
      <c r="M30" s="806">
        <v>30480000</v>
      </c>
      <c r="N30" s="1074">
        <v>247</v>
      </c>
      <c r="O30" s="806">
        <v>30480000</v>
      </c>
      <c r="P30" s="1293">
        <v>163</v>
      </c>
      <c r="Q30" s="882"/>
      <c r="R30" s="1152"/>
      <c r="S30" s="883">
        <v>4064000</v>
      </c>
      <c r="T30" s="883">
        <f>VLOOKUP(N30,[8]Hoja2!N$63:T$105,7,0)</f>
        <v>5080000</v>
      </c>
      <c r="U30" s="883">
        <v>5080000</v>
      </c>
      <c r="V30" s="883">
        <v>5080000</v>
      </c>
      <c r="W30" s="883">
        <v>5080000</v>
      </c>
      <c r="X30" s="883">
        <v>5080000</v>
      </c>
      <c r="Y30" s="883">
        <v>1016000</v>
      </c>
      <c r="Z30" s="882"/>
      <c r="AA30" s="882"/>
      <c r="AB30" s="884"/>
      <c r="AC30" s="240">
        <f t="shared" si="4"/>
        <v>30480000</v>
      </c>
      <c r="AD30" s="183">
        <f t="shared" si="5"/>
        <v>0</v>
      </c>
      <c r="AF30" s="920">
        <v>217</v>
      </c>
      <c r="AG30" s="854" t="s">
        <v>447</v>
      </c>
      <c r="AH30" s="1132" t="s">
        <v>750</v>
      </c>
      <c r="AI30" s="626">
        <f t="shared" si="6"/>
        <v>163</v>
      </c>
      <c r="AJ30" s="154">
        <v>30480000</v>
      </c>
      <c r="AK30" s="921">
        <f t="shared" si="2"/>
        <v>0</v>
      </c>
      <c r="AL30" s="874"/>
      <c r="AM30" s="1606">
        <f t="shared" si="7"/>
        <v>0</v>
      </c>
    </row>
    <row r="31" spans="1:39" s="865" customFormat="1">
      <c r="A31" s="885" t="s">
        <v>73</v>
      </c>
      <c r="B31" s="807">
        <f t="shared" si="3"/>
        <v>15240000</v>
      </c>
      <c r="C31" s="94" t="s">
        <v>36</v>
      </c>
      <c r="D31" s="94" t="s">
        <v>864</v>
      </c>
      <c r="E31" s="94" t="s">
        <v>71</v>
      </c>
      <c r="F31" s="94" t="s">
        <v>438</v>
      </c>
      <c r="G31" s="2010" t="s">
        <v>72</v>
      </c>
      <c r="H31" s="1436" t="s">
        <v>1387</v>
      </c>
      <c r="I31" s="2019">
        <v>580</v>
      </c>
      <c r="J31" s="806">
        <v>576</v>
      </c>
      <c r="K31" s="883">
        <v>15240000</v>
      </c>
      <c r="L31" s="1074">
        <v>664</v>
      </c>
      <c r="M31" s="806">
        <v>15240000</v>
      </c>
      <c r="N31" s="1074">
        <v>808</v>
      </c>
      <c r="O31" s="806">
        <v>15240000</v>
      </c>
      <c r="P31" s="1293">
        <v>163</v>
      </c>
      <c r="Q31" s="882"/>
      <c r="R31" s="1152"/>
      <c r="S31" s="883"/>
      <c r="T31" s="883"/>
      <c r="U31" s="883"/>
      <c r="V31" s="883"/>
      <c r="W31" s="883"/>
      <c r="X31" s="883"/>
      <c r="Y31" s="883"/>
      <c r="Z31" s="882"/>
      <c r="AA31" s="882"/>
      <c r="AB31" s="884"/>
      <c r="AC31" s="240">
        <f t="shared" ref="AC31" si="8">SUM(Q31:AB31)</f>
        <v>0</v>
      </c>
      <c r="AD31" s="183">
        <f t="shared" ref="AD31" si="9">O31-AC31</f>
        <v>15240000</v>
      </c>
      <c r="AF31" s="920">
        <v>580</v>
      </c>
      <c r="AG31" s="854" t="s">
        <v>1281</v>
      </c>
      <c r="AH31" s="1132" t="s">
        <v>750</v>
      </c>
      <c r="AI31" s="626">
        <f t="shared" si="6"/>
        <v>163</v>
      </c>
      <c r="AJ31" s="154">
        <v>15240000</v>
      </c>
      <c r="AK31" s="921">
        <f t="shared" si="2"/>
        <v>0</v>
      </c>
      <c r="AL31" s="874"/>
      <c r="AM31" s="1606">
        <f t="shared" si="7"/>
        <v>0</v>
      </c>
    </row>
    <row r="32" spans="1:39" s="865" customFormat="1">
      <c r="A32" s="885" t="s">
        <v>73</v>
      </c>
      <c r="B32" s="807">
        <f t="shared" si="3"/>
        <v>40640000</v>
      </c>
      <c r="C32" s="94" t="s">
        <v>36</v>
      </c>
      <c r="D32" s="94" t="s">
        <v>864</v>
      </c>
      <c r="E32" s="94" t="s">
        <v>71</v>
      </c>
      <c r="F32" s="94" t="s">
        <v>438</v>
      </c>
      <c r="G32" s="2010" t="s">
        <v>72</v>
      </c>
      <c r="H32" s="1436" t="s">
        <v>1387</v>
      </c>
      <c r="I32" s="2019">
        <v>218</v>
      </c>
      <c r="J32" s="1071">
        <v>0</v>
      </c>
      <c r="K32" s="883"/>
      <c r="L32" s="1074">
        <v>185</v>
      </c>
      <c r="M32" s="806">
        <v>40640000</v>
      </c>
      <c r="N32" s="1074">
        <v>264</v>
      </c>
      <c r="O32" s="806">
        <v>40640000</v>
      </c>
      <c r="P32" s="1293">
        <v>162</v>
      </c>
      <c r="Q32" s="882"/>
      <c r="R32" s="1152"/>
      <c r="S32" s="883">
        <v>3894667</v>
      </c>
      <c r="T32" s="883">
        <f>VLOOKUP(N32,[8]Hoja2!N$63:T$105,7,0)</f>
        <v>5080000</v>
      </c>
      <c r="U32" s="883">
        <v>5080000</v>
      </c>
      <c r="V32" s="883">
        <v>5080000</v>
      </c>
      <c r="W32" s="883">
        <v>5080000</v>
      </c>
      <c r="X32" s="883">
        <v>5080000</v>
      </c>
      <c r="Y32" s="883">
        <v>5080000</v>
      </c>
      <c r="Z32" s="882"/>
      <c r="AA32" s="882"/>
      <c r="AB32" s="884"/>
      <c r="AC32" s="240">
        <f t="shared" si="4"/>
        <v>34374667</v>
      </c>
      <c r="AD32" s="183">
        <f t="shared" si="5"/>
        <v>6265333</v>
      </c>
      <c r="AF32" s="920">
        <v>218</v>
      </c>
      <c r="AG32" s="854" t="s">
        <v>448</v>
      </c>
      <c r="AH32" s="1132" t="s">
        <v>751</v>
      </c>
      <c r="AI32" s="626">
        <f t="shared" si="6"/>
        <v>162</v>
      </c>
      <c r="AJ32" s="154">
        <v>40640000</v>
      </c>
      <c r="AK32" s="921">
        <f t="shared" si="2"/>
        <v>0</v>
      </c>
      <c r="AL32" s="874"/>
      <c r="AM32" s="1606">
        <f t="shared" si="7"/>
        <v>0</v>
      </c>
    </row>
    <row r="33" spans="1:39" s="865" customFormat="1">
      <c r="A33" s="885" t="s">
        <v>73</v>
      </c>
      <c r="B33" s="807">
        <f t="shared" si="3"/>
        <v>20000000</v>
      </c>
      <c r="C33" s="94" t="s">
        <v>36</v>
      </c>
      <c r="D33" s="94" t="s">
        <v>864</v>
      </c>
      <c r="E33" s="94" t="s">
        <v>71</v>
      </c>
      <c r="F33" s="94" t="s">
        <v>438</v>
      </c>
      <c r="G33" s="2010" t="s">
        <v>72</v>
      </c>
      <c r="H33" s="1436" t="s">
        <v>1387</v>
      </c>
      <c r="I33" s="2019">
        <v>219</v>
      </c>
      <c r="J33" s="1071">
        <v>0</v>
      </c>
      <c r="K33" s="883"/>
      <c r="L33" s="1074">
        <v>186</v>
      </c>
      <c r="M33" s="806">
        <v>20000000</v>
      </c>
      <c r="N33" s="1074">
        <v>260</v>
      </c>
      <c r="O33" s="806">
        <v>20000000</v>
      </c>
      <c r="P33" s="1293">
        <v>173</v>
      </c>
      <c r="Q33" s="882"/>
      <c r="R33" s="1152"/>
      <c r="S33" s="883">
        <v>1833333</v>
      </c>
      <c r="T33" s="883">
        <f>VLOOKUP(N33,[8]Hoja2!N$63:T$105,7,0)</f>
        <v>2500000</v>
      </c>
      <c r="U33" s="883">
        <v>2500000</v>
      </c>
      <c r="V33" s="883">
        <v>2500000</v>
      </c>
      <c r="W33" s="883">
        <v>2500000</v>
      </c>
      <c r="X33" s="883">
        <v>2500000</v>
      </c>
      <c r="Y33" s="883">
        <v>2500000</v>
      </c>
      <c r="Z33" s="882"/>
      <c r="AA33" s="882"/>
      <c r="AB33" s="884"/>
      <c r="AC33" s="240">
        <f t="shared" si="4"/>
        <v>16833333</v>
      </c>
      <c r="AD33" s="183">
        <f t="shared" si="5"/>
        <v>3166667</v>
      </c>
      <c r="AF33" s="920">
        <v>219</v>
      </c>
      <c r="AG33" s="854" t="s">
        <v>449</v>
      </c>
      <c r="AH33" s="1132" t="s">
        <v>752</v>
      </c>
      <c r="AI33" s="626">
        <f t="shared" si="6"/>
        <v>173</v>
      </c>
      <c r="AJ33" s="154">
        <v>20000000</v>
      </c>
      <c r="AK33" s="921">
        <f t="shared" si="2"/>
        <v>0</v>
      </c>
      <c r="AL33" s="874"/>
      <c r="AM33" s="1606">
        <f t="shared" si="7"/>
        <v>0</v>
      </c>
    </row>
    <row r="34" spans="1:39" s="865" customFormat="1">
      <c r="A34" s="885" t="s">
        <v>73</v>
      </c>
      <c r="B34" s="807">
        <f t="shared" si="3"/>
        <v>0</v>
      </c>
      <c r="C34" s="94" t="s">
        <v>36</v>
      </c>
      <c r="D34" s="94" t="s">
        <v>864</v>
      </c>
      <c r="E34" s="94" t="s">
        <v>71</v>
      </c>
      <c r="F34" s="94" t="s">
        <v>438</v>
      </c>
      <c r="G34" s="2010" t="s">
        <v>72</v>
      </c>
      <c r="H34" s="1436" t="s">
        <v>1387</v>
      </c>
      <c r="I34" s="2019">
        <v>220</v>
      </c>
      <c r="J34" s="1071">
        <v>0</v>
      </c>
      <c r="K34" s="883"/>
      <c r="L34" s="1074"/>
      <c r="M34" s="806"/>
      <c r="N34" s="1074"/>
      <c r="O34" s="806"/>
      <c r="P34" s="1293"/>
      <c r="Q34" s="882"/>
      <c r="R34" s="1152"/>
      <c r="S34" s="883"/>
      <c r="T34" s="883"/>
      <c r="U34" s="883"/>
      <c r="V34" s="883"/>
      <c r="W34" s="883"/>
      <c r="X34" s="883"/>
      <c r="Y34" s="883"/>
      <c r="Z34" s="882"/>
      <c r="AA34" s="882"/>
      <c r="AB34" s="884"/>
      <c r="AC34" s="240">
        <f t="shared" si="4"/>
        <v>0</v>
      </c>
      <c r="AD34" s="183">
        <f t="shared" si="5"/>
        <v>0</v>
      </c>
      <c r="AF34" s="920">
        <v>220</v>
      </c>
      <c r="AG34" s="854" t="s">
        <v>450</v>
      </c>
      <c r="AH34" s="1132" t="s">
        <v>178</v>
      </c>
      <c r="AI34" s="626">
        <f t="shared" si="6"/>
        <v>0</v>
      </c>
      <c r="AJ34" s="154">
        <f>66000000-3000000-63000000</f>
        <v>0</v>
      </c>
      <c r="AK34" s="921">
        <f t="shared" si="2"/>
        <v>0</v>
      </c>
      <c r="AL34" s="874"/>
      <c r="AM34" s="1606">
        <f t="shared" si="7"/>
        <v>0</v>
      </c>
    </row>
    <row r="35" spans="1:39" s="865" customFormat="1">
      <c r="A35" s="885" t="s">
        <v>73</v>
      </c>
      <c r="B35" s="807">
        <f t="shared" si="3"/>
        <v>44640000</v>
      </c>
      <c r="C35" s="94" t="s">
        <v>36</v>
      </c>
      <c r="D35" s="94" t="s">
        <v>864</v>
      </c>
      <c r="E35" s="94" t="s">
        <v>71</v>
      </c>
      <c r="F35" s="94" t="s">
        <v>438</v>
      </c>
      <c r="G35" s="2010" t="s">
        <v>72</v>
      </c>
      <c r="H35" s="1436" t="s">
        <v>1387</v>
      </c>
      <c r="I35" s="2019">
        <v>221</v>
      </c>
      <c r="J35" s="1071">
        <v>0</v>
      </c>
      <c r="K35" s="883"/>
      <c r="L35" s="1074">
        <v>407</v>
      </c>
      <c r="M35" s="806">
        <f>48600000-3960000</f>
        <v>44640000</v>
      </c>
      <c r="N35" s="1074">
        <v>438</v>
      </c>
      <c r="O35" s="806">
        <f>48600000-3960000</f>
        <v>44640000</v>
      </c>
      <c r="P35" s="1293">
        <v>315</v>
      </c>
      <c r="Q35" s="882"/>
      <c r="R35" s="1152"/>
      <c r="S35" s="883"/>
      <c r="T35" s="883"/>
      <c r="U35" s="883">
        <v>1440000</v>
      </c>
      <c r="V35" s="883">
        <v>5400000</v>
      </c>
      <c r="W35" s="883">
        <v>5400000</v>
      </c>
      <c r="X35" s="883">
        <v>5400000</v>
      </c>
      <c r="Y35" s="883">
        <v>5400000</v>
      </c>
      <c r="Z35" s="882"/>
      <c r="AA35" s="882"/>
      <c r="AB35" s="884"/>
      <c r="AC35" s="240">
        <f t="shared" si="4"/>
        <v>23040000</v>
      </c>
      <c r="AD35" s="183">
        <f t="shared" si="5"/>
        <v>21600000</v>
      </c>
      <c r="AF35" s="920">
        <v>221</v>
      </c>
      <c r="AG35" s="854" t="s">
        <v>451</v>
      </c>
      <c r="AH35" s="1132" t="s">
        <v>960</v>
      </c>
      <c r="AI35" s="626">
        <f t="shared" si="6"/>
        <v>315</v>
      </c>
      <c r="AJ35" s="154">
        <f>46800000+5200000+200000-3600000-3960000</f>
        <v>44640000</v>
      </c>
      <c r="AK35" s="921">
        <f t="shared" si="2"/>
        <v>0</v>
      </c>
      <c r="AL35" s="874"/>
      <c r="AM35" s="1606">
        <f t="shared" si="7"/>
        <v>0</v>
      </c>
    </row>
    <row r="36" spans="1:39" s="865" customFormat="1">
      <c r="A36" s="885" t="s">
        <v>73</v>
      </c>
      <c r="B36" s="807">
        <f t="shared" si="3"/>
        <v>11100000</v>
      </c>
      <c r="C36" s="94" t="s">
        <v>36</v>
      </c>
      <c r="D36" s="94" t="s">
        <v>864</v>
      </c>
      <c r="E36" s="94" t="s">
        <v>71</v>
      </c>
      <c r="F36" s="94" t="s">
        <v>438</v>
      </c>
      <c r="G36" s="2010" t="s">
        <v>72</v>
      </c>
      <c r="H36" s="1436" t="s">
        <v>1387</v>
      </c>
      <c r="I36" s="2019">
        <v>224</v>
      </c>
      <c r="J36" s="1071">
        <v>0</v>
      </c>
      <c r="K36" s="883"/>
      <c r="L36" s="1074">
        <v>12</v>
      </c>
      <c r="M36" s="806">
        <v>11100000</v>
      </c>
      <c r="N36" s="1074">
        <v>141</v>
      </c>
      <c r="O36" s="806">
        <v>11100000</v>
      </c>
      <c r="P36" s="1293">
        <v>55</v>
      </c>
      <c r="Q36" s="882"/>
      <c r="R36" s="1152">
        <v>986667</v>
      </c>
      <c r="S36" s="883">
        <v>3700000</v>
      </c>
      <c r="T36" s="883">
        <f>VLOOKUP(N36,[8]Hoja2!N$63:T$105,7,0)</f>
        <v>3700000</v>
      </c>
      <c r="U36" s="883">
        <v>2713333</v>
      </c>
      <c r="V36" s="883"/>
      <c r="W36" s="883"/>
      <c r="X36" s="883"/>
      <c r="Y36" s="883"/>
      <c r="Z36" s="882"/>
      <c r="AA36" s="882"/>
      <c r="AB36" s="884"/>
      <c r="AC36" s="240">
        <f t="shared" si="4"/>
        <v>11100000</v>
      </c>
      <c r="AD36" s="183">
        <f t="shared" si="5"/>
        <v>0</v>
      </c>
      <c r="AF36" s="920">
        <v>224</v>
      </c>
      <c r="AG36" s="854" t="s">
        <v>452</v>
      </c>
      <c r="AH36" s="1132" t="s">
        <v>957</v>
      </c>
      <c r="AI36" s="626">
        <f t="shared" si="6"/>
        <v>55</v>
      </c>
      <c r="AJ36" s="154">
        <v>11100000</v>
      </c>
      <c r="AK36" s="921">
        <f t="shared" si="2"/>
        <v>0</v>
      </c>
      <c r="AL36" s="874"/>
      <c r="AM36" s="1606">
        <f t="shared" si="7"/>
        <v>0</v>
      </c>
    </row>
    <row r="37" spans="1:39" s="865" customFormat="1">
      <c r="A37" s="885" t="s">
        <v>73</v>
      </c>
      <c r="B37" s="807">
        <f t="shared" si="3"/>
        <v>3700000</v>
      </c>
      <c r="C37" s="94" t="s">
        <v>36</v>
      </c>
      <c r="D37" s="94" t="s">
        <v>864</v>
      </c>
      <c r="E37" s="94" t="s">
        <v>71</v>
      </c>
      <c r="F37" s="94" t="s">
        <v>438</v>
      </c>
      <c r="G37" s="2010" t="s">
        <v>72</v>
      </c>
      <c r="H37" s="1436" t="s">
        <v>1387</v>
      </c>
      <c r="I37" s="2019">
        <v>224</v>
      </c>
      <c r="J37" s="1071"/>
      <c r="K37" s="883"/>
      <c r="L37" s="1074">
        <v>425</v>
      </c>
      <c r="M37" s="806">
        <v>3700000</v>
      </c>
      <c r="N37" s="1074">
        <v>432</v>
      </c>
      <c r="O37" s="806">
        <v>3700000</v>
      </c>
      <c r="P37" s="1293">
        <v>55</v>
      </c>
      <c r="Q37" s="882"/>
      <c r="R37" s="1152"/>
      <c r="S37" s="883"/>
      <c r="T37" s="883"/>
      <c r="U37" s="883">
        <v>986667</v>
      </c>
      <c r="V37" s="883">
        <v>2713333</v>
      </c>
      <c r="W37" s="883"/>
      <c r="X37" s="883"/>
      <c r="Y37" s="883"/>
      <c r="Z37" s="882"/>
      <c r="AA37" s="882"/>
      <c r="AB37" s="884"/>
      <c r="AC37" s="240">
        <f t="shared" si="4"/>
        <v>3700000</v>
      </c>
      <c r="AD37" s="183">
        <f t="shared" si="5"/>
        <v>0</v>
      </c>
      <c r="AF37" s="920">
        <v>224</v>
      </c>
      <c r="AG37" s="854" t="s">
        <v>947</v>
      </c>
      <c r="AH37" s="1132" t="s">
        <v>957</v>
      </c>
      <c r="AI37" s="626">
        <f t="shared" si="6"/>
        <v>55</v>
      </c>
      <c r="AJ37" s="154">
        <v>3700000</v>
      </c>
      <c r="AK37" s="921">
        <f t="shared" si="2"/>
        <v>0</v>
      </c>
      <c r="AL37" s="874"/>
      <c r="AM37" s="1606">
        <f t="shared" si="7"/>
        <v>0</v>
      </c>
    </row>
    <row r="38" spans="1:39" s="865" customFormat="1">
      <c r="A38" s="885" t="s">
        <v>73</v>
      </c>
      <c r="B38" s="807">
        <f t="shared" si="3"/>
        <v>1726667</v>
      </c>
      <c r="C38" s="94" t="s">
        <v>36</v>
      </c>
      <c r="D38" s="94" t="s">
        <v>864</v>
      </c>
      <c r="E38" s="94" t="s">
        <v>71</v>
      </c>
      <c r="F38" s="94" t="s">
        <v>438</v>
      </c>
      <c r="G38" s="2010" t="s">
        <v>72</v>
      </c>
      <c r="H38" s="1436" t="s">
        <v>1387</v>
      </c>
      <c r="I38" s="2019">
        <v>224</v>
      </c>
      <c r="J38" s="1071"/>
      <c r="K38" s="883"/>
      <c r="L38" s="1074">
        <v>496</v>
      </c>
      <c r="M38" s="806">
        <f>1850000-123333</f>
        <v>1726667</v>
      </c>
      <c r="N38" s="1074">
        <v>521</v>
      </c>
      <c r="O38" s="806">
        <f>1850000-123333</f>
        <v>1726667</v>
      </c>
      <c r="P38" s="1293">
        <v>55</v>
      </c>
      <c r="Q38" s="882"/>
      <c r="R38" s="1152"/>
      <c r="S38" s="883"/>
      <c r="T38" s="883"/>
      <c r="U38" s="883"/>
      <c r="V38" s="883">
        <v>986667</v>
      </c>
      <c r="W38" s="883">
        <v>740000</v>
      </c>
      <c r="X38" s="883"/>
      <c r="Y38" s="883"/>
      <c r="Z38" s="882"/>
      <c r="AA38" s="882"/>
      <c r="AB38" s="884"/>
      <c r="AC38" s="240">
        <f t="shared" si="4"/>
        <v>1726667</v>
      </c>
      <c r="AD38" s="183">
        <f t="shared" si="5"/>
        <v>0</v>
      </c>
      <c r="AF38" s="920">
        <v>224</v>
      </c>
      <c r="AG38" s="854" t="s">
        <v>992</v>
      </c>
      <c r="AH38" s="1132" t="s">
        <v>957</v>
      </c>
      <c r="AI38" s="626">
        <f t="shared" si="6"/>
        <v>55</v>
      </c>
      <c r="AJ38" s="154">
        <f>1850000-123333</f>
        <v>1726667</v>
      </c>
      <c r="AK38" s="921">
        <f t="shared" si="2"/>
        <v>0</v>
      </c>
      <c r="AL38" s="874"/>
      <c r="AM38" s="1606">
        <f t="shared" si="7"/>
        <v>0</v>
      </c>
    </row>
    <row r="39" spans="1:39" s="865" customFormat="1">
      <c r="A39" s="885" t="s">
        <v>73</v>
      </c>
      <c r="B39" s="807">
        <f t="shared" si="3"/>
        <v>38780000</v>
      </c>
      <c r="C39" s="94" t="s">
        <v>36</v>
      </c>
      <c r="D39" s="94" t="s">
        <v>864</v>
      </c>
      <c r="E39" s="94" t="s">
        <v>71</v>
      </c>
      <c r="F39" s="94" t="s">
        <v>438</v>
      </c>
      <c r="G39" s="2010" t="s">
        <v>72</v>
      </c>
      <c r="H39" s="1436" t="s">
        <v>1387</v>
      </c>
      <c r="I39" s="2019">
        <v>225</v>
      </c>
      <c r="J39" s="1071">
        <v>0</v>
      </c>
      <c r="K39" s="883"/>
      <c r="L39" s="1074">
        <v>30</v>
      </c>
      <c r="M39" s="806">
        <f>60940000-22160000</f>
        <v>38780000</v>
      </c>
      <c r="N39" s="1074">
        <v>100</v>
      </c>
      <c r="O39" s="806">
        <f>60940000-22160000</f>
        <v>38780000</v>
      </c>
      <c r="P39" s="1293">
        <v>36</v>
      </c>
      <c r="Q39" s="882"/>
      <c r="R39" s="1152">
        <v>1477333</v>
      </c>
      <c r="S39" s="883">
        <v>5540000</v>
      </c>
      <c r="T39" s="883">
        <f>VLOOKUP(N39,[8]Hoja2!N$63:T$105,7,0)</f>
        <v>5540000</v>
      </c>
      <c r="U39" s="883">
        <v>5540000</v>
      </c>
      <c r="V39" s="883">
        <v>5540000</v>
      </c>
      <c r="W39" s="883">
        <v>5540000</v>
      </c>
      <c r="X39" s="883">
        <v>5540000</v>
      </c>
      <c r="Y39" s="883">
        <v>4062667</v>
      </c>
      <c r="Z39" s="882"/>
      <c r="AA39" s="882"/>
      <c r="AB39" s="884"/>
      <c r="AC39" s="240">
        <f t="shared" si="4"/>
        <v>38780000</v>
      </c>
      <c r="AD39" s="183">
        <f t="shared" si="5"/>
        <v>0</v>
      </c>
      <c r="AF39" s="920">
        <v>225</v>
      </c>
      <c r="AG39" s="854" t="s">
        <v>453</v>
      </c>
      <c r="AH39" s="1132" t="str">
        <f>VLOOKUP(N39,[5]Hoja2!J$48:N$75,5,0)</f>
        <v>CARLOS ERNESTO LINCE RODRIGUEZ</v>
      </c>
      <c r="AI39" s="626">
        <f t="shared" si="6"/>
        <v>36</v>
      </c>
      <c r="AJ39" s="154">
        <f>60940000-22160000</f>
        <v>38780000</v>
      </c>
      <c r="AK39" s="921">
        <f t="shared" si="2"/>
        <v>0</v>
      </c>
      <c r="AL39" s="874"/>
      <c r="AM39" s="1606">
        <f t="shared" si="7"/>
        <v>0</v>
      </c>
    </row>
    <row r="40" spans="1:39" s="865" customFormat="1">
      <c r="A40" s="885" t="s">
        <v>73</v>
      </c>
      <c r="B40" s="807">
        <f t="shared" si="3"/>
        <v>22000000</v>
      </c>
      <c r="C40" s="94" t="s">
        <v>36</v>
      </c>
      <c r="D40" s="94" t="s">
        <v>864</v>
      </c>
      <c r="E40" s="94" t="s">
        <v>71</v>
      </c>
      <c r="F40" s="94" t="s">
        <v>438</v>
      </c>
      <c r="G40" s="2010" t="s">
        <v>72</v>
      </c>
      <c r="H40" s="1436" t="s">
        <v>1387</v>
      </c>
      <c r="I40" s="2019">
        <v>227</v>
      </c>
      <c r="J40" s="1071">
        <v>0</v>
      </c>
      <c r="K40" s="883"/>
      <c r="L40" s="1074">
        <v>5</v>
      </c>
      <c r="M40" s="806">
        <v>22000000</v>
      </c>
      <c r="N40" s="1074">
        <v>52</v>
      </c>
      <c r="O40" s="806">
        <v>22000000</v>
      </c>
      <c r="P40" s="1293">
        <v>44</v>
      </c>
      <c r="Q40" s="882"/>
      <c r="R40" s="1152">
        <v>2383333</v>
      </c>
      <c r="S40" s="883">
        <v>5500000</v>
      </c>
      <c r="T40" s="883">
        <f>VLOOKUP(N40,[8]Hoja2!N$63:T$105,7,0)</f>
        <v>5500000</v>
      </c>
      <c r="U40" s="883">
        <v>5500000</v>
      </c>
      <c r="V40" s="883">
        <v>3116667</v>
      </c>
      <c r="W40" s="883"/>
      <c r="X40" s="883"/>
      <c r="Y40" s="883"/>
      <c r="Z40" s="882"/>
      <c r="AA40" s="882"/>
      <c r="AB40" s="884"/>
      <c r="AC40" s="240">
        <f t="shared" si="4"/>
        <v>22000000</v>
      </c>
      <c r="AD40" s="183">
        <f t="shared" si="5"/>
        <v>0</v>
      </c>
      <c r="AF40" s="920">
        <v>227</v>
      </c>
      <c r="AG40" s="854" t="s">
        <v>454</v>
      </c>
      <c r="AH40" s="1132" t="s">
        <v>1043</v>
      </c>
      <c r="AI40" s="626">
        <f t="shared" si="6"/>
        <v>44</v>
      </c>
      <c r="AJ40" s="154">
        <v>22000000</v>
      </c>
      <c r="AK40" s="921">
        <f t="shared" si="2"/>
        <v>0</v>
      </c>
      <c r="AL40" s="874"/>
      <c r="AM40" s="1606">
        <f t="shared" si="7"/>
        <v>0</v>
      </c>
    </row>
    <row r="41" spans="1:39" s="865" customFormat="1">
      <c r="A41" s="885" t="s">
        <v>73</v>
      </c>
      <c r="B41" s="807">
        <f t="shared" si="3"/>
        <v>2750000</v>
      </c>
      <c r="C41" s="94" t="s">
        <v>36</v>
      </c>
      <c r="D41" s="94" t="s">
        <v>864</v>
      </c>
      <c r="E41" s="94" t="s">
        <v>71</v>
      </c>
      <c r="F41" s="94" t="s">
        <v>438</v>
      </c>
      <c r="G41" s="2010" t="s">
        <v>72</v>
      </c>
      <c r="H41" s="1436" t="s">
        <v>1387</v>
      </c>
      <c r="I41" s="2019">
        <v>227</v>
      </c>
      <c r="J41" s="1071"/>
      <c r="K41" s="883"/>
      <c r="L41" s="1074">
        <v>477</v>
      </c>
      <c r="M41" s="806">
        <v>2750000</v>
      </c>
      <c r="N41" s="1074">
        <v>510</v>
      </c>
      <c r="O41" s="806">
        <v>2750000</v>
      </c>
      <c r="P41" s="1293">
        <v>44</v>
      </c>
      <c r="Q41" s="882"/>
      <c r="R41" s="1152"/>
      <c r="S41" s="883"/>
      <c r="T41" s="883"/>
      <c r="U41" s="883"/>
      <c r="V41" s="883">
        <v>2383333</v>
      </c>
      <c r="W41" s="883">
        <v>366667</v>
      </c>
      <c r="X41" s="883"/>
      <c r="Y41" s="883"/>
      <c r="Z41" s="882"/>
      <c r="AA41" s="882"/>
      <c r="AB41" s="884"/>
      <c r="AC41" s="240">
        <f t="shared" si="4"/>
        <v>2750000</v>
      </c>
      <c r="AD41" s="183">
        <f t="shared" si="5"/>
        <v>0</v>
      </c>
      <c r="AF41" s="920">
        <v>227</v>
      </c>
      <c r="AG41" s="854" t="s">
        <v>995</v>
      </c>
      <c r="AH41" s="1132" t="s">
        <v>1043</v>
      </c>
      <c r="AI41" s="626">
        <f t="shared" si="6"/>
        <v>44</v>
      </c>
      <c r="AJ41" s="154">
        <v>2750000</v>
      </c>
      <c r="AK41" s="921">
        <f t="shared" si="2"/>
        <v>0</v>
      </c>
      <c r="AL41" s="874"/>
      <c r="AM41" s="1606">
        <f t="shared" si="7"/>
        <v>0</v>
      </c>
    </row>
    <row r="42" spans="1:39" s="865" customFormat="1">
      <c r="A42" s="885" t="s">
        <v>73</v>
      </c>
      <c r="B42" s="807">
        <f t="shared" si="3"/>
        <v>0</v>
      </c>
      <c r="C42" s="94" t="s">
        <v>36</v>
      </c>
      <c r="D42" s="94" t="s">
        <v>864</v>
      </c>
      <c r="E42" s="94" t="s">
        <v>71</v>
      </c>
      <c r="F42" s="94" t="s">
        <v>438</v>
      </c>
      <c r="G42" s="2010" t="s">
        <v>72</v>
      </c>
      <c r="H42" s="1436" t="s">
        <v>1387</v>
      </c>
      <c r="I42" s="2019">
        <v>228</v>
      </c>
      <c r="J42" s="1071">
        <v>0</v>
      </c>
      <c r="K42" s="883"/>
      <c r="L42" s="1074"/>
      <c r="M42" s="806"/>
      <c r="N42" s="1074"/>
      <c r="O42" s="806"/>
      <c r="P42" s="1293"/>
      <c r="Q42" s="882"/>
      <c r="R42" s="1152"/>
      <c r="S42" s="883"/>
      <c r="T42" s="883"/>
      <c r="U42" s="883"/>
      <c r="V42" s="883"/>
      <c r="W42" s="883"/>
      <c r="X42" s="883"/>
      <c r="Y42" s="883"/>
      <c r="Z42" s="882"/>
      <c r="AA42" s="882"/>
      <c r="AB42" s="884"/>
      <c r="AC42" s="240">
        <f t="shared" si="4"/>
        <v>0</v>
      </c>
      <c r="AD42" s="183">
        <f t="shared" si="5"/>
        <v>0</v>
      </c>
      <c r="AF42" s="920">
        <v>228</v>
      </c>
      <c r="AG42" s="854" t="s">
        <v>455</v>
      </c>
      <c r="AH42" s="1132" t="s">
        <v>178</v>
      </c>
      <c r="AI42" s="626">
        <f t="shared" si="6"/>
        <v>0</v>
      </c>
      <c r="AJ42" s="154">
        <f>60550000-15010000-6200000-25200000-2060000-12080000</f>
        <v>0</v>
      </c>
      <c r="AK42" s="921">
        <f t="shared" si="2"/>
        <v>0</v>
      </c>
      <c r="AL42" s="874"/>
      <c r="AM42" s="1606">
        <f t="shared" si="7"/>
        <v>0</v>
      </c>
    </row>
    <row r="43" spans="1:39" s="865" customFormat="1">
      <c r="A43" s="885" t="s">
        <v>73</v>
      </c>
      <c r="B43" s="807">
        <f t="shared" si="3"/>
        <v>0</v>
      </c>
      <c r="C43" s="94" t="s">
        <v>36</v>
      </c>
      <c r="D43" s="94" t="s">
        <v>864</v>
      </c>
      <c r="E43" s="94" t="s">
        <v>71</v>
      </c>
      <c r="F43" s="94" t="s">
        <v>438</v>
      </c>
      <c r="G43" s="2010" t="s">
        <v>72</v>
      </c>
      <c r="H43" s="1436" t="s">
        <v>1387</v>
      </c>
      <c r="I43" s="2019">
        <v>229</v>
      </c>
      <c r="J43" s="1071">
        <v>0</v>
      </c>
      <c r="K43" s="883"/>
      <c r="L43" s="1074"/>
      <c r="M43" s="806"/>
      <c r="N43" s="1074"/>
      <c r="O43" s="806"/>
      <c r="P43" s="1293"/>
      <c r="Q43" s="882"/>
      <c r="R43" s="1152"/>
      <c r="S43" s="883"/>
      <c r="T43" s="883"/>
      <c r="U43" s="883"/>
      <c r="V43" s="883"/>
      <c r="W43" s="883"/>
      <c r="X43" s="883"/>
      <c r="Y43" s="883"/>
      <c r="Z43" s="882"/>
      <c r="AA43" s="882"/>
      <c r="AB43" s="884"/>
      <c r="AC43" s="240">
        <f t="shared" si="4"/>
        <v>0</v>
      </c>
      <c r="AD43" s="183">
        <f t="shared" si="5"/>
        <v>0</v>
      </c>
      <c r="AF43" s="920">
        <v>229</v>
      </c>
      <c r="AG43" s="854" t="s">
        <v>456</v>
      </c>
      <c r="AH43" s="1132" t="s">
        <v>178</v>
      </c>
      <c r="AI43" s="626">
        <f t="shared" si="6"/>
        <v>0</v>
      </c>
      <c r="AJ43" s="154">
        <f>16900000-16900000</f>
        <v>0</v>
      </c>
      <c r="AK43" s="921">
        <f t="shared" si="2"/>
        <v>0</v>
      </c>
      <c r="AL43" s="874"/>
      <c r="AM43" s="1606">
        <f t="shared" si="7"/>
        <v>0</v>
      </c>
    </row>
    <row r="44" spans="1:39" s="865" customFormat="1">
      <c r="A44" s="885" t="s">
        <v>73</v>
      </c>
      <c r="B44" s="807">
        <f t="shared" si="3"/>
        <v>17783333</v>
      </c>
      <c r="C44" s="94" t="s">
        <v>36</v>
      </c>
      <c r="D44" s="94" t="s">
        <v>864</v>
      </c>
      <c r="E44" s="94" t="s">
        <v>71</v>
      </c>
      <c r="F44" s="94" t="s">
        <v>438</v>
      </c>
      <c r="G44" s="2010" t="s">
        <v>72</v>
      </c>
      <c r="H44" s="1436" t="s">
        <v>1387</v>
      </c>
      <c r="I44" s="2019">
        <v>230</v>
      </c>
      <c r="J44" s="1071">
        <v>0</v>
      </c>
      <c r="K44" s="883"/>
      <c r="L44" s="1074">
        <v>7</v>
      </c>
      <c r="M44" s="806">
        <f>22000000-4216667</f>
        <v>17783333</v>
      </c>
      <c r="N44" s="1074">
        <v>150</v>
      </c>
      <c r="O44" s="806">
        <f>22000000-4216667</f>
        <v>17783333</v>
      </c>
      <c r="P44" s="1293">
        <v>45</v>
      </c>
      <c r="Q44" s="882"/>
      <c r="R44" s="1152">
        <v>1283333</v>
      </c>
      <c r="S44" s="883">
        <v>5500000</v>
      </c>
      <c r="T44" s="883">
        <v>5500000</v>
      </c>
      <c r="U44" s="883">
        <v>5500000</v>
      </c>
      <c r="V44" s="883"/>
      <c r="W44" s="883"/>
      <c r="X44" s="883"/>
      <c r="Y44" s="883"/>
      <c r="Z44" s="882"/>
      <c r="AA44" s="882"/>
      <c r="AB44" s="884"/>
      <c r="AC44" s="240">
        <f t="shared" si="4"/>
        <v>17783333</v>
      </c>
      <c r="AD44" s="183">
        <f t="shared" si="5"/>
        <v>0</v>
      </c>
      <c r="AF44" s="920">
        <v>230</v>
      </c>
      <c r="AG44" s="854" t="s">
        <v>457</v>
      </c>
      <c r="AH44" s="1132" t="str">
        <f>VLOOKUP(N44,[5]Hoja2!J$48:N$75,5,0)</f>
        <v>ANA GABRIELA PINILLA GONZALEZ</v>
      </c>
      <c r="AI44" s="626">
        <f t="shared" si="6"/>
        <v>45</v>
      </c>
      <c r="AJ44" s="154">
        <f>22000000-4216667</f>
        <v>17783333</v>
      </c>
      <c r="AK44" s="921">
        <f t="shared" si="2"/>
        <v>0</v>
      </c>
      <c r="AL44" s="874"/>
      <c r="AM44" s="1606">
        <f t="shared" si="7"/>
        <v>0</v>
      </c>
    </row>
    <row r="45" spans="1:39" s="865" customFormat="1">
      <c r="A45" s="885" t="s">
        <v>73</v>
      </c>
      <c r="B45" s="807">
        <f t="shared" si="3"/>
        <v>31166667</v>
      </c>
      <c r="C45" s="94" t="s">
        <v>36</v>
      </c>
      <c r="D45" s="94" t="s">
        <v>864</v>
      </c>
      <c r="E45" s="94" t="s">
        <v>71</v>
      </c>
      <c r="F45" s="94" t="s">
        <v>438</v>
      </c>
      <c r="G45" s="2010" t="s">
        <v>72</v>
      </c>
      <c r="H45" s="1436" t="s">
        <v>1387</v>
      </c>
      <c r="I45" s="2019">
        <v>231</v>
      </c>
      <c r="J45" s="1071">
        <v>0</v>
      </c>
      <c r="K45" s="883"/>
      <c r="L45" s="1074">
        <v>580</v>
      </c>
      <c r="M45" s="806">
        <v>31166667</v>
      </c>
      <c r="N45" s="1074">
        <v>665</v>
      </c>
      <c r="O45" s="806">
        <v>31166667</v>
      </c>
      <c r="P45" s="1293">
        <v>408</v>
      </c>
      <c r="Q45" s="882"/>
      <c r="R45" s="1152"/>
      <c r="S45" s="883"/>
      <c r="T45" s="883"/>
      <c r="U45" s="883"/>
      <c r="V45" s="883"/>
      <c r="W45" s="883"/>
      <c r="X45" s="883">
        <v>4216667</v>
      </c>
      <c r="Y45" s="883">
        <v>5500000</v>
      </c>
      <c r="Z45" s="882"/>
      <c r="AA45" s="882"/>
      <c r="AB45" s="884"/>
      <c r="AC45" s="240">
        <f t="shared" si="4"/>
        <v>9716667</v>
      </c>
      <c r="AD45" s="183">
        <f t="shared" si="5"/>
        <v>21450000</v>
      </c>
      <c r="AF45" s="920">
        <v>231</v>
      </c>
      <c r="AG45" s="854" t="s">
        <v>1121</v>
      </c>
      <c r="AH45" s="1132" t="s">
        <v>1196</v>
      </c>
      <c r="AI45" s="626">
        <f t="shared" si="6"/>
        <v>408</v>
      </c>
      <c r="AJ45" s="154">
        <f>27500000+5500000-1833333</f>
        <v>31166667</v>
      </c>
      <c r="AK45" s="921">
        <f t="shared" si="2"/>
        <v>0</v>
      </c>
      <c r="AL45" s="874"/>
      <c r="AM45" s="1606">
        <f t="shared" si="7"/>
        <v>0</v>
      </c>
    </row>
    <row r="46" spans="1:39" s="865" customFormat="1">
      <c r="A46" s="885" t="s">
        <v>73</v>
      </c>
      <c r="B46" s="807">
        <f t="shared" si="3"/>
        <v>112200000</v>
      </c>
      <c r="C46" s="94" t="s">
        <v>36</v>
      </c>
      <c r="D46" s="94" t="s">
        <v>864</v>
      </c>
      <c r="E46" s="94" t="s">
        <v>71</v>
      </c>
      <c r="F46" s="94" t="s">
        <v>438</v>
      </c>
      <c r="G46" s="2010" t="s">
        <v>72</v>
      </c>
      <c r="H46" s="1436" t="s">
        <v>1387</v>
      </c>
      <c r="I46" s="2019">
        <v>232</v>
      </c>
      <c r="J46" s="1071">
        <v>0</v>
      </c>
      <c r="K46" s="883"/>
      <c r="L46" s="1074">
        <v>235</v>
      </c>
      <c r="M46" s="806">
        <v>112200000</v>
      </c>
      <c r="N46" s="1074">
        <v>219</v>
      </c>
      <c r="O46" s="806">
        <v>112200000</v>
      </c>
      <c r="P46" s="1293">
        <v>190</v>
      </c>
      <c r="Q46" s="882"/>
      <c r="R46" s="1152"/>
      <c r="S46" s="883">
        <v>9180000</v>
      </c>
      <c r="T46" s="883">
        <v>10200000</v>
      </c>
      <c r="U46" s="883">
        <v>10200000</v>
      </c>
      <c r="V46" s="883">
        <v>10200000</v>
      </c>
      <c r="W46" s="883">
        <v>10200000</v>
      </c>
      <c r="X46" s="883">
        <v>10200000</v>
      </c>
      <c r="Y46" s="883">
        <v>10200000</v>
      </c>
      <c r="Z46" s="882"/>
      <c r="AA46" s="882"/>
      <c r="AB46" s="884"/>
      <c r="AC46" s="240">
        <f t="shared" si="4"/>
        <v>70380000</v>
      </c>
      <c r="AD46" s="183">
        <f t="shared" si="5"/>
        <v>41820000</v>
      </c>
      <c r="AF46" s="920">
        <v>232</v>
      </c>
      <c r="AG46" s="854" t="s">
        <v>458</v>
      </c>
      <c r="AH46" s="1132" t="s">
        <v>755</v>
      </c>
      <c r="AI46" s="626">
        <f t="shared" si="6"/>
        <v>190</v>
      </c>
      <c r="AJ46" s="154">
        <v>112200000</v>
      </c>
      <c r="AK46" s="921">
        <f t="shared" si="2"/>
        <v>0</v>
      </c>
      <c r="AL46" s="874"/>
      <c r="AM46" s="1606">
        <f t="shared" si="7"/>
        <v>0</v>
      </c>
    </row>
    <row r="47" spans="1:39" s="865" customFormat="1">
      <c r="A47" s="885" t="s">
        <v>73</v>
      </c>
      <c r="B47" s="807">
        <f t="shared" si="3"/>
        <v>111360000</v>
      </c>
      <c r="C47" s="94" t="s">
        <v>36</v>
      </c>
      <c r="D47" s="94" t="s">
        <v>864</v>
      </c>
      <c r="E47" s="94" t="s">
        <v>71</v>
      </c>
      <c r="F47" s="94" t="s">
        <v>438</v>
      </c>
      <c r="G47" s="2010" t="s">
        <v>72</v>
      </c>
      <c r="H47" s="1436" t="s">
        <v>1387</v>
      </c>
      <c r="I47" s="2019">
        <v>233</v>
      </c>
      <c r="J47" s="1071">
        <v>0</v>
      </c>
      <c r="K47" s="883"/>
      <c r="L47" s="1074">
        <v>253</v>
      </c>
      <c r="M47" s="806">
        <v>111360000</v>
      </c>
      <c r="N47" s="1074">
        <v>259</v>
      </c>
      <c r="O47" s="806">
        <v>111360000</v>
      </c>
      <c r="P47" s="1293">
        <v>231</v>
      </c>
      <c r="Q47" s="882"/>
      <c r="R47" s="1152"/>
      <c r="S47" s="883">
        <v>6960000</v>
      </c>
      <c r="T47" s="883">
        <v>10440000</v>
      </c>
      <c r="U47" s="883">
        <v>10440000</v>
      </c>
      <c r="V47" s="883">
        <v>10440000</v>
      </c>
      <c r="W47" s="883">
        <v>10440000</v>
      </c>
      <c r="X47" s="883">
        <v>10440000</v>
      </c>
      <c r="Y47" s="883">
        <v>10440000</v>
      </c>
      <c r="Z47" s="882"/>
      <c r="AA47" s="882"/>
      <c r="AB47" s="884"/>
      <c r="AC47" s="240">
        <f t="shared" si="4"/>
        <v>69600000</v>
      </c>
      <c r="AD47" s="183">
        <f t="shared" si="5"/>
        <v>41760000</v>
      </c>
      <c r="AF47" s="920">
        <v>233</v>
      </c>
      <c r="AG47" s="854" t="s">
        <v>459</v>
      </c>
      <c r="AH47" s="1132" t="s">
        <v>758</v>
      </c>
      <c r="AI47" s="626">
        <f t="shared" si="6"/>
        <v>231</v>
      </c>
      <c r="AJ47" s="154">
        <f>114840000-3480000</f>
        <v>111360000</v>
      </c>
      <c r="AK47" s="921">
        <f t="shared" si="2"/>
        <v>0</v>
      </c>
      <c r="AL47" s="874"/>
      <c r="AM47" s="1606">
        <f t="shared" si="7"/>
        <v>0</v>
      </c>
    </row>
    <row r="48" spans="1:39" s="865" customFormat="1">
      <c r="A48" s="885" t="s">
        <v>73</v>
      </c>
      <c r="B48" s="807">
        <f t="shared" si="3"/>
        <v>96900000</v>
      </c>
      <c r="C48" s="94" t="s">
        <v>36</v>
      </c>
      <c r="D48" s="94" t="s">
        <v>864</v>
      </c>
      <c r="E48" s="94" t="s">
        <v>71</v>
      </c>
      <c r="F48" s="94" t="s">
        <v>438</v>
      </c>
      <c r="G48" s="2010" t="s">
        <v>72</v>
      </c>
      <c r="H48" s="1436" t="s">
        <v>1387</v>
      </c>
      <c r="I48" s="2019">
        <v>234</v>
      </c>
      <c r="J48" s="1071">
        <v>0</v>
      </c>
      <c r="K48" s="883"/>
      <c r="L48" s="1074">
        <v>306</v>
      </c>
      <c r="M48" s="806">
        <v>96900000</v>
      </c>
      <c r="N48" s="1074">
        <v>342</v>
      </c>
      <c r="O48" s="806">
        <v>96900000</v>
      </c>
      <c r="P48" s="1293">
        <v>274</v>
      </c>
      <c r="Q48" s="882"/>
      <c r="R48" s="1152"/>
      <c r="S48" s="883"/>
      <c r="T48" s="883">
        <v>8500000</v>
      </c>
      <c r="U48" s="883">
        <v>10200000</v>
      </c>
      <c r="V48" s="883">
        <v>10200000</v>
      </c>
      <c r="W48" s="883">
        <v>10200000</v>
      </c>
      <c r="X48" s="883">
        <v>10200000</v>
      </c>
      <c r="Y48" s="883">
        <v>10200000</v>
      </c>
      <c r="Z48" s="882"/>
      <c r="AA48" s="882"/>
      <c r="AB48" s="884"/>
      <c r="AC48" s="240">
        <f t="shared" si="4"/>
        <v>59500000</v>
      </c>
      <c r="AD48" s="183">
        <f t="shared" si="5"/>
        <v>37400000</v>
      </c>
      <c r="AF48" s="920">
        <v>234</v>
      </c>
      <c r="AG48" s="854" t="s">
        <v>524</v>
      </c>
      <c r="AH48" s="1132" t="s">
        <v>826</v>
      </c>
      <c r="AI48" s="626">
        <f t="shared" si="6"/>
        <v>274</v>
      </c>
      <c r="AJ48" s="154">
        <f>112200000-15300000</f>
        <v>96900000</v>
      </c>
      <c r="AK48" s="921">
        <f t="shared" si="2"/>
        <v>0</v>
      </c>
      <c r="AL48" s="874"/>
      <c r="AM48" s="1606">
        <f t="shared" si="7"/>
        <v>0</v>
      </c>
    </row>
    <row r="49" spans="1:39" s="865" customFormat="1">
      <c r="A49" s="885" t="s">
        <v>73</v>
      </c>
      <c r="B49" s="807">
        <f t="shared" si="3"/>
        <v>0</v>
      </c>
      <c r="C49" s="94" t="s">
        <v>36</v>
      </c>
      <c r="D49" s="94" t="s">
        <v>864</v>
      </c>
      <c r="E49" s="94" t="s">
        <v>71</v>
      </c>
      <c r="F49" s="94" t="s">
        <v>438</v>
      </c>
      <c r="G49" s="2010" t="s">
        <v>72</v>
      </c>
      <c r="H49" s="1436" t="s">
        <v>1387</v>
      </c>
      <c r="I49" s="2019">
        <v>235</v>
      </c>
      <c r="J49" s="1071">
        <v>0</v>
      </c>
      <c r="K49" s="883"/>
      <c r="L49" s="1074"/>
      <c r="M49" s="806"/>
      <c r="N49" s="1074"/>
      <c r="O49" s="806"/>
      <c r="P49" s="1293"/>
      <c r="Q49" s="882"/>
      <c r="R49" s="1152"/>
      <c r="S49" s="883"/>
      <c r="T49" s="883"/>
      <c r="U49" s="883"/>
      <c r="V49" s="883"/>
      <c r="W49" s="883"/>
      <c r="X49" s="883"/>
      <c r="Y49" s="883"/>
      <c r="Z49" s="882"/>
      <c r="AA49" s="882"/>
      <c r="AB49" s="884"/>
      <c r="AC49" s="240">
        <f t="shared" si="4"/>
        <v>0</v>
      </c>
      <c r="AD49" s="183">
        <f t="shared" si="5"/>
        <v>0</v>
      </c>
      <c r="AF49" s="920">
        <v>235</v>
      </c>
      <c r="AG49" s="854" t="s">
        <v>461</v>
      </c>
      <c r="AH49" s="1132" t="s">
        <v>178</v>
      </c>
      <c r="AI49" s="626">
        <f t="shared" si="6"/>
        <v>0</v>
      </c>
      <c r="AJ49" s="154">
        <v>0</v>
      </c>
      <c r="AK49" s="921">
        <f t="shared" si="2"/>
        <v>0</v>
      </c>
      <c r="AL49" s="874"/>
      <c r="AM49" s="1606">
        <f t="shared" si="7"/>
        <v>0</v>
      </c>
    </row>
    <row r="50" spans="1:39" s="865" customFormat="1">
      <c r="A50" s="885" t="s">
        <v>73</v>
      </c>
      <c r="B50" s="807">
        <f t="shared" si="3"/>
        <v>12360000</v>
      </c>
      <c r="C50" s="94" t="s">
        <v>36</v>
      </c>
      <c r="D50" s="94" t="s">
        <v>864</v>
      </c>
      <c r="E50" s="94" t="s">
        <v>71</v>
      </c>
      <c r="F50" s="94" t="s">
        <v>438</v>
      </c>
      <c r="G50" s="2010" t="s">
        <v>72</v>
      </c>
      <c r="H50" s="1436" t="s">
        <v>1387</v>
      </c>
      <c r="I50" s="2019">
        <v>237</v>
      </c>
      <c r="J50" s="1071">
        <v>0</v>
      </c>
      <c r="K50" s="883"/>
      <c r="L50" s="1074">
        <v>17</v>
      </c>
      <c r="M50" s="806">
        <v>12360000</v>
      </c>
      <c r="N50" s="1074">
        <v>139</v>
      </c>
      <c r="O50" s="806">
        <v>12360000</v>
      </c>
      <c r="P50" s="1293">
        <v>60</v>
      </c>
      <c r="Q50" s="882"/>
      <c r="R50" s="1152">
        <v>1098667</v>
      </c>
      <c r="S50" s="883">
        <v>4120000</v>
      </c>
      <c r="T50" s="883">
        <v>4120000</v>
      </c>
      <c r="U50" s="883">
        <v>2060000</v>
      </c>
      <c r="V50" s="883">
        <v>961333</v>
      </c>
      <c r="W50" s="883"/>
      <c r="X50" s="883"/>
      <c r="Y50" s="883"/>
      <c r="Z50" s="882"/>
      <c r="AA50" s="882"/>
      <c r="AB50" s="884"/>
      <c r="AC50" s="240">
        <f t="shared" si="4"/>
        <v>12360000</v>
      </c>
      <c r="AD50" s="183">
        <f t="shared" si="5"/>
        <v>0</v>
      </c>
      <c r="AF50" s="920">
        <v>237</v>
      </c>
      <c r="AG50" s="854" t="s">
        <v>443</v>
      </c>
      <c r="AH50" s="1132" t="s">
        <v>946</v>
      </c>
      <c r="AI50" s="626">
        <f t="shared" si="6"/>
        <v>60</v>
      </c>
      <c r="AJ50" s="154">
        <v>12360000</v>
      </c>
      <c r="AK50" s="921">
        <f t="shared" si="2"/>
        <v>0</v>
      </c>
      <c r="AL50" s="874"/>
      <c r="AM50" s="1606">
        <f t="shared" si="7"/>
        <v>0</v>
      </c>
    </row>
    <row r="51" spans="1:39" s="865" customFormat="1">
      <c r="A51" s="885" t="s">
        <v>73</v>
      </c>
      <c r="B51" s="807">
        <f t="shared" si="3"/>
        <v>2060000</v>
      </c>
      <c r="C51" s="94" t="s">
        <v>36</v>
      </c>
      <c r="D51" s="94" t="s">
        <v>864</v>
      </c>
      <c r="E51" s="94" t="s">
        <v>71</v>
      </c>
      <c r="F51" s="94" t="s">
        <v>438</v>
      </c>
      <c r="G51" s="2010" t="s">
        <v>72</v>
      </c>
      <c r="H51" s="1436" t="s">
        <v>1387</v>
      </c>
      <c r="I51" s="2019">
        <v>237</v>
      </c>
      <c r="J51" s="1071"/>
      <c r="K51" s="883"/>
      <c r="L51" s="1074">
        <v>424</v>
      </c>
      <c r="M51" s="806">
        <v>2060000</v>
      </c>
      <c r="N51" s="1074">
        <v>463</v>
      </c>
      <c r="O51" s="806">
        <v>2060000</v>
      </c>
      <c r="P51" s="1293">
        <v>60</v>
      </c>
      <c r="Q51" s="882"/>
      <c r="R51" s="1152"/>
      <c r="S51" s="883"/>
      <c r="T51" s="883"/>
      <c r="U51" s="883"/>
      <c r="V51" s="883">
        <v>2060000</v>
      </c>
      <c r="W51" s="883"/>
      <c r="X51" s="883"/>
      <c r="Y51" s="883"/>
      <c r="Z51" s="882"/>
      <c r="AA51" s="882"/>
      <c r="AB51" s="884"/>
      <c r="AC51" s="240">
        <f t="shared" si="4"/>
        <v>2060000</v>
      </c>
      <c r="AD51" s="183">
        <f t="shared" si="5"/>
        <v>0</v>
      </c>
      <c r="AF51" s="920">
        <v>237</v>
      </c>
      <c r="AG51" s="854" t="s">
        <v>945</v>
      </c>
      <c r="AH51" s="1132" t="s">
        <v>946</v>
      </c>
      <c r="AI51" s="626">
        <f t="shared" si="6"/>
        <v>60</v>
      </c>
      <c r="AJ51" s="154">
        <v>2060000.0000000002</v>
      </c>
      <c r="AK51" s="921">
        <f t="shared" si="2"/>
        <v>0</v>
      </c>
      <c r="AL51" s="874"/>
      <c r="AM51" s="1606">
        <f t="shared" si="7"/>
        <v>0</v>
      </c>
    </row>
    <row r="52" spans="1:39" s="865" customFormat="1">
      <c r="A52" s="885" t="s">
        <v>73</v>
      </c>
      <c r="B52" s="807">
        <f t="shared" si="3"/>
        <v>1922667</v>
      </c>
      <c r="C52" s="94" t="s">
        <v>36</v>
      </c>
      <c r="D52" s="94" t="s">
        <v>864</v>
      </c>
      <c r="E52" s="94" t="s">
        <v>71</v>
      </c>
      <c r="F52" s="94" t="s">
        <v>438</v>
      </c>
      <c r="G52" s="2010" t="s">
        <v>72</v>
      </c>
      <c r="H52" s="1436" t="s">
        <v>1387</v>
      </c>
      <c r="I52" s="2019">
        <v>237</v>
      </c>
      <c r="J52" s="1071"/>
      <c r="K52" s="883"/>
      <c r="L52" s="1074">
        <v>498</v>
      </c>
      <c r="M52" s="806">
        <f>2060000-137333</f>
        <v>1922667</v>
      </c>
      <c r="N52" s="1074">
        <v>518</v>
      </c>
      <c r="O52" s="806">
        <f>2060000-137333</f>
        <v>1922667</v>
      </c>
      <c r="P52" s="1293">
        <v>60</v>
      </c>
      <c r="Q52" s="882"/>
      <c r="R52" s="1152"/>
      <c r="S52" s="883"/>
      <c r="T52" s="883"/>
      <c r="U52" s="883"/>
      <c r="V52" s="883">
        <v>1098667</v>
      </c>
      <c r="W52" s="883">
        <v>824000</v>
      </c>
      <c r="X52" s="883"/>
      <c r="Y52" s="883"/>
      <c r="Z52" s="882"/>
      <c r="AA52" s="882"/>
      <c r="AB52" s="884"/>
      <c r="AC52" s="240">
        <f t="shared" si="4"/>
        <v>1922667</v>
      </c>
      <c r="AD52" s="183">
        <f t="shared" si="5"/>
        <v>0</v>
      </c>
      <c r="AF52" s="920">
        <v>237</v>
      </c>
      <c r="AG52" s="854" t="s">
        <v>991</v>
      </c>
      <c r="AH52" s="1132" t="s">
        <v>946</v>
      </c>
      <c r="AI52" s="626">
        <f t="shared" si="6"/>
        <v>60</v>
      </c>
      <c r="AJ52" s="154">
        <f>2060000-137333</f>
        <v>1922667</v>
      </c>
      <c r="AK52" s="921">
        <f t="shared" si="2"/>
        <v>0</v>
      </c>
      <c r="AL52" s="874"/>
      <c r="AM52" s="1606">
        <f t="shared" si="7"/>
        <v>0</v>
      </c>
    </row>
    <row r="53" spans="1:39" s="865" customFormat="1">
      <c r="A53" s="885" t="s">
        <v>73</v>
      </c>
      <c r="B53" s="807">
        <f t="shared" si="3"/>
        <v>12360000</v>
      </c>
      <c r="C53" s="94" t="s">
        <v>36</v>
      </c>
      <c r="D53" s="94" t="s">
        <v>864</v>
      </c>
      <c r="E53" s="94" t="s">
        <v>71</v>
      </c>
      <c r="F53" s="94" t="s">
        <v>438</v>
      </c>
      <c r="G53" s="2010" t="s">
        <v>72</v>
      </c>
      <c r="H53" s="1436" t="s">
        <v>1387</v>
      </c>
      <c r="I53" s="2019">
        <v>238</v>
      </c>
      <c r="J53" s="1071">
        <v>0</v>
      </c>
      <c r="K53" s="883"/>
      <c r="L53" s="1074">
        <v>15</v>
      </c>
      <c r="M53" s="806">
        <v>12360000</v>
      </c>
      <c r="N53" s="1074">
        <v>66</v>
      </c>
      <c r="O53" s="806">
        <v>12360000</v>
      </c>
      <c r="P53" s="1293">
        <v>61</v>
      </c>
      <c r="Q53" s="882"/>
      <c r="R53" s="1152">
        <v>1373333</v>
      </c>
      <c r="S53" s="883">
        <v>4120000</v>
      </c>
      <c r="T53" s="883">
        <v>4120000</v>
      </c>
      <c r="U53" s="883">
        <v>2746667</v>
      </c>
      <c r="V53" s="883"/>
      <c r="W53" s="883"/>
      <c r="X53" s="883"/>
      <c r="Y53" s="883"/>
      <c r="Z53" s="882"/>
      <c r="AA53" s="882"/>
      <c r="AB53" s="884"/>
      <c r="AC53" s="240">
        <f t="shared" si="4"/>
        <v>12360000</v>
      </c>
      <c r="AD53" s="183">
        <f t="shared" si="5"/>
        <v>0</v>
      </c>
      <c r="AF53" s="920">
        <v>238</v>
      </c>
      <c r="AG53" s="854" t="s">
        <v>443</v>
      </c>
      <c r="AH53" s="1132" t="s">
        <v>949</v>
      </c>
      <c r="AI53" s="626">
        <f t="shared" si="6"/>
        <v>61</v>
      </c>
      <c r="AJ53" s="154">
        <v>12360000</v>
      </c>
      <c r="AK53" s="921">
        <f t="shared" si="2"/>
        <v>0</v>
      </c>
      <c r="AL53" s="874"/>
      <c r="AM53" s="1606">
        <f t="shared" si="7"/>
        <v>0</v>
      </c>
    </row>
    <row r="54" spans="1:39" s="865" customFormat="1">
      <c r="A54" s="885" t="s">
        <v>73</v>
      </c>
      <c r="B54" s="807">
        <f t="shared" si="3"/>
        <v>4120000</v>
      </c>
      <c r="C54" s="94" t="s">
        <v>36</v>
      </c>
      <c r="D54" s="94" t="s">
        <v>864</v>
      </c>
      <c r="E54" s="94" t="s">
        <v>71</v>
      </c>
      <c r="F54" s="94" t="s">
        <v>438</v>
      </c>
      <c r="G54" s="2010" t="s">
        <v>72</v>
      </c>
      <c r="H54" s="1436" t="s">
        <v>1387</v>
      </c>
      <c r="I54" s="2019" t="s">
        <v>178</v>
      </c>
      <c r="J54" s="1071"/>
      <c r="K54" s="883"/>
      <c r="L54" s="1074">
        <v>426</v>
      </c>
      <c r="M54" s="806">
        <v>4120000</v>
      </c>
      <c r="N54" s="1074">
        <v>429</v>
      </c>
      <c r="O54" s="806">
        <v>4120000</v>
      </c>
      <c r="P54" s="1293">
        <v>61</v>
      </c>
      <c r="Q54" s="882"/>
      <c r="R54" s="1152"/>
      <c r="S54" s="883"/>
      <c r="T54" s="883"/>
      <c r="U54" s="883">
        <v>1373333</v>
      </c>
      <c r="V54" s="883">
        <v>2746667</v>
      </c>
      <c r="W54" s="883"/>
      <c r="X54" s="883"/>
      <c r="Y54" s="883"/>
      <c r="Z54" s="882"/>
      <c r="AA54" s="882"/>
      <c r="AB54" s="884"/>
      <c r="AC54" s="240">
        <f t="shared" si="4"/>
        <v>4120000</v>
      </c>
      <c r="AD54" s="183">
        <f t="shared" si="5"/>
        <v>0</v>
      </c>
      <c r="AF54" s="920" t="s">
        <v>349</v>
      </c>
      <c r="AG54" s="854" t="s">
        <v>948</v>
      </c>
      <c r="AH54" s="1132" t="s">
        <v>949</v>
      </c>
      <c r="AI54" s="626">
        <f t="shared" si="6"/>
        <v>61</v>
      </c>
      <c r="AJ54" s="154">
        <v>4120000</v>
      </c>
      <c r="AK54" s="921">
        <f t="shared" si="2"/>
        <v>0</v>
      </c>
      <c r="AL54" s="874"/>
      <c r="AM54" s="1606">
        <f t="shared" si="7"/>
        <v>0</v>
      </c>
    </row>
    <row r="55" spans="1:39" s="865" customFormat="1">
      <c r="A55" s="885" t="s">
        <v>73</v>
      </c>
      <c r="B55" s="807">
        <f t="shared" si="3"/>
        <v>11100000</v>
      </c>
      <c r="C55" s="94" t="s">
        <v>36</v>
      </c>
      <c r="D55" s="94" t="s">
        <v>864</v>
      </c>
      <c r="E55" s="94" t="s">
        <v>71</v>
      </c>
      <c r="F55" s="94" t="s">
        <v>438</v>
      </c>
      <c r="G55" s="2010" t="s">
        <v>72</v>
      </c>
      <c r="H55" s="1436" t="s">
        <v>1387</v>
      </c>
      <c r="I55" s="2019">
        <v>239</v>
      </c>
      <c r="J55" s="1071">
        <v>0</v>
      </c>
      <c r="K55" s="883"/>
      <c r="L55" s="1074">
        <v>13</v>
      </c>
      <c r="M55" s="806">
        <v>11100000</v>
      </c>
      <c r="N55" s="1074">
        <v>136</v>
      </c>
      <c r="O55" s="806">
        <v>11100000</v>
      </c>
      <c r="P55" s="1293">
        <v>62</v>
      </c>
      <c r="Q55" s="882"/>
      <c r="R55" s="1152">
        <v>986667</v>
      </c>
      <c r="S55" s="883">
        <v>3700000</v>
      </c>
      <c r="T55" s="883">
        <v>3700000</v>
      </c>
      <c r="U55" s="883">
        <v>2713333</v>
      </c>
      <c r="V55" s="883"/>
      <c r="W55" s="883"/>
      <c r="X55" s="883"/>
      <c r="Y55" s="883"/>
      <c r="Z55" s="882"/>
      <c r="AA55" s="882"/>
      <c r="AB55" s="884"/>
      <c r="AC55" s="240">
        <f t="shared" si="4"/>
        <v>11100000</v>
      </c>
      <c r="AD55" s="183">
        <f t="shared" si="5"/>
        <v>0</v>
      </c>
      <c r="AF55" s="920">
        <v>239</v>
      </c>
      <c r="AG55" s="854" t="s">
        <v>452</v>
      </c>
      <c r="AH55" s="1132" t="str">
        <f>VLOOKUP(N55,[5]Hoja2!J$48:N$75,5,0)</f>
        <v>CAMILO ANDRES BECERRA SANCHEZ</v>
      </c>
      <c r="AI55" s="626">
        <f t="shared" si="6"/>
        <v>62</v>
      </c>
      <c r="AJ55" s="154">
        <v>11100000</v>
      </c>
      <c r="AK55" s="921">
        <f t="shared" si="2"/>
        <v>0</v>
      </c>
      <c r="AL55" s="874"/>
      <c r="AM55" s="1606">
        <f t="shared" si="7"/>
        <v>0</v>
      </c>
    </row>
    <row r="56" spans="1:39" s="865" customFormat="1">
      <c r="A56" s="885" t="s">
        <v>73</v>
      </c>
      <c r="B56" s="807">
        <f t="shared" si="3"/>
        <v>40700000</v>
      </c>
      <c r="C56" s="94" t="s">
        <v>36</v>
      </c>
      <c r="D56" s="94" t="s">
        <v>864</v>
      </c>
      <c r="E56" s="94" t="s">
        <v>71</v>
      </c>
      <c r="F56" s="94" t="s">
        <v>438</v>
      </c>
      <c r="G56" s="2010" t="s">
        <v>72</v>
      </c>
      <c r="H56" s="1436" t="s">
        <v>1387</v>
      </c>
      <c r="I56" s="2019">
        <v>240</v>
      </c>
      <c r="J56" s="1071">
        <v>0</v>
      </c>
      <c r="K56" s="883"/>
      <c r="L56" s="1074">
        <v>31</v>
      </c>
      <c r="M56" s="806">
        <v>40700000</v>
      </c>
      <c r="N56" s="1074">
        <v>135</v>
      </c>
      <c r="O56" s="806">
        <v>40700000</v>
      </c>
      <c r="P56" s="1293">
        <v>37</v>
      </c>
      <c r="Q56" s="882"/>
      <c r="R56" s="1152">
        <v>986667</v>
      </c>
      <c r="S56" s="883">
        <v>3700000</v>
      </c>
      <c r="T56" s="883">
        <v>3700000</v>
      </c>
      <c r="U56" s="883">
        <v>3700000</v>
      </c>
      <c r="V56" s="883">
        <v>3700000</v>
      </c>
      <c r="W56" s="883">
        <v>3700000</v>
      </c>
      <c r="X56" s="883">
        <v>3700000</v>
      </c>
      <c r="Y56" s="883">
        <v>3700000</v>
      </c>
      <c r="Z56" s="882"/>
      <c r="AA56" s="882"/>
      <c r="AB56" s="884"/>
      <c r="AC56" s="240">
        <f t="shared" si="4"/>
        <v>26886667</v>
      </c>
      <c r="AD56" s="183">
        <f t="shared" si="5"/>
        <v>13813333</v>
      </c>
      <c r="AF56" s="920">
        <v>240</v>
      </c>
      <c r="AG56" s="854" t="s">
        <v>462</v>
      </c>
      <c r="AH56" s="1132" t="str">
        <f>VLOOKUP(N56,[5]Hoja2!J$48:N$75,5,0)</f>
        <v>Jorge Eliecer Rodriguez Casallas</v>
      </c>
      <c r="AI56" s="626">
        <f t="shared" si="6"/>
        <v>37</v>
      </c>
      <c r="AJ56" s="154">
        <v>40700000</v>
      </c>
      <c r="AK56" s="921">
        <f t="shared" si="2"/>
        <v>0</v>
      </c>
      <c r="AL56" s="874"/>
      <c r="AM56" s="1606">
        <f t="shared" si="7"/>
        <v>0</v>
      </c>
    </row>
    <row r="57" spans="1:39" s="865" customFormat="1" ht="12" customHeight="1">
      <c r="A57" s="885" t="s">
        <v>73</v>
      </c>
      <c r="B57" s="807">
        <f t="shared" si="3"/>
        <v>9660000</v>
      </c>
      <c r="C57" s="94" t="s">
        <v>36</v>
      </c>
      <c r="D57" s="94" t="s">
        <v>864</v>
      </c>
      <c r="E57" s="94" t="s">
        <v>71</v>
      </c>
      <c r="F57" s="94" t="s">
        <v>438</v>
      </c>
      <c r="G57" s="2010" t="s">
        <v>72</v>
      </c>
      <c r="H57" s="1436" t="s">
        <v>1387</v>
      </c>
      <c r="I57" s="2019">
        <v>241</v>
      </c>
      <c r="J57" s="1071">
        <v>0</v>
      </c>
      <c r="K57" s="883"/>
      <c r="L57" s="1074">
        <v>307</v>
      </c>
      <c r="M57" s="806">
        <f>55200000-45540000</f>
        <v>9660000</v>
      </c>
      <c r="N57" s="1074">
        <v>303</v>
      </c>
      <c r="O57" s="806">
        <f>55200000-45540000</f>
        <v>9660000</v>
      </c>
      <c r="P57" s="1293">
        <v>145</v>
      </c>
      <c r="Q57" s="882"/>
      <c r="R57" s="1152"/>
      <c r="S57" s="883">
        <v>2300000</v>
      </c>
      <c r="T57" s="883">
        <v>6900000</v>
      </c>
      <c r="U57" s="883">
        <v>460000</v>
      </c>
      <c r="V57" s="883"/>
      <c r="W57" s="883"/>
      <c r="X57" s="883"/>
      <c r="Y57" s="883"/>
      <c r="Z57" s="882"/>
      <c r="AA57" s="882"/>
      <c r="AB57" s="884"/>
      <c r="AC57" s="240">
        <f t="shared" si="4"/>
        <v>9660000</v>
      </c>
      <c r="AD57" s="183">
        <f t="shared" si="5"/>
        <v>0</v>
      </c>
      <c r="AF57" s="920">
        <v>241</v>
      </c>
      <c r="AG57" s="854" t="s">
        <v>463</v>
      </c>
      <c r="AH57" s="1464" t="s">
        <v>777</v>
      </c>
      <c r="AI57" s="626">
        <f t="shared" si="6"/>
        <v>145</v>
      </c>
      <c r="AJ57" s="154">
        <f>60500000-2750000-48090000</f>
        <v>9660000</v>
      </c>
      <c r="AK57" s="921">
        <f t="shared" si="2"/>
        <v>0</v>
      </c>
      <c r="AL57" s="874"/>
      <c r="AM57" s="1606">
        <f t="shared" si="7"/>
        <v>0</v>
      </c>
    </row>
    <row r="58" spans="1:39" s="865" customFormat="1">
      <c r="A58" s="885" t="s">
        <v>73</v>
      </c>
      <c r="B58" s="807">
        <f t="shared" si="3"/>
        <v>11100000</v>
      </c>
      <c r="C58" s="94" t="s">
        <v>36</v>
      </c>
      <c r="D58" s="94" t="s">
        <v>864</v>
      </c>
      <c r="E58" s="94" t="s">
        <v>71</v>
      </c>
      <c r="F58" s="94" t="s">
        <v>438</v>
      </c>
      <c r="G58" s="2010" t="s">
        <v>72</v>
      </c>
      <c r="H58" s="1436" t="s">
        <v>1387</v>
      </c>
      <c r="I58" s="2019">
        <v>242</v>
      </c>
      <c r="J58" s="1071">
        <v>0</v>
      </c>
      <c r="K58" s="883"/>
      <c r="L58" s="1074">
        <v>10</v>
      </c>
      <c r="M58" s="806">
        <v>11100000</v>
      </c>
      <c r="N58" s="1074">
        <v>35</v>
      </c>
      <c r="O58" s="806">
        <v>11100000</v>
      </c>
      <c r="P58" s="1293">
        <v>48</v>
      </c>
      <c r="Q58" s="882"/>
      <c r="R58" s="1152">
        <v>986667</v>
      </c>
      <c r="S58" s="883">
        <v>3700000</v>
      </c>
      <c r="T58" s="883">
        <v>3700000</v>
      </c>
      <c r="U58" s="883">
        <v>2713333</v>
      </c>
      <c r="V58" s="883"/>
      <c r="W58" s="883"/>
      <c r="X58" s="883"/>
      <c r="Y58" s="883"/>
      <c r="Z58" s="882"/>
      <c r="AA58" s="882"/>
      <c r="AB58" s="884"/>
      <c r="AC58" s="240">
        <f t="shared" si="4"/>
        <v>11100000</v>
      </c>
      <c r="AD58" s="183">
        <f t="shared" si="5"/>
        <v>0</v>
      </c>
      <c r="AF58" s="920">
        <v>242</v>
      </c>
      <c r="AG58" s="854" t="s">
        <v>464</v>
      </c>
      <c r="AH58" s="1132" t="str">
        <f>VLOOKUP(N58,[5]Hoja2!J$48:N$75,5,0)</f>
        <v>JUAN JOSE ALVEAR MEJIA</v>
      </c>
      <c r="AI58" s="626">
        <f t="shared" si="6"/>
        <v>48</v>
      </c>
      <c r="AJ58" s="154">
        <v>11100000</v>
      </c>
      <c r="AK58" s="921">
        <f t="shared" si="2"/>
        <v>0</v>
      </c>
      <c r="AL58" s="874"/>
      <c r="AM58" s="1606">
        <f t="shared" si="7"/>
        <v>0</v>
      </c>
    </row>
    <row r="59" spans="1:39" s="865" customFormat="1">
      <c r="A59" s="885" t="s">
        <v>73</v>
      </c>
      <c r="B59" s="807">
        <f t="shared" si="3"/>
        <v>11100000</v>
      </c>
      <c r="C59" s="94" t="s">
        <v>36</v>
      </c>
      <c r="D59" s="94" t="s">
        <v>864</v>
      </c>
      <c r="E59" s="94" t="s">
        <v>71</v>
      </c>
      <c r="F59" s="94" t="s">
        <v>438</v>
      </c>
      <c r="G59" s="2010" t="s">
        <v>72</v>
      </c>
      <c r="H59" s="1436" t="s">
        <v>1387</v>
      </c>
      <c r="I59" s="2019">
        <v>243</v>
      </c>
      <c r="J59" s="1071">
        <v>0</v>
      </c>
      <c r="K59" s="883"/>
      <c r="L59" s="1074">
        <v>8</v>
      </c>
      <c r="M59" s="806">
        <v>11100000</v>
      </c>
      <c r="N59" s="1074">
        <v>140</v>
      </c>
      <c r="O59" s="806">
        <v>11100000</v>
      </c>
      <c r="P59" s="1293">
        <v>51</v>
      </c>
      <c r="Q59" s="882"/>
      <c r="R59" s="1152">
        <v>986667</v>
      </c>
      <c r="S59" s="883">
        <v>3700000</v>
      </c>
      <c r="T59" s="883">
        <v>3700000</v>
      </c>
      <c r="U59" s="883">
        <v>2713333</v>
      </c>
      <c r="V59" s="883"/>
      <c r="W59" s="883"/>
      <c r="X59" s="883"/>
      <c r="Y59" s="883"/>
      <c r="Z59" s="882"/>
      <c r="AA59" s="882"/>
      <c r="AB59" s="884"/>
      <c r="AC59" s="240">
        <f t="shared" si="4"/>
        <v>11100000</v>
      </c>
      <c r="AD59" s="183">
        <f t="shared" si="5"/>
        <v>0</v>
      </c>
      <c r="AF59" s="920">
        <v>243</v>
      </c>
      <c r="AG59" s="854" t="s">
        <v>464</v>
      </c>
      <c r="AH59" s="1132" t="str">
        <f>VLOOKUP(N59,[5]Hoja2!J$48:N$75,5,0)</f>
        <v>JUAN CARLOS SARMIENTO NOVOA</v>
      </c>
      <c r="AI59" s="626">
        <f t="shared" si="6"/>
        <v>51</v>
      </c>
      <c r="AJ59" s="154">
        <v>11100000</v>
      </c>
      <c r="AK59" s="921">
        <f t="shared" si="2"/>
        <v>0</v>
      </c>
      <c r="AL59" s="874"/>
      <c r="AM59" s="1606">
        <f t="shared" si="7"/>
        <v>0</v>
      </c>
    </row>
    <row r="60" spans="1:39" s="865" customFormat="1">
      <c r="A60" s="885" t="s">
        <v>73</v>
      </c>
      <c r="B60" s="807">
        <f t="shared" si="3"/>
        <v>11100000</v>
      </c>
      <c r="C60" s="94" t="s">
        <v>36</v>
      </c>
      <c r="D60" s="94" t="s">
        <v>864</v>
      </c>
      <c r="E60" s="94" t="s">
        <v>71</v>
      </c>
      <c r="F60" s="94" t="s">
        <v>438</v>
      </c>
      <c r="G60" s="2010" t="s">
        <v>72</v>
      </c>
      <c r="H60" s="1436" t="s">
        <v>1387</v>
      </c>
      <c r="I60" s="2019">
        <v>244</v>
      </c>
      <c r="J60" s="1071">
        <v>0</v>
      </c>
      <c r="K60" s="883"/>
      <c r="L60" s="1074">
        <v>9</v>
      </c>
      <c r="M60" s="806">
        <v>11100000</v>
      </c>
      <c r="N60" s="1074">
        <v>44</v>
      </c>
      <c r="O60" s="806">
        <v>11100000</v>
      </c>
      <c r="P60" s="1293">
        <v>53</v>
      </c>
      <c r="Q60" s="882"/>
      <c r="R60" s="1152">
        <v>1603333</v>
      </c>
      <c r="S60" s="883">
        <v>3700000</v>
      </c>
      <c r="T60" s="883">
        <v>3700000</v>
      </c>
      <c r="U60" s="883">
        <v>2096667</v>
      </c>
      <c r="V60" s="883"/>
      <c r="W60" s="883"/>
      <c r="X60" s="883"/>
      <c r="Y60" s="883"/>
      <c r="Z60" s="882"/>
      <c r="AA60" s="882"/>
      <c r="AB60" s="884"/>
      <c r="AC60" s="240">
        <f t="shared" si="4"/>
        <v>11100000</v>
      </c>
      <c r="AD60" s="183">
        <f t="shared" si="5"/>
        <v>0</v>
      </c>
      <c r="AF60" s="920">
        <v>244</v>
      </c>
      <c r="AG60" s="854" t="s">
        <v>464</v>
      </c>
      <c r="AH60" s="1132" t="str">
        <f>VLOOKUP(N60,[5]Hoja2!J$48:N$75,5,0)</f>
        <v>JUAN PABLO SANCHEZ CHAVES</v>
      </c>
      <c r="AI60" s="626">
        <f t="shared" si="6"/>
        <v>53</v>
      </c>
      <c r="AJ60" s="154">
        <v>11100000</v>
      </c>
      <c r="AK60" s="921">
        <f t="shared" si="2"/>
        <v>0</v>
      </c>
      <c r="AL60" s="874"/>
      <c r="AM60" s="1606">
        <f t="shared" si="7"/>
        <v>0</v>
      </c>
    </row>
    <row r="61" spans="1:39" s="865" customFormat="1">
      <c r="A61" s="885" t="s">
        <v>73</v>
      </c>
      <c r="B61" s="807">
        <f t="shared" si="3"/>
        <v>12360000</v>
      </c>
      <c r="C61" s="94" t="s">
        <v>36</v>
      </c>
      <c r="D61" s="94" t="s">
        <v>864</v>
      </c>
      <c r="E61" s="94" t="s">
        <v>71</v>
      </c>
      <c r="F61" s="94" t="s">
        <v>438</v>
      </c>
      <c r="G61" s="2010" t="s">
        <v>72</v>
      </c>
      <c r="H61" s="1436" t="s">
        <v>1387</v>
      </c>
      <c r="I61" s="2019">
        <v>246</v>
      </c>
      <c r="J61" s="1071">
        <v>0</v>
      </c>
      <c r="K61" s="883"/>
      <c r="L61" s="1074">
        <v>14</v>
      </c>
      <c r="M61" s="806">
        <v>12360000</v>
      </c>
      <c r="N61" s="1074">
        <v>77</v>
      </c>
      <c r="O61" s="806">
        <v>12360000</v>
      </c>
      <c r="P61" s="1293">
        <v>52</v>
      </c>
      <c r="Q61" s="882"/>
      <c r="R61" s="1152">
        <v>1098667</v>
      </c>
      <c r="S61" s="883">
        <v>4120000</v>
      </c>
      <c r="T61" s="883">
        <v>4120000</v>
      </c>
      <c r="U61" s="883">
        <v>3021333</v>
      </c>
      <c r="V61" s="883"/>
      <c r="W61" s="883"/>
      <c r="X61" s="883"/>
      <c r="Y61" s="883"/>
      <c r="Z61" s="882"/>
      <c r="AA61" s="882"/>
      <c r="AB61" s="884"/>
      <c r="AC61" s="240">
        <f t="shared" si="4"/>
        <v>12360000</v>
      </c>
      <c r="AD61" s="183">
        <f t="shared" si="5"/>
        <v>0</v>
      </c>
      <c r="AF61" s="920">
        <v>246</v>
      </c>
      <c r="AG61" s="854" t="s">
        <v>443</v>
      </c>
      <c r="AH61" s="1132" t="s">
        <v>958</v>
      </c>
      <c r="AI61" s="626">
        <f t="shared" si="6"/>
        <v>52</v>
      </c>
      <c r="AJ61" s="154">
        <v>12360000</v>
      </c>
      <c r="AK61" s="921">
        <f t="shared" si="2"/>
        <v>0</v>
      </c>
      <c r="AL61" s="874"/>
      <c r="AM61" s="1606">
        <f t="shared" si="7"/>
        <v>0</v>
      </c>
    </row>
    <row r="62" spans="1:39" s="865" customFormat="1">
      <c r="A62" s="885" t="s">
        <v>73</v>
      </c>
      <c r="B62" s="807">
        <f t="shared" si="3"/>
        <v>4120000</v>
      </c>
      <c r="C62" s="94" t="s">
        <v>36</v>
      </c>
      <c r="D62" s="94" t="s">
        <v>864</v>
      </c>
      <c r="E62" s="94" t="s">
        <v>71</v>
      </c>
      <c r="F62" s="94" t="s">
        <v>438</v>
      </c>
      <c r="G62" s="2010" t="s">
        <v>72</v>
      </c>
      <c r="H62" s="1436" t="s">
        <v>1387</v>
      </c>
      <c r="I62" s="2019">
        <v>246</v>
      </c>
      <c r="J62" s="1071"/>
      <c r="K62" s="883"/>
      <c r="L62" s="1074">
        <v>428</v>
      </c>
      <c r="M62" s="806">
        <v>4120000</v>
      </c>
      <c r="N62" s="1074">
        <v>431</v>
      </c>
      <c r="O62" s="806">
        <v>4120000</v>
      </c>
      <c r="P62" s="1293">
        <v>52</v>
      </c>
      <c r="Q62" s="882"/>
      <c r="R62" s="1152"/>
      <c r="S62" s="883"/>
      <c r="T62" s="883"/>
      <c r="U62" s="883">
        <v>1098667</v>
      </c>
      <c r="V62" s="883">
        <v>3021333</v>
      </c>
      <c r="W62" s="883"/>
      <c r="X62" s="883"/>
      <c r="Y62" s="883"/>
      <c r="Z62" s="882"/>
      <c r="AA62" s="882"/>
      <c r="AB62" s="884"/>
      <c r="AC62" s="240">
        <f t="shared" si="4"/>
        <v>4120000</v>
      </c>
      <c r="AD62" s="183">
        <f t="shared" si="5"/>
        <v>0</v>
      </c>
      <c r="AF62" s="920">
        <v>246</v>
      </c>
      <c r="AG62" s="854" t="s">
        <v>950</v>
      </c>
      <c r="AH62" s="1132" t="s">
        <v>958</v>
      </c>
      <c r="AI62" s="626">
        <f t="shared" si="6"/>
        <v>52</v>
      </c>
      <c r="AJ62" s="154">
        <v>4120000</v>
      </c>
      <c r="AK62" s="921">
        <f t="shared" si="2"/>
        <v>0</v>
      </c>
      <c r="AL62" s="874"/>
      <c r="AM62" s="1606">
        <f t="shared" si="7"/>
        <v>0</v>
      </c>
    </row>
    <row r="63" spans="1:39" s="865" customFormat="1">
      <c r="A63" s="885" t="s">
        <v>73</v>
      </c>
      <c r="B63" s="807">
        <f t="shared" si="3"/>
        <v>1922667</v>
      </c>
      <c r="C63" s="94" t="s">
        <v>36</v>
      </c>
      <c r="D63" s="94" t="s">
        <v>864</v>
      </c>
      <c r="E63" s="94" t="s">
        <v>71</v>
      </c>
      <c r="F63" s="94" t="s">
        <v>438</v>
      </c>
      <c r="G63" s="2010" t="s">
        <v>72</v>
      </c>
      <c r="H63" s="1436" t="s">
        <v>1387</v>
      </c>
      <c r="I63" s="2019">
        <v>246</v>
      </c>
      <c r="J63" s="1071"/>
      <c r="K63" s="883"/>
      <c r="L63" s="1074">
        <v>499</v>
      </c>
      <c r="M63" s="806">
        <f>2060000-137333</f>
        <v>1922667</v>
      </c>
      <c r="N63" s="1074">
        <v>519</v>
      </c>
      <c r="O63" s="806">
        <f>2060000-137333</f>
        <v>1922667</v>
      </c>
      <c r="P63" s="1293">
        <v>52</v>
      </c>
      <c r="Q63" s="882"/>
      <c r="R63" s="1152"/>
      <c r="S63" s="883"/>
      <c r="T63" s="883"/>
      <c r="U63" s="883"/>
      <c r="V63" s="883">
        <v>1098667</v>
      </c>
      <c r="W63" s="883">
        <v>824000</v>
      </c>
      <c r="X63" s="883"/>
      <c r="Y63" s="883"/>
      <c r="Z63" s="882"/>
      <c r="AA63" s="882"/>
      <c r="AB63" s="884"/>
      <c r="AC63" s="240">
        <f t="shared" si="4"/>
        <v>1922667</v>
      </c>
      <c r="AD63" s="183">
        <f t="shared" si="5"/>
        <v>0</v>
      </c>
      <c r="AF63" s="920">
        <v>246</v>
      </c>
      <c r="AG63" s="854" t="s">
        <v>993</v>
      </c>
      <c r="AH63" s="1132" t="s">
        <v>958</v>
      </c>
      <c r="AI63" s="626">
        <f t="shared" si="6"/>
        <v>52</v>
      </c>
      <c r="AJ63" s="154">
        <f>2060000-137333</f>
        <v>1922667</v>
      </c>
      <c r="AK63" s="921">
        <f t="shared" si="2"/>
        <v>0</v>
      </c>
      <c r="AL63" s="874"/>
      <c r="AM63" s="1606">
        <f t="shared" si="7"/>
        <v>0</v>
      </c>
    </row>
    <row r="64" spans="1:39" s="865" customFormat="1">
      <c r="A64" s="885" t="s">
        <v>73</v>
      </c>
      <c r="B64" s="807">
        <f t="shared" si="3"/>
        <v>22560000</v>
      </c>
      <c r="C64" s="94" t="s">
        <v>36</v>
      </c>
      <c r="D64" s="94" t="s">
        <v>864</v>
      </c>
      <c r="E64" s="94" t="s">
        <v>71</v>
      </c>
      <c r="F64" s="94" t="s">
        <v>438</v>
      </c>
      <c r="G64" s="2010" t="s">
        <v>72</v>
      </c>
      <c r="H64" s="1436" t="s">
        <v>1387</v>
      </c>
      <c r="I64" s="2019">
        <v>247</v>
      </c>
      <c r="J64" s="1071">
        <v>0</v>
      </c>
      <c r="K64" s="883"/>
      <c r="L64" s="1074">
        <v>6</v>
      </c>
      <c r="M64" s="806">
        <v>22560000</v>
      </c>
      <c r="N64" s="1074">
        <v>46</v>
      </c>
      <c r="O64" s="806">
        <v>22560000</v>
      </c>
      <c r="P64" s="1293">
        <v>42</v>
      </c>
      <c r="Q64" s="882"/>
      <c r="R64" s="1152">
        <v>2005333</v>
      </c>
      <c r="S64" s="883">
        <v>3008000</v>
      </c>
      <c r="T64" s="883">
        <v>6517333</v>
      </c>
      <c r="U64" s="883">
        <v>7520000</v>
      </c>
      <c r="V64" s="883">
        <v>3509334</v>
      </c>
      <c r="W64" s="883"/>
      <c r="X64" s="883"/>
      <c r="Y64" s="883"/>
      <c r="Z64" s="882"/>
      <c r="AA64" s="882"/>
      <c r="AB64" s="884"/>
      <c r="AC64" s="240">
        <f t="shared" si="4"/>
        <v>22560000</v>
      </c>
      <c r="AD64" s="183">
        <f t="shared" si="5"/>
        <v>0</v>
      </c>
      <c r="AF64" s="920">
        <v>247</v>
      </c>
      <c r="AG64" s="854" t="s">
        <v>465</v>
      </c>
      <c r="AH64" s="1132" t="str">
        <f>VLOOKUP(N64,[5]Hoja2!J$48:N$75,5,0)</f>
        <v>LEONOR ISBELIA GOMEZ HERNANDEZ</v>
      </c>
      <c r="AI64" s="626">
        <f t="shared" si="6"/>
        <v>42</v>
      </c>
      <c r="AJ64" s="154">
        <v>22560000</v>
      </c>
      <c r="AK64" s="921">
        <f t="shared" si="2"/>
        <v>0</v>
      </c>
      <c r="AL64" s="874"/>
      <c r="AM64" s="1606">
        <f t="shared" si="7"/>
        <v>0</v>
      </c>
    </row>
    <row r="65" spans="1:39" s="865" customFormat="1">
      <c r="A65" s="885" t="s">
        <v>73</v>
      </c>
      <c r="B65" s="807">
        <f t="shared" si="3"/>
        <v>10778666</v>
      </c>
      <c r="C65" s="94" t="s">
        <v>36</v>
      </c>
      <c r="D65" s="94" t="s">
        <v>864</v>
      </c>
      <c r="E65" s="94" t="s">
        <v>71</v>
      </c>
      <c r="F65" s="94" t="s">
        <v>438</v>
      </c>
      <c r="G65" s="2010" t="s">
        <v>72</v>
      </c>
      <c r="H65" s="1436" t="s">
        <v>1387</v>
      </c>
      <c r="I65" s="2019">
        <v>247</v>
      </c>
      <c r="J65" s="1071">
        <v>476</v>
      </c>
      <c r="K65" s="883"/>
      <c r="L65" s="1074">
        <v>476</v>
      </c>
      <c r="M65" s="806">
        <f>11280000-501334</f>
        <v>10778666</v>
      </c>
      <c r="N65" s="1074">
        <v>488</v>
      </c>
      <c r="O65" s="806">
        <f>11280000-501334</f>
        <v>10778666</v>
      </c>
      <c r="P65" s="1293">
        <v>42</v>
      </c>
      <c r="Q65" s="882"/>
      <c r="R65" s="1152"/>
      <c r="S65" s="883"/>
      <c r="T65" s="883"/>
      <c r="U65" s="883"/>
      <c r="V65" s="883">
        <v>4010666</v>
      </c>
      <c r="W65" s="883">
        <v>6768000</v>
      </c>
      <c r="X65" s="883"/>
      <c r="Y65" s="883"/>
      <c r="Z65" s="882"/>
      <c r="AA65" s="882"/>
      <c r="AB65" s="884"/>
      <c r="AC65" s="240">
        <f t="shared" si="4"/>
        <v>10778666</v>
      </c>
      <c r="AD65" s="183">
        <f t="shared" si="5"/>
        <v>0</v>
      </c>
      <c r="AF65" s="920">
        <v>247</v>
      </c>
      <c r="AG65" s="854" t="s">
        <v>996</v>
      </c>
      <c r="AH65" s="1132" t="s">
        <v>1035</v>
      </c>
      <c r="AI65" s="626">
        <f t="shared" si="6"/>
        <v>42</v>
      </c>
      <c r="AJ65" s="154">
        <f>11280000-501334</f>
        <v>10778666</v>
      </c>
      <c r="AK65" s="921">
        <f t="shared" si="2"/>
        <v>0</v>
      </c>
      <c r="AL65" s="874"/>
      <c r="AM65" s="1606">
        <f t="shared" si="7"/>
        <v>0</v>
      </c>
    </row>
    <row r="66" spans="1:39" s="865" customFormat="1">
      <c r="A66" s="885" t="s">
        <v>73</v>
      </c>
      <c r="B66" s="807">
        <f t="shared" si="3"/>
        <v>36000000</v>
      </c>
      <c r="C66" s="94" t="s">
        <v>36</v>
      </c>
      <c r="D66" s="94" t="s">
        <v>864</v>
      </c>
      <c r="E66" s="94" t="s">
        <v>71</v>
      </c>
      <c r="F66" s="94" t="s">
        <v>438</v>
      </c>
      <c r="G66" s="2010" t="s">
        <v>72</v>
      </c>
      <c r="H66" s="1436" t="s">
        <v>1387</v>
      </c>
      <c r="I66" s="2019">
        <v>248</v>
      </c>
      <c r="J66" s="1071">
        <v>0</v>
      </c>
      <c r="K66" s="883"/>
      <c r="L66" s="1074">
        <v>570</v>
      </c>
      <c r="M66" s="806">
        <v>36000000</v>
      </c>
      <c r="N66" s="1074">
        <v>645</v>
      </c>
      <c r="O66" s="806">
        <v>36000000</v>
      </c>
      <c r="P66" s="1293">
        <v>403</v>
      </c>
      <c r="Q66" s="882"/>
      <c r="R66" s="1152"/>
      <c r="S66" s="883"/>
      <c r="T66" s="883"/>
      <c r="U66" s="883"/>
      <c r="V66" s="883"/>
      <c r="W66" s="883"/>
      <c r="X66" s="883">
        <v>5800000</v>
      </c>
      <c r="Y66" s="883">
        <v>6000000</v>
      </c>
      <c r="Z66" s="882"/>
      <c r="AA66" s="882"/>
      <c r="AB66" s="884"/>
      <c r="AC66" s="240">
        <f t="shared" si="4"/>
        <v>11800000</v>
      </c>
      <c r="AD66" s="183">
        <f t="shared" si="5"/>
        <v>24200000</v>
      </c>
      <c r="AF66" s="920">
        <v>248</v>
      </c>
      <c r="AG66" s="854" t="s">
        <v>1120</v>
      </c>
      <c r="AH66" s="1132" t="s">
        <v>1195</v>
      </c>
      <c r="AI66" s="626">
        <f t="shared" si="6"/>
        <v>403</v>
      </c>
      <c r="AJ66" s="154">
        <f>30000000+6000000</f>
        <v>36000000</v>
      </c>
      <c r="AK66" s="921">
        <f t="shared" si="2"/>
        <v>0</v>
      </c>
      <c r="AL66" s="874"/>
      <c r="AM66" s="1606">
        <f t="shared" si="7"/>
        <v>0</v>
      </c>
    </row>
    <row r="67" spans="1:39" s="865" customFormat="1">
      <c r="A67" s="885" t="s">
        <v>73</v>
      </c>
      <c r="B67" s="807">
        <f t="shared" si="3"/>
        <v>27800000</v>
      </c>
      <c r="C67" s="94" t="s">
        <v>36</v>
      </c>
      <c r="D67" s="94" t="s">
        <v>864</v>
      </c>
      <c r="E67" s="94" t="s">
        <v>71</v>
      </c>
      <c r="F67" s="94" t="s">
        <v>438</v>
      </c>
      <c r="G67" s="2010" t="s">
        <v>72</v>
      </c>
      <c r="H67" s="1436" t="s">
        <v>1387</v>
      </c>
      <c r="I67" s="2019">
        <v>249</v>
      </c>
      <c r="J67" s="1071">
        <v>0</v>
      </c>
      <c r="K67" s="883"/>
      <c r="L67" s="1074">
        <v>165</v>
      </c>
      <c r="M67" s="806">
        <f>28000000-200000</f>
        <v>27800000</v>
      </c>
      <c r="N67" s="1074">
        <v>187</v>
      </c>
      <c r="O67" s="806">
        <f>28000000-200000</f>
        <v>27800000</v>
      </c>
      <c r="P67" s="1293">
        <v>145</v>
      </c>
      <c r="Q67" s="882"/>
      <c r="R67" s="1152"/>
      <c r="S67" s="883">
        <v>6200000</v>
      </c>
      <c r="T67" s="883">
        <f>VLOOKUP(N67,[8]Hoja2!N$63:T$105,7,0)</f>
        <v>6000000</v>
      </c>
      <c r="U67" s="883">
        <v>6000000</v>
      </c>
      <c r="V67" s="883">
        <v>5200000</v>
      </c>
      <c r="W67" s="883">
        <v>4400000</v>
      </c>
      <c r="X67" s="883"/>
      <c r="Y67" s="883"/>
      <c r="Z67" s="882"/>
      <c r="AA67" s="882"/>
      <c r="AB67" s="884"/>
      <c r="AC67" s="240">
        <f t="shared" si="4"/>
        <v>27800000</v>
      </c>
      <c r="AD67" s="183">
        <f t="shared" si="5"/>
        <v>0</v>
      </c>
      <c r="AF67" s="920">
        <v>249</v>
      </c>
      <c r="AG67" s="854" t="s">
        <v>466</v>
      </c>
      <c r="AH67" s="1132" t="str">
        <f>VLOOKUP(N67,[5]Hoja2!J$48:N$75,5,0)</f>
        <v>LINA MARCELA MORENO ROA</v>
      </c>
      <c r="AI67" s="626">
        <f t="shared" si="6"/>
        <v>145</v>
      </c>
      <c r="AJ67" s="154">
        <f>30000000-2000000-200000</f>
        <v>27800000</v>
      </c>
      <c r="AK67" s="921">
        <f t="shared" si="2"/>
        <v>0</v>
      </c>
      <c r="AL67" s="874"/>
      <c r="AM67" s="1606">
        <f t="shared" si="7"/>
        <v>0</v>
      </c>
    </row>
    <row r="68" spans="1:39" s="865" customFormat="1">
      <c r="A68" s="885" t="s">
        <v>73</v>
      </c>
      <c r="B68" s="807">
        <f t="shared" si="3"/>
        <v>37333333</v>
      </c>
      <c r="C68" s="94" t="s">
        <v>36</v>
      </c>
      <c r="D68" s="94" t="s">
        <v>864</v>
      </c>
      <c r="E68" s="94" t="s">
        <v>71</v>
      </c>
      <c r="F68" s="94" t="s">
        <v>438</v>
      </c>
      <c r="G68" s="2010" t="s">
        <v>72</v>
      </c>
      <c r="H68" s="1436" t="s">
        <v>1387</v>
      </c>
      <c r="I68" s="2019">
        <v>250</v>
      </c>
      <c r="J68" s="1071">
        <v>0</v>
      </c>
      <c r="K68" s="883"/>
      <c r="L68" s="1074">
        <v>187</v>
      </c>
      <c r="M68" s="806">
        <v>37333333</v>
      </c>
      <c r="N68" s="1074">
        <v>217</v>
      </c>
      <c r="O68" s="806">
        <v>37333333</v>
      </c>
      <c r="P68" s="1293">
        <v>164</v>
      </c>
      <c r="Q68" s="882"/>
      <c r="R68" s="1152"/>
      <c r="S68" s="883">
        <v>6133333</v>
      </c>
      <c r="T68" s="883">
        <f>VLOOKUP(N68,[8]Hoja2!N$63:T$105,7,0)</f>
        <v>8000000</v>
      </c>
      <c r="U68" s="883">
        <v>8000000</v>
      </c>
      <c r="V68" s="883">
        <v>8000000</v>
      </c>
      <c r="W68" s="883">
        <v>7200000</v>
      </c>
      <c r="X68" s="883"/>
      <c r="Y68" s="883"/>
      <c r="Z68" s="882"/>
      <c r="AA68" s="882"/>
      <c r="AB68" s="884"/>
      <c r="AC68" s="240">
        <f t="shared" si="4"/>
        <v>37333333</v>
      </c>
      <c r="AD68" s="183">
        <f t="shared" si="5"/>
        <v>0</v>
      </c>
      <c r="AF68" s="920">
        <v>250</v>
      </c>
      <c r="AG68" s="854" t="s">
        <v>467</v>
      </c>
      <c r="AH68" s="1132" t="s">
        <v>753</v>
      </c>
      <c r="AI68" s="626">
        <f t="shared" si="6"/>
        <v>164</v>
      </c>
      <c r="AJ68" s="154">
        <f>40000000-2266667-400000</f>
        <v>37333333</v>
      </c>
      <c r="AK68" s="921">
        <f t="shared" si="2"/>
        <v>0</v>
      </c>
      <c r="AL68" s="874"/>
      <c r="AM68" s="1606">
        <f t="shared" si="7"/>
        <v>0</v>
      </c>
    </row>
    <row r="69" spans="1:39" s="865" customFormat="1">
      <c r="A69" s="885" t="s">
        <v>73</v>
      </c>
      <c r="B69" s="807">
        <f t="shared" si="3"/>
        <v>46666667</v>
      </c>
      <c r="C69" s="94" t="s">
        <v>36</v>
      </c>
      <c r="D69" s="94" t="s">
        <v>864</v>
      </c>
      <c r="E69" s="94" t="s">
        <v>71</v>
      </c>
      <c r="F69" s="94" t="s">
        <v>438</v>
      </c>
      <c r="G69" s="2010" t="s">
        <v>72</v>
      </c>
      <c r="H69" s="1436" t="s">
        <v>1387</v>
      </c>
      <c r="I69" s="2019">
        <v>260</v>
      </c>
      <c r="J69" s="1071">
        <v>0</v>
      </c>
      <c r="K69" s="883"/>
      <c r="L69" s="1074">
        <v>571</v>
      </c>
      <c r="M69" s="806">
        <f>48000000-1333333</f>
        <v>46666667</v>
      </c>
      <c r="N69" s="1074">
        <v>652</v>
      </c>
      <c r="O69" s="806">
        <v>46666667</v>
      </c>
      <c r="P69" s="1293">
        <v>395</v>
      </c>
      <c r="Q69" s="882"/>
      <c r="R69" s="1152"/>
      <c r="S69" s="883"/>
      <c r="T69" s="883"/>
      <c r="U69" s="883"/>
      <c r="V69" s="883"/>
      <c r="W69" s="883"/>
      <c r="X69" s="883">
        <v>7466667</v>
      </c>
      <c r="Y69" s="883">
        <v>8000000</v>
      </c>
      <c r="Z69" s="882"/>
      <c r="AA69" s="882"/>
      <c r="AB69" s="884"/>
      <c r="AC69" s="240">
        <f t="shared" si="4"/>
        <v>15466667</v>
      </c>
      <c r="AD69" s="183">
        <f t="shared" si="5"/>
        <v>31200000</v>
      </c>
      <c r="AF69" s="920">
        <v>260</v>
      </c>
      <c r="AG69" s="854" t="s">
        <v>468</v>
      </c>
      <c r="AH69" s="1132" t="s">
        <v>753</v>
      </c>
      <c r="AI69" s="626">
        <f t="shared" si="6"/>
        <v>395</v>
      </c>
      <c r="AJ69" s="154">
        <f>40000000+8000000-1333333</f>
        <v>46666667</v>
      </c>
      <c r="AK69" s="921">
        <f t="shared" si="2"/>
        <v>0</v>
      </c>
      <c r="AL69" s="874"/>
      <c r="AM69" s="1606">
        <f t="shared" si="7"/>
        <v>0</v>
      </c>
    </row>
    <row r="70" spans="1:39" s="865" customFormat="1">
      <c r="A70" s="885" t="s">
        <v>73</v>
      </c>
      <c r="B70" s="807">
        <f t="shared" si="3"/>
        <v>55000000</v>
      </c>
      <c r="C70" s="94" t="s">
        <v>36</v>
      </c>
      <c r="D70" s="94" t="s">
        <v>864</v>
      </c>
      <c r="E70" s="94" t="s">
        <v>71</v>
      </c>
      <c r="F70" s="94" t="s">
        <v>438</v>
      </c>
      <c r="G70" s="2010" t="s">
        <v>72</v>
      </c>
      <c r="H70" s="1436" t="s">
        <v>1387</v>
      </c>
      <c r="I70" s="2019">
        <v>267</v>
      </c>
      <c r="J70" s="1071">
        <v>0</v>
      </c>
      <c r="K70" s="883"/>
      <c r="L70" s="1074">
        <v>106</v>
      </c>
      <c r="M70" s="806">
        <v>55000000</v>
      </c>
      <c r="N70" s="1074">
        <v>148</v>
      </c>
      <c r="O70" s="806">
        <v>55000000</v>
      </c>
      <c r="P70" s="1293">
        <v>90</v>
      </c>
      <c r="Q70" s="882"/>
      <c r="R70" s="1152"/>
      <c r="S70" s="883">
        <f>5000000+1166667</f>
        <v>6166667</v>
      </c>
      <c r="T70" s="883">
        <f>VLOOKUP(N70,[8]Hoja2!N$63:T$105,7,0)</f>
        <v>5000000</v>
      </c>
      <c r="U70" s="883">
        <v>5000000</v>
      </c>
      <c r="V70" s="883">
        <v>5000000</v>
      </c>
      <c r="W70" s="883">
        <v>5000000</v>
      </c>
      <c r="X70" s="883">
        <v>5000000</v>
      </c>
      <c r="Y70" s="883">
        <v>5000000</v>
      </c>
      <c r="Z70" s="882"/>
      <c r="AA70" s="882"/>
      <c r="AB70" s="884"/>
      <c r="AC70" s="240">
        <f t="shared" si="4"/>
        <v>36166667</v>
      </c>
      <c r="AD70" s="183">
        <f t="shared" si="5"/>
        <v>18833333</v>
      </c>
      <c r="AF70" s="920">
        <v>267</v>
      </c>
      <c r="AG70" s="854" t="s">
        <v>469</v>
      </c>
      <c r="AH70" s="1132" t="str">
        <f>VLOOKUP(N70,[5]Hoja2!J$48:N$75,5,0)</f>
        <v>PAOLA ANDREA LUNA CORTES</v>
      </c>
      <c r="AI70" s="626">
        <f t="shared" si="6"/>
        <v>90</v>
      </c>
      <c r="AJ70" s="154">
        <v>55000000</v>
      </c>
      <c r="AK70" s="921">
        <f t="shared" si="2"/>
        <v>0</v>
      </c>
      <c r="AL70" s="874"/>
      <c r="AM70" s="1606">
        <f t="shared" si="7"/>
        <v>0</v>
      </c>
    </row>
    <row r="71" spans="1:39" s="865" customFormat="1">
      <c r="A71" s="885" t="s">
        <v>73</v>
      </c>
      <c r="B71" s="807">
        <f t="shared" si="3"/>
        <v>11100000</v>
      </c>
      <c r="C71" s="94" t="s">
        <v>36</v>
      </c>
      <c r="D71" s="94" t="s">
        <v>864</v>
      </c>
      <c r="E71" s="94" t="s">
        <v>71</v>
      </c>
      <c r="F71" s="94" t="s">
        <v>438</v>
      </c>
      <c r="G71" s="2010" t="s">
        <v>72</v>
      </c>
      <c r="H71" s="1436" t="s">
        <v>1387</v>
      </c>
      <c r="I71" s="2019">
        <v>270</v>
      </c>
      <c r="J71" s="1071">
        <v>0</v>
      </c>
      <c r="K71" s="883"/>
      <c r="L71" s="1074">
        <v>11</v>
      </c>
      <c r="M71" s="806">
        <v>11100000</v>
      </c>
      <c r="N71" s="1074">
        <v>45</v>
      </c>
      <c r="O71" s="806">
        <v>11100000</v>
      </c>
      <c r="P71" s="1293">
        <v>56</v>
      </c>
      <c r="Q71" s="882"/>
      <c r="R71" s="1152">
        <v>1233333</v>
      </c>
      <c r="S71" s="883">
        <v>3700000</v>
      </c>
      <c r="T71" s="883">
        <f>VLOOKUP(N71,[8]Hoja2!N$63:T$105,7,0)</f>
        <v>3700000</v>
      </c>
      <c r="U71" s="883">
        <v>2466667</v>
      </c>
      <c r="V71" s="883"/>
      <c r="W71" s="883"/>
      <c r="X71" s="883"/>
      <c r="Y71" s="883"/>
      <c r="Z71" s="882"/>
      <c r="AA71" s="882"/>
      <c r="AB71" s="884"/>
      <c r="AC71" s="240">
        <f t="shared" si="4"/>
        <v>11100000</v>
      </c>
      <c r="AD71" s="183">
        <f t="shared" si="5"/>
        <v>0</v>
      </c>
      <c r="AF71" s="920">
        <v>270</v>
      </c>
      <c r="AG71" s="854" t="s">
        <v>452</v>
      </c>
      <c r="AH71" s="1132" t="str">
        <f>VLOOKUP(N71,[5]Hoja2!J$48:N$75,5,0)</f>
        <v>johan camilo prieto carreño</v>
      </c>
      <c r="AI71" s="626">
        <f t="shared" si="6"/>
        <v>56</v>
      </c>
      <c r="AJ71" s="154">
        <v>11100000</v>
      </c>
      <c r="AK71" s="921">
        <f t="shared" si="2"/>
        <v>0</v>
      </c>
      <c r="AL71" s="874"/>
      <c r="AM71" s="1606">
        <f t="shared" si="7"/>
        <v>0</v>
      </c>
    </row>
    <row r="72" spans="1:39" s="865" customFormat="1">
      <c r="A72" s="885" t="s">
        <v>73</v>
      </c>
      <c r="B72" s="807">
        <f t="shared" si="3"/>
        <v>0</v>
      </c>
      <c r="C72" s="94" t="s">
        <v>36</v>
      </c>
      <c r="D72" s="94" t="s">
        <v>864</v>
      </c>
      <c r="E72" s="94" t="s">
        <v>71</v>
      </c>
      <c r="F72" s="94" t="s">
        <v>438</v>
      </c>
      <c r="G72" s="2010" t="s">
        <v>72</v>
      </c>
      <c r="H72" s="1436" t="s">
        <v>1387</v>
      </c>
      <c r="I72" s="1435" t="s">
        <v>178</v>
      </c>
      <c r="J72" s="1071">
        <v>0</v>
      </c>
      <c r="K72" s="883"/>
      <c r="L72" s="1074"/>
      <c r="M72" s="806"/>
      <c r="N72" s="1074"/>
      <c r="O72" s="806"/>
      <c r="P72" s="1293"/>
      <c r="Q72" s="882"/>
      <c r="R72" s="882"/>
      <c r="S72" s="883"/>
      <c r="T72" s="883"/>
      <c r="U72" s="883"/>
      <c r="V72" s="883"/>
      <c r="W72" s="883"/>
      <c r="X72" s="883"/>
      <c r="Y72" s="883"/>
      <c r="Z72" s="882"/>
      <c r="AA72" s="882"/>
      <c r="AB72" s="884"/>
      <c r="AC72" s="240">
        <f t="shared" si="4"/>
        <v>0</v>
      </c>
      <c r="AD72" s="183">
        <f t="shared" si="5"/>
        <v>0</v>
      </c>
      <c r="AF72" s="923" t="s">
        <v>149</v>
      </c>
      <c r="AG72" s="912" t="s">
        <v>526</v>
      </c>
      <c r="AH72" s="1132" t="s">
        <v>178</v>
      </c>
      <c r="AI72" s="626">
        <f t="shared" si="6"/>
        <v>0</v>
      </c>
      <c r="AJ72" s="154">
        <f>5100000-5100000</f>
        <v>0</v>
      </c>
      <c r="AK72" s="921">
        <f t="shared" si="2"/>
        <v>0</v>
      </c>
      <c r="AL72" s="874"/>
      <c r="AM72" s="1606">
        <f t="shared" si="7"/>
        <v>0</v>
      </c>
    </row>
    <row r="73" spans="1:39" s="865" customFormat="1">
      <c r="A73" s="885" t="s">
        <v>73</v>
      </c>
      <c r="B73" s="807">
        <f t="shared" si="3"/>
        <v>13037500</v>
      </c>
      <c r="C73" s="94" t="s">
        <v>36</v>
      </c>
      <c r="D73" s="94" t="s">
        <v>864</v>
      </c>
      <c r="E73" s="94" t="s">
        <v>71</v>
      </c>
      <c r="F73" s="94" t="s">
        <v>438</v>
      </c>
      <c r="G73" s="2012" t="s">
        <v>72</v>
      </c>
      <c r="H73" s="1436" t="s">
        <v>1387</v>
      </c>
      <c r="I73" s="1435">
        <v>438</v>
      </c>
      <c r="J73" s="1071">
        <v>0</v>
      </c>
      <c r="K73" s="883"/>
      <c r="L73" s="1074">
        <v>308</v>
      </c>
      <c r="M73" s="806">
        <f>26250000-13212500</f>
        <v>13037500</v>
      </c>
      <c r="N73" s="1074">
        <v>298</v>
      </c>
      <c r="O73" s="806">
        <f>26250000-13212500</f>
        <v>13037500</v>
      </c>
      <c r="P73" s="1293">
        <v>260</v>
      </c>
      <c r="Q73" s="882"/>
      <c r="R73" s="882"/>
      <c r="S73" s="883">
        <v>875000</v>
      </c>
      <c r="T73" s="883">
        <f>VLOOKUP(N73,[8]Hoja2!N$63:T$105,7,0)</f>
        <v>2625000</v>
      </c>
      <c r="U73" s="883">
        <v>2625000</v>
      </c>
      <c r="V73" s="883">
        <v>2625000</v>
      </c>
      <c r="W73" s="883">
        <v>2625000</v>
      </c>
      <c r="X73" s="883">
        <v>1662500</v>
      </c>
      <c r="Y73" s="883"/>
      <c r="Z73" s="882"/>
      <c r="AA73" s="882"/>
      <c r="AB73" s="884"/>
      <c r="AC73" s="240">
        <f t="shared" si="4"/>
        <v>13037500</v>
      </c>
      <c r="AD73" s="183">
        <f t="shared" si="5"/>
        <v>0</v>
      </c>
      <c r="AF73" s="923">
        <v>438</v>
      </c>
      <c r="AG73" s="912" t="s">
        <v>596</v>
      </c>
      <c r="AH73" s="1132" t="s">
        <v>760</v>
      </c>
      <c r="AI73" s="626">
        <f t="shared" si="6"/>
        <v>260</v>
      </c>
      <c r="AJ73" s="154">
        <f>26250000-13212500</f>
        <v>13037500</v>
      </c>
      <c r="AK73" s="921">
        <f t="shared" si="2"/>
        <v>0</v>
      </c>
      <c r="AL73" s="874"/>
      <c r="AM73" s="1606">
        <f t="shared" si="7"/>
        <v>0</v>
      </c>
    </row>
    <row r="74" spans="1:39" s="865" customFormat="1">
      <c r="A74" s="885" t="s">
        <v>73</v>
      </c>
      <c r="B74" s="807">
        <f t="shared" si="3"/>
        <v>6000000</v>
      </c>
      <c r="C74" s="94" t="s">
        <v>36</v>
      </c>
      <c r="D74" s="94" t="s">
        <v>864</v>
      </c>
      <c r="E74" s="94" t="s">
        <v>71</v>
      </c>
      <c r="F74" s="94" t="s">
        <v>438</v>
      </c>
      <c r="G74" s="2012" t="s">
        <v>72</v>
      </c>
      <c r="H74" s="1436" t="s">
        <v>1387</v>
      </c>
      <c r="I74" s="1071">
        <v>450</v>
      </c>
      <c r="J74" s="1071">
        <v>0</v>
      </c>
      <c r="K74" s="806"/>
      <c r="L74" s="1281">
        <v>373</v>
      </c>
      <c r="M74" s="807">
        <v>6000000</v>
      </c>
      <c r="N74" s="1281">
        <v>387</v>
      </c>
      <c r="O74" s="523">
        <v>6000000</v>
      </c>
      <c r="P74" s="796">
        <v>305</v>
      </c>
      <c r="Q74" s="879"/>
      <c r="R74" s="880"/>
      <c r="S74" s="883"/>
      <c r="T74" s="883"/>
      <c r="U74" s="807"/>
      <c r="V74" s="883"/>
      <c r="W74" s="883"/>
      <c r="X74" s="883"/>
      <c r="Y74" s="883"/>
      <c r="Z74" s="880"/>
      <c r="AA74" s="880"/>
      <c r="AB74" s="881"/>
      <c r="AC74" s="240">
        <f t="shared" si="4"/>
        <v>0</v>
      </c>
      <c r="AD74" s="183">
        <f t="shared" si="5"/>
        <v>6000000</v>
      </c>
      <c r="AF74" s="923">
        <v>450</v>
      </c>
      <c r="AG74" s="912" t="s">
        <v>308</v>
      </c>
      <c r="AH74" s="1132" t="s">
        <v>851</v>
      </c>
      <c r="AI74" s="626">
        <f t="shared" si="6"/>
        <v>305</v>
      </c>
      <c r="AJ74" s="154">
        <v>6000000</v>
      </c>
      <c r="AK74" s="921">
        <f t="shared" si="2"/>
        <v>0</v>
      </c>
      <c r="AL74" s="874"/>
      <c r="AM74" s="1606">
        <f t="shared" si="7"/>
        <v>0</v>
      </c>
    </row>
    <row r="75" spans="1:39" s="865" customFormat="1">
      <c r="A75" s="885" t="s">
        <v>73</v>
      </c>
      <c r="B75" s="807">
        <f t="shared" si="3"/>
        <v>12600000</v>
      </c>
      <c r="C75" s="94" t="s">
        <v>36</v>
      </c>
      <c r="D75" s="94" t="s">
        <v>864</v>
      </c>
      <c r="E75" s="94" t="s">
        <v>71</v>
      </c>
      <c r="F75" s="94" t="s">
        <v>438</v>
      </c>
      <c r="G75" s="2012" t="s">
        <v>72</v>
      </c>
      <c r="H75" s="1436" t="s">
        <v>1387</v>
      </c>
      <c r="I75" s="1071">
        <v>456</v>
      </c>
      <c r="J75" s="1071">
        <v>0</v>
      </c>
      <c r="K75" s="806"/>
      <c r="L75" s="1281">
        <v>503</v>
      </c>
      <c r="M75" s="807">
        <v>12600000</v>
      </c>
      <c r="N75" s="1281">
        <v>559</v>
      </c>
      <c r="O75" s="523">
        <v>12600000</v>
      </c>
      <c r="P75" s="796">
        <v>369</v>
      </c>
      <c r="Q75" s="879"/>
      <c r="R75" s="880"/>
      <c r="S75" s="883"/>
      <c r="T75" s="523"/>
      <c r="U75" s="807"/>
      <c r="V75" s="883"/>
      <c r="W75" s="883">
        <v>4620000</v>
      </c>
      <c r="X75" s="883">
        <v>4200000</v>
      </c>
      <c r="Y75" s="883">
        <v>3780000</v>
      </c>
      <c r="Z75" s="880"/>
      <c r="AA75" s="880"/>
      <c r="AB75" s="881"/>
      <c r="AC75" s="240">
        <f t="shared" si="4"/>
        <v>12600000</v>
      </c>
      <c r="AD75" s="183">
        <f t="shared" si="5"/>
        <v>0</v>
      </c>
      <c r="AF75" s="923">
        <v>456</v>
      </c>
      <c r="AG75" s="912" t="s">
        <v>889</v>
      </c>
      <c r="AH75" s="1132" t="s">
        <v>1078</v>
      </c>
      <c r="AI75" s="626">
        <f t="shared" si="6"/>
        <v>369</v>
      </c>
      <c r="AJ75" s="154">
        <v>12600000</v>
      </c>
      <c r="AK75" s="921">
        <f t="shared" si="2"/>
        <v>0</v>
      </c>
      <c r="AL75" s="874"/>
      <c r="AM75" s="1606">
        <f t="shared" si="7"/>
        <v>0</v>
      </c>
    </row>
    <row r="76" spans="1:39" s="865" customFormat="1">
      <c r="A76" s="885" t="s">
        <v>73</v>
      </c>
      <c r="B76" s="807">
        <f t="shared" si="3"/>
        <v>12600000</v>
      </c>
      <c r="C76" s="94" t="s">
        <v>36</v>
      </c>
      <c r="D76" s="94" t="s">
        <v>864</v>
      </c>
      <c r="E76" s="94" t="s">
        <v>71</v>
      </c>
      <c r="F76" s="94" t="s">
        <v>438</v>
      </c>
      <c r="G76" s="2012" t="s">
        <v>72</v>
      </c>
      <c r="H76" s="1436" t="s">
        <v>1387</v>
      </c>
      <c r="I76" s="1071">
        <v>457</v>
      </c>
      <c r="J76" s="1071">
        <v>0</v>
      </c>
      <c r="K76" s="806"/>
      <c r="L76" s="1281">
        <v>504</v>
      </c>
      <c r="M76" s="807">
        <v>12600000</v>
      </c>
      <c r="N76" s="1281">
        <v>560</v>
      </c>
      <c r="O76" s="523">
        <v>12600000</v>
      </c>
      <c r="P76" s="796">
        <v>370</v>
      </c>
      <c r="Q76" s="879"/>
      <c r="R76" s="880"/>
      <c r="S76" s="523"/>
      <c r="T76" s="523"/>
      <c r="U76" s="807"/>
      <c r="V76" s="883"/>
      <c r="W76" s="883">
        <v>4620000</v>
      </c>
      <c r="X76" s="883">
        <v>4200000</v>
      </c>
      <c r="Y76" s="883">
        <v>3780000</v>
      </c>
      <c r="Z76" s="880"/>
      <c r="AA76" s="880"/>
      <c r="AB76" s="881"/>
      <c r="AC76" s="240">
        <f t="shared" si="4"/>
        <v>12600000</v>
      </c>
      <c r="AD76" s="183">
        <f t="shared" si="5"/>
        <v>0</v>
      </c>
      <c r="AF76" s="923">
        <v>457</v>
      </c>
      <c r="AG76" s="912" t="s">
        <v>889</v>
      </c>
      <c r="AH76" s="1132" t="s">
        <v>1077</v>
      </c>
      <c r="AI76" s="626">
        <f t="shared" si="6"/>
        <v>370</v>
      </c>
      <c r="AJ76" s="154">
        <v>12600000</v>
      </c>
      <c r="AK76" s="921">
        <f t="shared" si="2"/>
        <v>0</v>
      </c>
      <c r="AL76" s="874"/>
      <c r="AM76" s="1606">
        <f t="shared" si="7"/>
        <v>0</v>
      </c>
    </row>
    <row r="77" spans="1:39" s="865" customFormat="1">
      <c r="A77" s="885" t="s">
        <v>73</v>
      </c>
      <c r="B77" s="807">
        <f t="shared" si="3"/>
        <v>0</v>
      </c>
      <c r="C77" s="94" t="s">
        <v>36</v>
      </c>
      <c r="D77" s="94" t="s">
        <v>864</v>
      </c>
      <c r="E77" s="94" t="s">
        <v>71</v>
      </c>
      <c r="F77" s="94" t="s">
        <v>438</v>
      </c>
      <c r="G77" s="2012" t="s">
        <v>72</v>
      </c>
      <c r="H77" s="1436" t="s">
        <v>1387</v>
      </c>
      <c r="I77" s="1071" t="s">
        <v>178</v>
      </c>
      <c r="J77" s="1071"/>
      <c r="K77" s="806"/>
      <c r="L77" s="1281"/>
      <c r="M77" s="807"/>
      <c r="N77" s="1281"/>
      <c r="O77" s="523"/>
      <c r="P77" s="796"/>
      <c r="Q77" s="879"/>
      <c r="R77" s="880"/>
      <c r="S77" s="523"/>
      <c r="T77" s="523"/>
      <c r="U77" s="807"/>
      <c r="V77" s="523"/>
      <c r="W77" s="880"/>
      <c r="X77" s="523"/>
      <c r="Y77" s="883"/>
      <c r="Z77" s="880"/>
      <c r="AA77" s="880"/>
      <c r="AB77" s="881"/>
      <c r="AC77" s="240">
        <f t="shared" ref="AC77" si="10">SUM(Q77:AB77)</f>
        <v>0</v>
      </c>
      <c r="AD77" s="183">
        <f t="shared" ref="AD77" si="11">O77-AC77</f>
        <v>0</v>
      </c>
      <c r="AF77" s="923">
        <v>516</v>
      </c>
      <c r="AG77" s="912" t="s">
        <v>989</v>
      </c>
      <c r="AH77" s="1132" t="s">
        <v>178</v>
      </c>
      <c r="AI77" s="626">
        <f t="shared" si="6"/>
        <v>0</v>
      </c>
      <c r="AJ77" s="154">
        <f>42000000-42000000</f>
        <v>0</v>
      </c>
      <c r="AK77" s="921">
        <f t="shared" si="2"/>
        <v>0</v>
      </c>
      <c r="AL77" s="874"/>
      <c r="AM77" s="1606">
        <f t="shared" si="7"/>
        <v>0</v>
      </c>
    </row>
    <row r="78" spans="1:39" s="865" customFormat="1">
      <c r="A78" s="885" t="s">
        <v>73</v>
      </c>
      <c r="B78" s="807">
        <f t="shared" si="3"/>
        <v>17400000</v>
      </c>
      <c r="C78" s="94" t="s">
        <v>36</v>
      </c>
      <c r="D78" s="94" t="s">
        <v>864</v>
      </c>
      <c r="E78" s="94" t="s">
        <v>71</v>
      </c>
      <c r="F78" s="94" t="s">
        <v>438</v>
      </c>
      <c r="G78" s="2012" t="s">
        <v>72</v>
      </c>
      <c r="H78" s="1436" t="s">
        <v>1387</v>
      </c>
      <c r="I78" s="1071">
        <v>581</v>
      </c>
      <c r="J78" s="1071">
        <v>578</v>
      </c>
      <c r="K78" s="806">
        <f>18000000-600000</f>
        <v>17400000</v>
      </c>
      <c r="L78" s="1281">
        <v>665</v>
      </c>
      <c r="M78" s="806">
        <f>18000000-600000</f>
        <v>17400000</v>
      </c>
      <c r="N78" s="1281">
        <v>807</v>
      </c>
      <c r="O78" s="523">
        <v>17400000</v>
      </c>
      <c r="P78" s="796">
        <v>459</v>
      </c>
      <c r="Q78" s="879"/>
      <c r="R78" s="880"/>
      <c r="S78" s="523"/>
      <c r="T78" s="523"/>
      <c r="U78" s="807"/>
      <c r="V78" s="523"/>
      <c r="W78" s="880"/>
      <c r="X78" s="523"/>
      <c r="Y78" s="883"/>
      <c r="Z78" s="880"/>
      <c r="AA78" s="880"/>
      <c r="AB78" s="881"/>
      <c r="AC78" s="240">
        <f t="shared" ref="AC78" si="12">SUM(Q78:AB78)</f>
        <v>0</v>
      </c>
      <c r="AD78" s="183">
        <f t="shared" ref="AD78" si="13">O78-AC78</f>
        <v>17400000</v>
      </c>
      <c r="AF78" s="923">
        <v>581</v>
      </c>
      <c r="AG78" s="912" t="s">
        <v>1280</v>
      </c>
      <c r="AH78" s="1132" t="s">
        <v>1077</v>
      </c>
      <c r="AI78" s="626">
        <f t="shared" si="6"/>
        <v>459</v>
      </c>
      <c r="AJ78" s="154">
        <f>18000000-600000</f>
        <v>17400000</v>
      </c>
      <c r="AK78" s="921">
        <f t="shared" si="2"/>
        <v>0</v>
      </c>
      <c r="AL78" s="874"/>
      <c r="AM78" s="1606">
        <f t="shared" si="7"/>
        <v>0</v>
      </c>
    </row>
    <row r="79" spans="1:39" s="865" customFormat="1">
      <c r="A79" s="885" t="s">
        <v>73</v>
      </c>
      <c r="B79" s="807">
        <f t="shared" si="3"/>
        <v>17400000</v>
      </c>
      <c r="C79" s="94" t="s">
        <v>36</v>
      </c>
      <c r="D79" s="94" t="s">
        <v>864</v>
      </c>
      <c r="E79" s="94" t="s">
        <v>71</v>
      </c>
      <c r="F79" s="94" t="s">
        <v>438</v>
      </c>
      <c r="G79" s="2012" t="s">
        <v>72</v>
      </c>
      <c r="H79" s="1436" t="s">
        <v>1387</v>
      </c>
      <c r="I79" s="1071">
        <v>582</v>
      </c>
      <c r="J79" s="1071">
        <v>577</v>
      </c>
      <c r="K79" s="806">
        <f>18000000-600000</f>
        <v>17400000</v>
      </c>
      <c r="L79" s="1281">
        <v>666</v>
      </c>
      <c r="M79" s="806">
        <f>18000000-600000</f>
        <v>17400000</v>
      </c>
      <c r="N79" s="1281">
        <v>806</v>
      </c>
      <c r="O79" s="523">
        <v>17400000</v>
      </c>
      <c r="P79" s="796">
        <v>458</v>
      </c>
      <c r="Q79" s="879"/>
      <c r="R79" s="880"/>
      <c r="S79" s="523"/>
      <c r="T79" s="523"/>
      <c r="U79" s="807"/>
      <c r="V79" s="523"/>
      <c r="W79" s="880"/>
      <c r="X79" s="523"/>
      <c r="Y79" s="883"/>
      <c r="Z79" s="880"/>
      <c r="AA79" s="880"/>
      <c r="AB79" s="881"/>
      <c r="AC79" s="240">
        <f t="shared" ref="AC79" si="14">SUM(Q79:AB79)</f>
        <v>0</v>
      </c>
      <c r="AD79" s="183">
        <f t="shared" ref="AD79" si="15">O79-AC79</f>
        <v>17400000</v>
      </c>
      <c r="AF79" s="923">
        <v>582</v>
      </c>
      <c r="AG79" s="912" t="s">
        <v>1280</v>
      </c>
      <c r="AH79" s="1132" t="s">
        <v>1078</v>
      </c>
      <c r="AI79" s="626">
        <f t="shared" si="6"/>
        <v>458</v>
      </c>
      <c r="AJ79" s="154">
        <f>18000000-600000</f>
        <v>17400000</v>
      </c>
      <c r="AK79" s="921">
        <f t="shared" si="2"/>
        <v>0</v>
      </c>
      <c r="AL79" s="874"/>
      <c r="AM79" s="1606">
        <f t="shared" si="7"/>
        <v>0</v>
      </c>
    </row>
    <row r="80" spans="1:39" s="865" customFormat="1">
      <c r="A80" s="885" t="s">
        <v>73</v>
      </c>
      <c r="B80" s="807">
        <f t="shared" si="3"/>
        <v>0</v>
      </c>
      <c r="C80" s="94" t="s">
        <v>36</v>
      </c>
      <c r="D80" s="94" t="s">
        <v>864</v>
      </c>
      <c r="E80" s="94" t="s">
        <v>71</v>
      </c>
      <c r="F80" s="94" t="s">
        <v>438</v>
      </c>
      <c r="G80" s="2012" t="s">
        <v>72</v>
      </c>
      <c r="H80" s="1436" t="s">
        <v>1387</v>
      </c>
      <c r="I80" s="1071" t="s">
        <v>178</v>
      </c>
      <c r="J80" s="1071">
        <v>0</v>
      </c>
      <c r="K80" s="806"/>
      <c r="L80" s="1281"/>
      <c r="M80" s="807"/>
      <c r="N80" s="1281"/>
      <c r="O80" s="523"/>
      <c r="P80" s="796"/>
      <c r="Q80" s="879"/>
      <c r="R80" s="880"/>
      <c r="S80" s="523"/>
      <c r="T80" s="523"/>
      <c r="U80" s="807"/>
      <c r="V80" s="523"/>
      <c r="W80" s="880"/>
      <c r="X80" s="523"/>
      <c r="Y80" s="523"/>
      <c r="Z80" s="880"/>
      <c r="AA80" s="880"/>
      <c r="AB80" s="881"/>
      <c r="AC80" s="240">
        <f t="shared" si="4"/>
        <v>0</v>
      </c>
      <c r="AD80" s="183">
        <f t="shared" si="5"/>
        <v>0</v>
      </c>
      <c r="AF80" s="923" t="s">
        <v>349</v>
      </c>
      <c r="AG80" s="912" t="s">
        <v>520</v>
      </c>
      <c r="AH80" s="1132" t="s">
        <v>178</v>
      </c>
      <c r="AI80" s="626">
        <f t="shared" si="6"/>
        <v>0</v>
      </c>
      <c r="AJ80" s="154">
        <f>840000+43040000+93373334+9600000-107596667+7765833-4911668-25840000+2436667</f>
        <v>18707499</v>
      </c>
      <c r="AK80" s="921">
        <f t="shared" si="2"/>
        <v>18707499</v>
      </c>
      <c r="AL80" s="874"/>
      <c r="AM80" s="1606">
        <f t="shared" si="7"/>
        <v>18707499</v>
      </c>
    </row>
    <row r="81" spans="1:39" s="8" customFormat="1">
      <c r="A81" s="167" t="s">
        <v>24</v>
      </c>
      <c r="B81" s="506">
        <f>B17-SUM(B18:B80)</f>
        <v>30707499</v>
      </c>
      <c r="C81" s="83"/>
      <c r="D81" s="83"/>
      <c r="E81" s="83"/>
      <c r="F81" s="83"/>
      <c r="G81" s="1631"/>
      <c r="H81" s="1948"/>
      <c r="I81" s="1063"/>
      <c r="J81" s="1072"/>
      <c r="K81" s="896">
        <f>SUM(K18:K80)</f>
        <v>62040000</v>
      </c>
      <c r="L81" s="1282"/>
      <c r="M81" s="896">
        <f>SUM(M18:M80)</f>
        <v>1406704166</v>
      </c>
      <c r="N81" s="1282"/>
      <c r="O81" s="896">
        <f>SUM(O18:O80)</f>
        <v>1406704166</v>
      </c>
      <c r="P81" s="1295"/>
      <c r="Q81" s="54">
        <f t="shared" ref="Q81:AD81" si="16">SUM(Q18:Q80)</f>
        <v>0</v>
      </c>
      <c r="R81" s="54">
        <f t="shared" si="16"/>
        <v>22370000</v>
      </c>
      <c r="S81" s="54">
        <f t="shared" si="16"/>
        <v>125654333</v>
      </c>
      <c r="T81" s="54">
        <f t="shared" si="16"/>
        <v>163862333</v>
      </c>
      <c r="U81" s="54">
        <f t="shared" si="16"/>
        <v>163441666</v>
      </c>
      <c r="V81" s="54">
        <f t="shared" si="16"/>
        <v>147691667</v>
      </c>
      <c r="W81" s="54">
        <f t="shared" si="16"/>
        <v>129270333</v>
      </c>
      <c r="X81" s="54">
        <f t="shared" si="16"/>
        <v>123865834</v>
      </c>
      <c r="Y81" s="54">
        <f t="shared" si="16"/>
        <v>120238667</v>
      </c>
      <c r="Z81" s="54">
        <f t="shared" si="16"/>
        <v>0</v>
      </c>
      <c r="AA81" s="54">
        <f t="shared" si="16"/>
        <v>0</v>
      </c>
      <c r="AB81" s="54">
        <f t="shared" si="16"/>
        <v>0</v>
      </c>
      <c r="AC81" s="54">
        <f t="shared" si="16"/>
        <v>996394833</v>
      </c>
      <c r="AD81" s="54">
        <f t="shared" si="16"/>
        <v>410309333</v>
      </c>
      <c r="AF81" s="922"/>
      <c r="AG81" s="892"/>
      <c r="AH81" s="1133"/>
      <c r="AI81" s="1133"/>
      <c r="AJ81" s="54">
        <f>SUM(AJ18:AJ80)</f>
        <v>1437411665</v>
      </c>
      <c r="AK81" s="181">
        <f>SUM(AK18:AK80)</f>
        <v>30707499</v>
      </c>
      <c r="AL81" s="874">
        <f>B17-AJ81</f>
        <v>0</v>
      </c>
      <c r="AM81" s="1414"/>
    </row>
    <row r="82" spans="1:39" s="8" customFormat="1" ht="37.5" customHeight="1">
      <c r="A82" s="1636" t="s">
        <v>1357</v>
      </c>
      <c r="B82" s="504">
        <v>499660347</v>
      </c>
      <c r="C82" s="1636" t="s">
        <v>39</v>
      </c>
      <c r="D82" s="1636" t="s">
        <v>864</v>
      </c>
      <c r="E82" s="1636" t="s">
        <v>71</v>
      </c>
      <c r="F82" s="1636" t="s">
        <v>1358</v>
      </c>
      <c r="G82" s="2013" t="s">
        <v>72</v>
      </c>
      <c r="H82" s="2020" t="s">
        <v>1387</v>
      </c>
      <c r="I82" s="1638"/>
      <c r="J82" s="1639"/>
      <c r="K82" s="1640"/>
      <c r="L82" s="1641"/>
      <c r="M82" s="1642"/>
      <c r="N82" s="1641"/>
      <c r="O82" s="1642"/>
      <c r="P82" s="1643"/>
      <c r="Q82" s="1644"/>
      <c r="R82" s="1645"/>
      <c r="S82" s="1645"/>
      <c r="T82" s="1645"/>
      <c r="U82" s="1645"/>
      <c r="V82" s="1645"/>
      <c r="W82" s="1645"/>
      <c r="X82" s="1645"/>
      <c r="Y82" s="1645"/>
      <c r="Z82" s="1645"/>
      <c r="AA82" s="1645"/>
      <c r="AB82" s="1649"/>
      <c r="AC82" s="1644"/>
      <c r="AD82" s="1649"/>
      <c r="AF82" s="1646"/>
      <c r="AG82" s="1647"/>
      <c r="AH82" s="1648"/>
      <c r="AI82" s="1648"/>
      <c r="AJ82" s="1645"/>
      <c r="AK82" s="1649"/>
      <c r="AL82" s="874"/>
      <c r="AM82" s="1414"/>
    </row>
    <row r="83" spans="1:39" s="8" customFormat="1" ht="15">
      <c r="A83" s="1637" t="s">
        <v>1357</v>
      </c>
      <c r="B83" s="154">
        <f>M83</f>
        <v>427383000</v>
      </c>
      <c r="C83" s="1637" t="s">
        <v>39</v>
      </c>
      <c r="D83" s="1637" t="s">
        <v>864</v>
      </c>
      <c r="E83" s="1637" t="s">
        <v>71</v>
      </c>
      <c r="F83" s="1637" t="s">
        <v>1346</v>
      </c>
      <c r="G83" s="2014" t="s">
        <v>72</v>
      </c>
      <c r="H83" s="2021" t="s">
        <v>1387</v>
      </c>
      <c r="I83" s="1652">
        <v>600</v>
      </c>
      <c r="J83" s="1651">
        <v>619</v>
      </c>
      <c r="K83" s="486">
        <v>427383000</v>
      </c>
      <c r="L83" s="486">
        <v>705</v>
      </c>
      <c r="M83" s="486">
        <v>427383000</v>
      </c>
      <c r="N83" s="1632"/>
      <c r="O83" s="1633"/>
      <c r="P83" s="1634"/>
      <c r="Q83" s="252"/>
      <c r="R83" s="7"/>
      <c r="S83" s="7"/>
      <c r="T83" s="7"/>
      <c r="U83" s="7"/>
      <c r="V83" s="7"/>
      <c r="W83" s="7"/>
      <c r="X83" s="7"/>
      <c r="Y83" s="7"/>
      <c r="Z83" s="7"/>
      <c r="AA83" s="7"/>
      <c r="AB83" s="138"/>
      <c r="AC83" s="962">
        <f t="shared" ref="AC83:AC87" si="17">SUM(Q83:AB83)</f>
        <v>0</v>
      </c>
      <c r="AD83" s="183">
        <f t="shared" ref="AD83:AD87" si="18">O83-AC83</f>
        <v>0</v>
      </c>
      <c r="AF83" s="946">
        <v>600</v>
      </c>
      <c r="AG83" s="1357" t="s">
        <v>1355</v>
      </c>
      <c r="AH83" s="1635"/>
      <c r="AI83" s="99">
        <f>P83</f>
        <v>0</v>
      </c>
      <c r="AJ83" s="105">
        <v>427383000</v>
      </c>
      <c r="AK83" s="921">
        <f t="shared" ref="AK83:AK87" si="19">AJ83-O83</f>
        <v>427383000</v>
      </c>
      <c r="AL83" s="874"/>
      <c r="AM83" s="1606">
        <f t="shared" ref="AM83:AM87" si="20">AJ83-M83</f>
        <v>0</v>
      </c>
    </row>
    <row r="84" spans="1:39" s="8" customFormat="1" ht="15">
      <c r="A84" s="1637" t="s">
        <v>1357</v>
      </c>
      <c r="B84" s="154">
        <f t="shared" ref="B84:B87" si="21">M84</f>
        <v>0</v>
      </c>
      <c r="C84" s="1637" t="s">
        <v>39</v>
      </c>
      <c r="D84" s="1637" t="s">
        <v>864</v>
      </c>
      <c r="E84" s="1637" t="s">
        <v>71</v>
      </c>
      <c r="F84" s="1637" t="s">
        <v>1346</v>
      </c>
      <c r="G84" s="2014" t="s">
        <v>72</v>
      </c>
      <c r="H84" s="2021" t="s">
        <v>1387</v>
      </c>
      <c r="I84" s="1652">
        <v>601</v>
      </c>
      <c r="J84" s="1651"/>
      <c r="K84" s="486"/>
      <c r="L84" s="1632"/>
      <c r="M84" s="1633"/>
      <c r="N84" s="1632"/>
      <c r="O84" s="1633"/>
      <c r="P84" s="1634"/>
      <c r="Q84" s="252"/>
      <c r="R84" s="7"/>
      <c r="S84" s="7"/>
      <c r="T84" s="7"/>
      <c r="U84" s="7"/>
      <c r="V84" s="7"/>
      <c r="W84" s="7"/>
      <c r="X84" s="7"/>
      <c r="Y84" s="7"/>
      <c r="Z84" s="7"/>
      <c r="AA84" s="7"/>
      <c r="AB84" s="138"/>
      <c r="AC84" s="962">
        <f t="shared" si="17"/>
        <v>0</v>
      </c>
      <c r="AD84" s="183">
        <f t="shared" si="18"/>
        <v>0</v>
      </c>
      <c r="AF84" s="946">
        <v>601</v>
      </c>
      <c r="AG84" s="1357" t="s">
        <v>1356</v>
      </c>
      <c r="AH84" s="1635"/>
      <c r="AI84" s="99">
        <f t="shared" ref="AI84:AI87" si="22">P84</f>
        <v>0</v>
      </c>
      <c r="AJ84" s="105">
        <v>72277347</v>
      </c>
      <c r="AK84" s="921">
        <f t="shared" si="19"/>
        <v>72277347</v>
      </c>
      <c r="AL84" s="874"/>
      <c r="AM84" s="1606">
        <f t="shared" si="20"/>
        <v>72277347</v>
      </c>
    </row>
    <row r="85" spans="1:39" s="8" customFormat="1" ht="15">
      <c r="A85" s="1637" t="s">
        <v>1357</v>
      </c>
      <c r="B85" s="154">
        <f t="shared" si="21"/>
        <v>0</v>
      </c>
      <c r="C85" s="1637" t="s">
        <v>39</v>
      </c>
      <c r="D85" s="1637" t="s">
        <v>864</v>
      </c>
      <c r="E85" s="1637" t="s">
        <v>71</v>
      </c>
      <c r="F85" s="1637" t="s">
        <v>1346</v>
      </c>
      <c r="G85" s="2014" t="s">
        <v>72</v>
      </c>
      <c r="H85" s="2021" t="s">
        <v>1387</v>
      </c>
      <c r="I85" s="1652" t="s">
        <v>178</v>
      </c>
      <c r="J85" s="1651"/>
      <c r="K85" s="486"/>
      <c r="L85" s="1632"/>
      <c r="M85" s="1633"/>
      <c r="N85" s="1632"/>
      <c r="O85" s="1633"/>
      <c r="P85" s="1634"/>
      <c r="Q85" s="252"/>
      <c r="R85" s="7"/>
      <c r="S85" s="7"/>
      <c r="T85" s="7"/>
      <c r="U85" s="7"/>
      <c r="V85" s="7"/>
      <c r="W85" s="7"/>
      <c r="X85" s="7"/>
      <c r="Y85" s="7"/>
      <c r="Z85" s="7"/>
      <c r="AA85" s="7"/>
      <c r="AB85" s="138"/>
      <c r="AC85" s="962">
        <f t="shared" si="17"/>
        <v>0</v>
      </c>
      <c r="AD85" s="183">
        <f t="shared" si="18"/>
        <v>0</v>
      </c>
      <c r="AF85" s="945"/>
      <c r="AG85" s="1447"/>
      <c r="AH85" s="1635"/>
      <c r="AI85" s="99">
        <f t="shared" si="22"/>
        <v>0</v>
      </c>
      <c r="AJ85" s="7"/>
      <c r="AK85" s="921">
        <f t="shared" si="19"/>
        <v>0</v>
      </c>
      <c r="AL85" s="874"/>
      <c r="AM85" s="1606">
        <f t="shared" si="20"/>
        <v>0</v>
      </c>
    </row>
    <row r="86" spans="1:39" s="8" customFormat="1" ht="15">
      <c r="A86" s="1637" t="s">
        <v>1357</v>
      </c>
      <c r="B86" s="154">
        <f t="shared" si="21"/>
        <v>0</v>
      </c>
      <c r="C86" s="1637" t="s">
        <v>39</v>
      </c>
      <c r="D86" s="1637" t="s">
        <v>864</v>
      </c>
      <c r="E86" s="1637" t="s">
        <v>71</v>
      </c>
      <c r="F86" s="1637" t="s">
        <v>1346</v>
      </c>
      <c r="G86" s="2014" t="s">
        <v>72</v>
      </c>
      <c r="H86" s="2021" t="s">
        <v>1387</v>
      </c>
      <c r="I86" s="1652" t="s">
        <v>178</v>
      </c>
      <c r="J86" s="1651"/>
      <c r="K86" s="486"/>
      <c r="L86" s="1632"/>
      <c r="M86" s="1633"/>
      <c r="N86" s="1632"/>
      <c r="O86" s="1633"/>
      <c r="P86" s="1634"/>
      <c r="Q86" s="252"/>
      <c r="R86" s="7"/>
      <c r="S86" s="7"/>
      <c r="T86" s="7"/>
      <c r="U86" s="7"/>
      <c r="V86" s="7"/>
      <c r="W86" s="7"/>
      <c r="X86" s="7"/>
      <c r="Y86" s="7"/>
      <c r="Z86" s="7"/>
      <c r="AA86" s="7"/>
      <c r="AB86" s="138"/>
      <c r="AC86" s="962">
        <f t="shared" si="17"/>
        <v>0</v>
      </c>
      <c r="AD86" s="183">
        <f t="shared" si="18"/>
        <v>0</v>
      </c>
      <c r="AF86" s="945"/>
      <c r="AG86" s="1447"/>
      <c r="AH86" s="1635"/>
      <c r="AI86" s="99">
        <f t="shared" si="22"/>
        <v>0</v>
      </c>
      <c r="AJ86" s="7"/>
      <c r="AK86" s="921">
        <f t="shared" si="19"/>
        <v>0</v>
      </c>
      <c r="AL86" s="874"/>
      <c r="AM86" s="1606">
        <f t="shared" si="20"/>
        <v>0</v>
      </c>
    </row>
    <row r="87" spans="1:39" s="8" customFormat="1" ht="15">
      <c r="A87" s="1637" t="s">
        <v>1357</v>
      </c>
      <c r="B87" s="154">
        <f t="shared" si="21"/>
        <v>0</v>
      </c>
      <c r="C87" s="1637" t="s">
        <v>39</v>
      </c>
      <c r="D87" s="1637" t="s">
        <v>864</v>
      </c>
      <c r="E87" s="1637" t="s">
        <v>71</v>
      </c>
      <c r="F87" s="1637" t="s">
        <v>1346</v>
      </c>
      <c r="G87" s="2014" t="s">
        <v>72</v>
      </c>
      <c r="H87" s="2021" t="s">
        <v>1387</v>
      </c>
      <c r="I87" s="1652" t="s">
        <v>178</v>
      </c>
      <c r="J87" s="1651"/>
      <c r="K87" s="486"/>
      <c r="L87" s="1632"/>
      <c r="M87" s="1633"/>
      <c r="N87" s="1632"/>
      <c r="O87" s="1633"/>
      <c r="P87" s="1634"/>
      <c r="Q87" s="252"/>
      <c r="R87" s="7"/>
      <c r="S87" s="7"/>
      <c r="T87" s="7"/>
      <c r="U87" s="7"/>
      <c r="V87" s="7"/>
      <c r="W87" s="7"/>
      <c r="X87" s="7"/>
      <c r="Y87" s="7"/>
      <c r="Z87" s="7"/>
      <c r="AA87" s="7"/>
      <c r="AB87" s="138"/>
      <c r="AC87" s="962">
        <f t="shared" si="17"/>
        <v>0</v>
      </c>
      <c r="AD87" s="183">
        <f t="shared" si="18"/>
        <v>0</v>
      </c>
      <c r="AF87" s="945"/>
      <c r="AG87" s="1447"/>
      <c r="AH87" s="1635"/>
      <c r="AI87" s="99">
        <f t="shared" si="22"/>
        <v>0</v>
      </c>
      <c r="AJ87" s="7"/>
      <c r="AK87" s="921">
        <f t="shared" si="19"/>
        <v>0</v>
      </c>
      <c r="AL87" s="874"/>
      <c r="AM87" s="1606">
        <f t="shared" si="20"/>
        <v>0</v>
      </c>
    </row>
    <row r="88" spans="1:39" s="8" customFormat="1">
      <c r="A88" s="167" t="s">
        <v>24</v>
      </c>
      <c r="B88" s="506">
        <f>B82-SUM(B83:B87)</f>
        <v>72277347</v>
      </c>
      <c r="C88" s="83"/>
      <c r="D88" s="83"/>
      <c r="E88" s="83"/>
      <c r="F88" s="83"/>
      <c r="G88" s="1631"/>
      <c r="H88" s="1948"/>
      <c r="I88" s="1063"/>
      <c r="J88" s="1072"/>
      <c r="K88" s="896">
        <f>SUM(K83:K87)</f>
        <v>427383000</v>
      </c>
      <c r="L88" s="1282"/>
      <c r="M88" s="896">
        <f>SUM(M83:M87)</f>
        <v>427383000</v>
      </c>
      <c r="N88" s="1282"/>
      <c r="O88" s="896">
        <f>SUM(O83:O87)</f>
        <v>0</v>
      </c>
      <c r="P88" s="1295"/>
      <c r="Q88" s="896">
        <f t="shared" ref="Q88:AD88" si="23">SUM(Q83:Q87)</f>
        <v>0</v>
      </c>
      <c r="R88" s="896">
        <f t="shared" si="23"/>
        <v>0</v>
      </c>
      <c r="S88" s="896">
        <f t="shared" si="23"/>
        <v>0</v>
      </c>
      <c r="T88" s="896">
        <f t="shared" si="23"/>
        <v>0</v>
      </c>
      <c r="U88" s="896">
        <f t="shared" si="23"/>
        <v>0</v>
      </c>
      <c r="V88" s="896">
        <f t="shared" si="23"/>
        <v>0</v>
      </c>
      <c r="W88" s="896">
        <f t="shared" si="23"/>
        <v>0</v>
      </c>
      <c r="X88" s="896">
        <f t="shared" si="23"/>
        <v>0</v>
      </c>
      <c r="Y88" s="896">
        <f t="shared" si="23"/>
        <v>0</v>
      </c>
      <c r="Z88" s="896">
        <f t="shared" si="23"/>
        <v>0</v>
      </c>
      <c r="AA88" s="896">
        <f t="shared" si="23"/>
        <v>0</v>
      </c>
      <c r="AB88" s="896">
        <f t="shared" si="23"/>
        <v>0</v>
      </c>
      <c r="AC88" s="896">
        <f t="shared" si="23"/>
        <v>0</v>
      </c>
      <c r="AD88" s="896">
        <f t="shared" si="23"/>
        <v>0</v>
      </c>
      <c r="AF88" s="922"/>
      <c r="AG88" s="892"/>
      <c r="AH88" s="1133"/>
      <c r="AI88" s="1133"/>
      <c r="AJ88" s="896">
        <f>SUM(AJ83:AJ87)</f>
        <v>499660347</v>
      </c>
      <c r="AK88" s="896">
        <f>SUM(AK83:AK87)</f>
        <v>499660347</v>
      </c>
      <c r="AL88" s="874"/>
      <c r="AM88" s="1414"/>
    </row>
    <row r="89" spans="1:39" s="6" customFormat="1" ht="36.75" customHeight="1">
      <c r="A89" s="575" t="s">
        <v>75</v>
      </c>
      <c r="B89" s="504">
        <f>590740000-1050000+4750000+56780000+112730000+4911668</f>
        <v>768861668</v>
      </c>
      <c r="C89" s="1305" t="s">
        <v>36</v>
      </c>
      <c r="D89" s="1305" t="s">
        <v>864</v>
      </c>
      <c r="E89" s="1305" t="s">
        <v>71</v>
      </c>
      <c r="F89" s="1305" t="s">
        <v>74</v>
      </c>
      <c r="G89" s="2015" t="s">
        <v>72</v>
      </c>
      <c r="H89" s="1650" t="s">
        <v>1387</v>
      </c>
      <c r="I89" s="1064"/>
      <c r="J89" s="1073"/>
      <c r="K89" s="533"/>
      <c r="L89" s="1283"/>
      <c r="M89" s="1269"/>
      <c r="N89" s="1283"/>
      <c r="O89" s="534"/>
      <c r="P89" s="797"/>
      <c r="Q89" s="535"/>
      <c r="R89" s="536"/>
      <c r="S89" s="534"/>
      <c r="T89" s="534"/>
      <c r="U89" s="1408"/>
      <c r="V89" s="534"/>
      <c r="W89" s="536"/>
      <c r="X89" s="534"/>
      <c r="Y89" s="534"/>
      <c r="Z89" s="536"/>
      <c r="AA89" s="536"/>
      <c r="AB89" s="537"/>
      <c r="AC89" s="535"/>
      <c r="AD89" s="537"/>
      <c r="AF89" s="1457"/>
      <c r="AG89" s="1458"/>
      <c r="AH89" s="1459"/>
      <c r="AI89" s="1460"/>
      <c r="AJ89" s="350"/>
      <c r="AK89" s="1461"/>
      <c r="AL89" s="874"/>
      <c r="AM89" s="1607"/>
    </row>
    <row r="90" spans="1:39" s="865" customFormat="1">
      <c r="A90" s="594" t="s">
        <v>75</v>
      </c>
      <c r="B90" s="807">
        <f>M90</f>
        <v>25500000</v>
      </c>
      <c r="C90" s="532" t="s">
        <v>36</v>
      </c>
      <c r="D90" s="532" t="s">
        <v>864</v>
      </c>
      <c r="E90" s="532" t="s">
        <v>71</v>
      </c>
      <c r="F90" s="532" t="s">
        <v>74</v>
      </c>
      <c r="G90" s="2016" t="s">
        <v>72</v>
      </c>
      <c r="H90" s="1437" t="s">
        <v>1387</v>
      </c>
      <c r="I90" s="1435">
        <v>208</v>
      </c>
      <c r="J90" s="1074">
        <v>0</v>
      </c>
      <c r="K90" s="806"/>
      <c r="L90" s="1074">
        <v>579</v>
      </c>
      <c r="M90" s="807">
        <v>25500000</v>
      </c>
      <c r="N90" s="807">
        <v>669</v>
      </c>
      <c r="O90" s="807">
        <v>25500000</v>
      </c>
      <c r="P90" s="1221">
        <v>410</v>
      </c>
      <c r="Q90" s="879"/>
      <c r="R90" s="880"/>
      <c r="S90" s="523"/>
      <c r="T90" s="523"/>
      <c r="U90" s="807"/>
      <c r="V90" s="523"/>
      <c r="W90" s="880"/>
      <c r="X90" s="523">
        <v>3150000</v>
      </c>
      <c r="Y90" s="883">
        <v>4500000</v>
      </c>
      <c r="Z90" s="880"/>
      <c r="AA90" s="880"/>
      <c r="AB90" s="881"/>
      <c r="AC90" s="240">
        <f t="shared" ref="AC90" si="24">SUM(Q90:AB90)</f>
        <v>7650000</v>
      </c>
      <c r="AD90" s="183">
        <f t="shared" ref="AD90" si="25">O90-AC90</f>
        <v>17850000</v>
      </c>
      <c r="AF90" s="923">
        <v>208</v>
      </c>
      <c r="AG90" s="912" t="s">
        <v>470</v>
      </c>
      <c r="AH90" s="1134" t="s">
        <v>1198</v>
      </c>
      <c r="AI90" s="626">
        <f t="shared" ref="AI90:AI114" si="26">P90</f>
        <v>410</v>
      </c>
      <c r="AJ90" s="166">
        <f>19000000+6200000+1800000-1500000</f>
        <v>25500000</v>
      </c>
      <c r="AK90" s="921">
        <f t="shared" ref="AK90:AK114" si="27">AJ90-O90</f>
        <v>0</v>
      </c>
      <c r="AL90" s="874"/>
      <c r="AM90" s="1606">
        <f t="shared" ref="AM90:AM114" si="28">AJ90-M90</f>
        <v>0</v>
      </c>
    </row>
    <row r="91" spans="1:39" s="865" customFormat="1">
      <c r="A91" s="594" t="s">
        <v>75</v>
      </c>
      <c r="B91" s="807">
        <f t="shared" ref="B91:B114" si="29">M91</f>
        <v>56700000</v>
      </c>
      <c r="C91" s="532" t="s">
        <v>36</v>
      </c>
      <c r="D91" s="532" t="s">
        <v>864</v>
      </c>
      <c r="E91" s="532" t="s">
        <v>71</v>
      </c>
      <c r="F91" s="532" t="s">
        <v>74</v>
      </c>
      <c r="G91" s="2016" t="s">
        <v>72</v>
      </c>
      <c r="H91" s="1437" t="s">
        <v>1387</v>
      </c>
      <c r="I91" s="1435">
        <v>222</v>
      </c>
      <c r="J91" s="1074">
        <v>0</v>
      </c>
      <c r="K91" s="806"/>
      <c r="L91" s="1074">
        <v>289</v>
      </c>
      <c r="M91" s="807">
        <v>56700000</v>
      </c>
      <c r="N91" s="807">
        <v>284</v>
      </c>
      <c r="O91" s="807">
        <v>56700000</v>
      </c>
      <c r="P91" s="1221">
        <v>248</v>
      </c>
      <c r="Q91" s="879"/>
      <c r="R91" s="880"/>
      <c r="S91" s="883">
        <v>2880000</v>
      </c>
      <c r="T91" s="883">
        <v>5400000</v>
      </c>
      <c r="U91" s="883">
        <v>5400000</v>
      </c>
      <c r="V91" s="883">
        <v>5400000</v>
      </c>
      <c r="W91" s="883">
        <v>5400000</v>
      </c>
      <c r="X91" s="883">
        <v>5400000</v>
      </c>
      <c r="Y91" s="883">
        <v>5400000</v>
      </c>
      <c r="Z91" s="880"/>
      <c r="AA91" s="880"/>
      <c r="AB91" s="881"/>
      <c r="AC91" s="240">
        <f t="shared" ref="AC91:AC114" si="30">SUM(Q91:AB91)</f>
        <v>35280000</v>
      </c>
      <c r="AD91" s="183">
        <f t="shared" ref="AD91:AD114" si="31">O91-AC91</f>
        <v>21420000</v>
      </c>
      <c r="AF91" s="923">
        <v>222</v>
      </c>
      <c r="AG91" s="912" t="s">
        <v>471</v>
      </c>
      <c r="AH91" s="1134" t="s">
        <v>759</v>
      </c>
      <c r="AI91" s="626">
        <f t="shared" si="26"/>
        <v>248</v>
      </c>
      <c r="AJ91" s="166">
        <f>49500000+7200000</f>
        <v>56700000</v>
      </c>
      <c r="AK91" s="921">
        <f t="shared" si="27"/>
        <v>0</v>
      </c>
      <c r="AL91" s="874"/>
      <c r="AM91" s="1606">
        <f t="shared" si="28"/>
        <v>0</v>
      </c>
    </row>
    <row r="92" spans="1:39" s="630" customFormat="1">
      <c r="A92" s="594" t="s">
        <v>75</v>
      </c>
      <c r="B92" s="807">
        <f t="shared" si="29"/>
        <v>49400000</v>
      </c>
      <c r="C92" s="532" t="s">
        <v>36</v>
      </c>
      <c r="D92" s="532" t="s">
        <v>864</v>
      </c>
      <c r="E92" s="532" t="s">
        <v>71</v>
      </c>
      <c r="F92" s="532" t="s">
        <v>74</v>
      </c>
      <c r="G92" s="2016" t="s">
        <v>72</v>
      </c>
      <c r="H92" s="1437" t="s">
        <v>1387</v>
      </c>
      <c r="I92" s="1435">
        <v>223</v>
      </c>
      <c r="J92" s="1074">
        <v>0</v>
      </c>
      <c r="K92" s="806"/>
      <c r="L92" s="1074">
        <v>364</v>
      </c>
      <c r="M92" s="807">
        <v>49400000</v>
      </c>
      <c r="N92" s="807">
        <v>364</v>
      </c>
      <c r="O92" s="807">
        <v>49400000</v>
      </c>
      <c r="P92" s="1221">
        <v>288</v>
      </c>
      <c r="Q92" s="879"/>
      <c r="R92" s="523"/>
      <c r="S92" s="883"/>
      <c r="T92" s="883">
        <v>2253333</v>
      </c>
      <c r="U92" s="883">
        <v>5200000</v>
      </c>
      <c r="V92" s="883">
        <v>5200000</v>
      </c>
      <c r="W92" s="883">
        <v>5200000</v>
      </c>
      <c r="X92" s="883">
        <v>5200000</v>
      </c>
      <c r="Y92" s="883">
        <v>5200000</v>
      </c>
      <c r="Z92" s="880"/>
      <c r="AA92" s="880"/>
      <c r="AB92" s="881"/>
      <c r="AC92" s="240">
        <f t="shared" si="30"/>
        <v>28253333</v>
      </c>
      <c r="AD92" s="183">
        <f t="shared" si="31"/>
        <v>21146667</v>
      </c>
      <c r="AF92" s="923">
        <v>223</v>
      </c>
      <c r="AG92" s="912" t="s">
        <v>525</v>
      </c>
      <c r="AH92" s="1134" t="s">
        <v>838</v>
      </c>
      <c r="AI92" s="626">
        <f t="shared" si="26"/>
        <v>288</v>
      </c>
      <c r="AJ92" s="166">
        <f>55000000-3000000-2600000</f>
        <v>49400000</v>
      </c>
      <c r="AK92" s="921">
        <f t="shared" si="27"/>
        <v>0</v>
      </c>
      <c r="AL92" s="874"/>
      <c r="AM92" s="1606">
        <f t="shared" si="28"/>
        <v>0</v>
      </c>
    </row>
    <row r="93" spans="1:39" s="630" customFormat="1">
      <c r="A93" s="594" t="s">
        <v>75</v>
      </c>
      <c r="B93" s="807">
        <f t="shared" si="29"/>
        <v>84000000</v>
      </c>
      <c r="C93" s="532" t="s">
        <v>36</v>
      </c>
      <c r="D93" s="532" t="s">
        <v>864</v>
      </c>
      <c r="E93" s="532" t="s">
        <v>71</v>
      </c>
      <c r="F93" s="532" t="s">
        <v>74</v>
      </c>
      <c r="G93" s="2016" t="s">
        <v>72</v>
      </c>
      <c r="H93" s="1437" t="s">
        <v>1387</v>
      </c>
      <c r="I93" s="1435">
        <v>226</v>
      </c>
      <c r="J93" s="1074">
        <v>0</v>
      </c>
      <c r="K93" s="806"/>
      <c r="L93" s="1074">
        <v>252</v>
      </c>
      <c r="M93" s="807">
        <v>84000000</v>
      </c>
      <c r="N93" s="807">
        <v>280</v>
      </c>
      <c r="O93" s="807">
        <v>84000000</v>
      </c>
      <c r="P93" s="1221">
        <v>230</v>
      </c>
      <c r="Q93" s="879"/>
      <c r="R93" s="523"/>
      <c r="S93" s="883">
        <v>4266667</v>
      </c>
      <c r="T93" s="883">
        <v>8000000</v>
      </c>
      <c r="U93" s="883">
        <v>6133333</v>
      </c>
      <c r="V93" s="883">
        <v>8000000</v>
      </c>
      <c r="W93" s="883">
        <v>8000000</v>
      </c>
      <c r="X93" s="883">
        <v>8000000</v>
      </c>
      <c r="Y93" s="883">
        <v>8000000</v>
      </c>
      <c r="Z93" s="880"/>
      <c r="AA93" s="880"/>
      <c r="AB93" s="881"/>
      <c r="AC93" s="240">
        <f t="shared" si="30"/>
        <v>50400000</v>
      </c>
      <c r="AD93" s="183">
        <f t="shared" si="31"/>
        <v>33600000</v>
      </c>
      <c r="AF93" s="923">
        <v>226</v>
      </c>
      <c r="AG93" s="912" t="s">
        <v>472</v>
      </c>
      <c r="AH93" s="1134" t="s">
        <v>757</v>
      </c>
      <c r="AI93" s="626">
        <f t="shared" si="26"/>
        <v>230</v>
      </c>
      <c r="AJ93" s="166">
        <f>88000000-4000000</f>
        <v>84000000</v>
      </c>
      <c r="AK93" s="921">
        <f t="shared" si="27"/>
        <v>0</v>
      </c>
      <c r="AL93" s="874"/>
      <c r="AM93" s="1606">
        <f t="shared" si="28"/>
        <v>0</v>
      </c>
    </row>
    <row r="94" spans="1:39" s="630" customFormat="1">
      <c r="A94" s="594" t="s">
        <v>75</v>
      </c>
      <c r="B94" s="807">
        <f t="shared" si="29"/>
        <v>0</v>
      </c>
      <c r="C94" s="532" t="s">
        <v>36</v>
      </c>
      <c r="D94" s="532" t="s">
        <v>864</v>
      </c>
      <c r="E94" s="532" t="s">
        <v>71</v>
      </c>
      <c r="F94" s="532" t="s">
        <v>74</v>
      </c>
      <c r="G94" s="2016" t="s">
        <v>72</v>
      </c>
      <c r="H94" s="1437" t="s">
        <v>1387</v>
      </c>
      <c r="I94" s="1435">
        <v>236</v>
      </c>
      <c r="J94" s="1074">
        <v>0</v>
      </c>
      <c r="K94" s="806"/>
      <c r="L94" s="1074"/>
      <c r="M94" s="807"/>
      <c r="N94" s="1281"/>
      <c r="O94" s="523"/>
      <c r="P94" s="1221"/>
      <c r="Q94" s="879"/>
      <c r="R94" s="523"/>
      <c r="S94" s="883"/>
      <c r="T94" s="883"/>
      <c r="U94" s="883"/>
      <c r="V94" s="883"/>
      <c r="W94" s="883"/>
      <c r="X94" s="883"/>
      <c r="Y94" s="883"/>
      <c r="Z94" s="880"/>
      <c r="AA94" s="880"/>
      <c r="AB94" s="881"/>
      <c r="AC94" s="240">
        <f t="shared" si="30"/>
        <v>0</v>
      </c>
      <c r="AD94" s="183">
        <f t="shared" si="31"/>
        <v>0</v>
      </c>
      <c r="AF94" s="923">
        <v>236</v>
      </c>
      <c r="AG94" s="912" t="s">
        <v>473</v>
      </c>
      <c r="AH94" s="1134" t="s">
        <v>178</v>
      </c>
      <c r="AI94" s="626">
        <f t="shared" si="26"/>
        <v>0</v>
      </c>
      <c r="AJ94" s="166">
        <f>19000000-19000000</f>
        <v>0</v>
      </c>
      <c r="AK94" s="921">
        <f t="shared" si="27"/>
        <v>0</v>
      </c>
      <c r="AL94" s="874"/>
      <c r="AM94" s="1606">
        <f t="shared" si="28"/>
        <v>0</v>
      </c>
    </row>
    <row r="95" spans="1:39" s="630" customFormat="1">
      <c r="A95" s="594" t="s">
        <v>75</v>
      </c>
      <c r="B95" s="807">
        <f t="shared" si="29"/>
        <v>0</v>
      </c>
      <c r="C95" s="532" t="s">
        <v>36</v>
      </c>
      <c r="D95" s="532" t="s">
        <v>864</v>
      </c>
      <c r="E95" s="532" t="s">
        <v>71</v>
      </c>
      <c r="F95" s="532" t="s">
        <v>74</v>
      </c>
      <c r="G95" s="2016" t="s">
        <v>72</v>
      </c>
      <c r="H95" s="1437" t="s">
        <v>1387</v>
      </c>
      <c r="I95" s="1435">
        <v>245</v>
      </c>
      <c r="J95" s="1074">
        <v>0</v>
      </c>
      <c r="K95" s="806"/>
      <c r="L95" s="1074"/>
      <c r="M95" s="807"/>
      <c r="N95" s="1281"/>
      <c r="O95" s="523"/>
      <c r="P95" s="1221"/>
      <c r="Q95" s="879"/>
      <c r="R95" s="523"/>
      <c r="S95" s="883"/>
      <c r="T95" s="883"/>
      <c r="U95" s="883"/>
      <c r="V95" s="883"/>
      <c r="W95" s="883"/>
      <c r="X95" s="883"/>
      <c r="Y95" s="883"/>
      <c r="Z95" s="880"/>
      <c r="AA95" s="880"/>
      <c r="AB95" s="881"/>
      <c r="AC95" s="240">
        <f t="shared" si="30"/>
        <v>0</v>
      </c>
      <c r="AD95" s="183">
        <f t="shared" si="31"/>
        <v>0</v>
      </c>
      <c r="AF95" s="923">
        <v>245</v>
      </c>
      <c r="AG95" s="912" t="s">
        <v>474</v>
      </c>
      <c r="AH95" s="1134" t="s">
        <v>178</v>
      </c>
      <c r="AI95" s="626">
        <f t="shared" si="26"/>
        <v>0</v>
      </c>
      <c r="AJ95" s="166">
        <f>27500000-1250000-26250000</f>
        <v>0</v>
      </c>
      <c r="AK95" s="921">
        <f t="shared" si="27"/>
        <v>0</v>
      </c>
      <c r="AL95" s="874"/>
      <c r="AM95" s="1606">
        <f t="shared" si="28"/>
        <v>0</v>
      </c>
    </row>
    <row r="96" spans="1:39" s="630" customFormat="1">
      <c r="A96" s="594" t="s">
        <v>75</v>
      </c>
      <c r="B96" s="807">
        <f t="shared" si="29"/>
        <v>51040000</v>
      </c>
      <c r="C96" s="532" t="s">
        <v>36</v>
      </c>
      <c r="D96" s="532" t="s">
        <v>864</v>
      </c>
      <c r="E96" s="532" t="s">
        <v>71</v>
      </c>
      <c r="F96" s="532" t="s">
        <v>74</v>
      </c>
      <c r="G96" s="2016" t="s">
        <v>72</v>
      </c>
      <c r="H96" s="1437" t="s">
        <v>1387</v>
      </c>
      <c r="I96" s="1435">
        <v>262</v>
      </c>
      <c r="J96" s="1074">
        <v>0</v>
      </c>
      <c r="K96" s="806"/>
      <c r="L96" s="1074">
        <v>33</v>
      </c>
      <c r="M96" s="806">
        <v>51040000</v>
      </c>
      <c r="N96" s="1074">
        <v>138</v>
      </c>
      <c r="O96" s="806">
        <v>51040000</v>
      </c>
      <c r="P96" s="1293">
        <v>39</v>
      </c>
      <c r="Q96" s="879"/>
      <c r="R96" s="1152">
        <v>1237333</v>
      </c>
      <c r="S96" s="883">
        <v>4640000</v>
      </c>
      <c r="T96" s="883">
        <v>4640000</v>
      </c>
      <c r="U96" s="807">
        <v>4640000</v>
      </c>
      <c r="V96" s="883">
        <v>4640000</v>
      </c>
      <c r="W96" s="883">
        <v>4640000</v>
      </c>
      <c r="X96" s="883">
        <v>4640000</v>
      </c>
      <c r="Y96" s="883">
        <v>4640000</v>
      </c>
      <c r="Z96" s="880"/>
      <c r="AA96" s="880"/>
      <c r="AB96" s="881"/>
      <c r="AC96" s="240">
        <f t="shared" si="30"/>
        <v>33717333</v>
      </c>
      <c r="AD96" s="183">
        <f t="shared" si="31"/>
        <v>17322667</v>
      </c>
      <c r="AF96" s="923">
        <v>262</v>
      </c>
      <c r="AG96" s="912" t="s">
        <v>475</v>
      </c>
      <c r="AH96" s="1132" t="s">
        <v>961</v>
      </c>
      <c r="AI96" s="626">
        <f t="shared" si="26"/>
        <v>39</v>
      </c>
      <c r="AJ96" s="166">
        <v>51040000</v>
      </c>
      <c r="AK96" s="921">
        <f t="shared" si="27"/>
        <v>0</v>
      </c>
      <c r="AL96" s="874"/>
      <c r="AM96" s="1606">
        <f t="shared" si="28"/>
        <v>0</v>
      </c>
    </row>
    <row r="97" spans="1:39" s="630" customFormat="1">
      <c r="A97" s="594" t="s">
        <v>75</v>
      </c>
      <c r="B97" s="807">
        <f t="shared" si="29"/>
        <v>0</v>
      </c>
      <c r="C97" s="532" t="s">
        <v>36</v>
      </c>
      <c r="D97" s="532" t="s">
        <v>864</v>
      </c>
      <c r="E97" s="532" t="s">
        <v>71</v>
      </c>
      <c r="F97" s="532" t="s">
        <v>74</v>
      </c>
      <c r="G97" s="2016" t="s">
        <v>72</v>
      </c>
      <c r="H97" s="1437" t="s">
        <v>1387</v>
      </c>
      <c r="I97" s="1435" t="s">
        <v>349</v>
      </c>
      <c r="J97" s="1074"/>
      <c r="K97" s="806"/>
      <c r="L97" s="1074"/>
      <c r="M97" s="806"/>
      <c r="N97" s="1074"/>
      <c r="O97" s="806"/>
      <c r="P97" s="1293">
        <v>39</v>
      </c>
      <c r="Q97" s="879"/>
      <c r="R97" s="1152"/>
      <c r="S97" s="883"/>
      <c r="T97" s="883"/>
      <c r="U97" s="806"/>
      <c r="V97" s="883"/>
      <c r="W97" s="883"/>
      <c r="X97" s="883"/>
      <c r="Y97" s="883"/>
      <c r="Z97" s="880"/>
      <c r="AA97" s="880"/>
      <c r="AB97" s="881"/>
      <c r="AC97" s="240">
        <f t="shared" si="30"/>
        <v>0</v>
      </c>
      <c r="AD97" s="183">
        <f t="shared" si="31"/>
        <v>0</v>
      </c>
      <c r="AF97" s="923" t="s">
        <v>349</v>
      </c>
      <c r="AG97" s="912" t="s">
        <v>1240</v>
      </c>
      <c r="AH97" s="1132" t="s">
        <v>961</v>
      </c>
      <c r="AI97" s="626">
        <f t="shared" si="26"/>
        <v>39</v>
      </c>
      <c r="AJ97" s="166">
        <v>4640000</v>
      </c>
      <c r="AK97" s="921">
        <f t="shared" si="27"/>
        <v>4640000</v>
      </c>
      <c r="AL97" s="874"/>
      <c r="AM97" s="1606">
        <f t="shared" si="28"/>
        <v>4640000</v>
      </c>
    </row>
    <row r="98" spans="1:39" s="630" customFormat="1">
      <c r="A98" s="594" t="s">
        <v>75</v>
      </c>
      <c r="B98" s="807">
        <f t="shared" si="29"/>
        <v>34200000</v>
      </c>
      <c r="C98" s="532" t="s">
        <v>36</v>
      </c>
      <c r="D98" s="532" t="s">
        <v>864</v>
      </c>
      <c r="E98" s="532" t="s">
        <v>71</v>
      </c>
      <c r="F98" s="532" t="s">
        <v>74</v>
      </c>
      <c r="G98" s="2016" t="s">
        <v>72</v>
      </c>
      <c r="H98" s="1437" t="s">
        <v>1387</v>
      </c>
      <c r="I98" s="1435">
        <v>263</v>
      </c>
      <c r="J98" s="1074">
        <v>0</v>
      </c>
      <c r="K98" s="806"/>
      <c r="L98" s="1074">
        <v>358</v>
      </c>
      <c r="M98" s="807">
        <v>34200000</v>
      </c>
      <c r="N98" s="1281">
        <v>366</v>
      </c>
      <c r="O98" s="523">
        <v>34200000</v>
      </c>
      <c r="P98" s="1221">
        <v>294</v>
      </c>
      <c r="Q98" s="879"/>
      <c r="R98" s="1152"/>
      <c r="S98" s="883"/>
      <c r="T98" s="883">
        <v>2153333</v>
      </c>
      <c r="U98" s="883">
        <v>3800000</v>
      </c>
      <c r="V98" s="883">
        <v>3800000</v>
      </c>
      <c r="W98" s="883">
        <v>3800000</v>
      </c>
      <c r="X98" s="883">
        <v>3800000</v>
      </c>
      <c r="Y98" s="883">
        <f>1773333+1393333</f>
        <v>3166666</v>
      </c>
      <c r="Z98" s="880"/>
      <c r="AA98" s="880"/>
      <c r="AB98" s="881"/>
      <c r="AC98" s="240">
        <f t="shared" si="30"/>
        <v>20519999</v>
      </c>
      <c r="AD98" s="183">
        <f t="shared" si="31"/>
        <v>13680001</v>
      </c>
      <c r="AF98" s="923">
        <v>263</v>
      </c>
      <c r="AG98" s="912" t="s">
        <v>476</v>
      </c>
      <c r="AH98" s="1134" t="s">
        <v>839</v>
      </c>
      <c r="AI98" s="626">
        <f t="shared" si="26"/>
        <v>294</v>
      </c>
      <c r="AJ98" s="166">
        <f>38000000-3800000</f>
        <v>34200000</v>
      </c>
      <c r="AK98" s="921">
        <f t="shared" si="27"/>
        <v>0</v>
      </c>
      <c r="AL98" s="874"/>
      <c r="AM98" s="1606">
        <f t="shared" si="28"/>
        <v>0</v>
      </c>
    </row>
    <row r="99" spans="1:39" s="630" customFormat="1">
      <c r="A99" s="594" t="s">
        <v>75</v>
      </c>
      <c r="B99" s="807">
        <f t="shared" si="29"/>
        <v>41800000</v>
      </c>
      <c r="C99" s="532" t="s">
        <v>36</v>
      </c>
      <c r="D99" s="532" t="s">
        <v>864</v>
      </c>
      <c r="E99" s="532" t="s">
        <v>71</v>
      </c>
      <c r="F99" s="532" t="s">
        <v>74</v>
      </c>
      <c r="G99" s="2016" t="s">
        <v>72</v>
      </c>
      <c r="H99" s="1437" t="s">
        <v>1387</v>
      </c>
      <c r="I99" s="1435">
        <v>264</v>
      </c>
      <c r="J99" s="1074">
        <v>0</v>
      </c>
      <c r="K99" s="806"/>
      <c r="L99" s="1074">
        <v>32</v>
      </c>
      <c r="M99" s="806">
        <v>41800000</v>
      </c>
      <c r="N99" s="1074">
        <v>67</v>
      </c>
      <c r="O99" s="806">
        <v>41800000</v>
      </c>
      <c r="P99" s="1293">
        <v>47</v>
      </c>
      <c r="Q99" s="879"/>
      <c r="R99" s="1152">
        <v>1266667</v>
      </c>
      <c r="S99" s="883">
        <v>3800000</v>
      </c>
      <c r="T99" s="883">
        <v>3800000</v>
      </c>
      <c r="U99" s="807">
        <v>3800000</v>
      </c>
      <c r="V99" s="883">
        <v>3800000</v>
      </c>
      <c r="W99" s="883">
        <v>3800000</v>
      </c>
      <c r="X99" s="883">
        <v>3800000</v>
      </c>
      <c r="Y99" s="883">
        <v>3800000</v>
      </c>
      <c r="Z99" s="880"/>
      <c r="AA99" s="880"/>
      <c r="AB99" s="881"/>
      <c r="AC99" s="240">
        <f t="shared" si="30"/>
        <v>27866667</v>
      </c>
      <c r="AD99" s="183">
        <f t="shared" si="31"/>
        <v>13933333</v>
      </c>
      <c r="AF99" s="923">
        <v>264</v>
      </c>
      <c r="AG99" s="912" t="s">
        <v>477</v>
      </c>
      <c r="AH99" s="1132" t="s">
        <v>962</v>
      </c>
      <c r="AI99" s="626">
        <f t="shared" si="26"/>
        <v>47</v>
      </c>
      <c r="AJ99" s="166">
        <v>41800000</v>
      </c>
      <c r="AK99" s="921">
        <f t="shared" si="27"/>
        <v>0</v>
      </c>
      <c r="AL99" s="874"/>
      <c r="AM99" s="1606">
        <f t="shared" si="28"/>
        <v>0</v>
      </c>
    </row>
    <row r="100" spans="1:39" s="630" customFormat="1">
      <c r="A100" s="594" t="s">
        <v>75</v>
      </c>
      <c r="B100" s="807">
        <f t="shared" si="29"/>
        <v>62700000</v>
      </c>
      <c r="C100" s="532" t="s">
        <v>36</v>
      </c>
      <c r="D100" s="532" t="s">
        <v>864</v>
      </c>
      <c r="E100" s="532" t="s">
        <v>71</v>
      </c>
      <c r="F100" s="532" t="s">
        <v>74</v>
      </c>
      <c r="G100" s="2016" t="s">
        <v>72</v>
      </c>
      <c r="H100" s="1437" t="s">
        <v>1387</v>
      </c>
      <c r="I100" s="1435">
        <v>268</v>
      </c>
      <c r="J100" s="1074">
        <v>0</v>
      </c>
      <c r="K100" s="806"/>
      <c r="L100" s="1074">
        <v>51</v>
      </c>
      <c r="M100" s="806">
        <v>62700000</v>
      </c>
      <c r="N100" s="1074">
        <v>142</v>
      </c>
      <c r="O100" s="806">
        <v>62700000</v>
      </c>
      <c r="P100" s="1293">
        <v>38</v>
      </c>
      <c r="Q100" s="879"/>
      <c r="R100" s="1152">
        <v>1520000</v>
      </c>
      <c r="S100" s="883">
        <v>5700000</v>
      </c>
      <c r="T100" s="883">
        <v>5700000</v>
      </c>
      <c r="U100" s="883">
        <v>5700000</v>
      </c>
      <c r="V100" s="883">
        <v>5700000</v>
      </c>
      <c r="W100" s="883">
        <v>5700000</v>
      </c>
      <c r="X100" s="883">
        <v>5700000</v>
      </c>
      <c r="Y100" s="883">
        <v>5700000</v>
      </c>
      <c r="Z100" s="880"/>
      <c r="AA100" s="880"/>
      <c r="AB100" s="881"/>
      <c r="AC100" s="240">
        <f t="shared" si="30"/>
        <v>41420000</v>
      </c>
      <c r="AD100" s="183">
        <f t="shared" si="31"/>
        <v>21280000</v>
      </c>
      <c r="AF100" s="923">
        <v>268</v>
      </c>
      <c r="AG100" s="912" t="s">
        <v>478</v>
      </c>
      <c r="AH100" s="1132" t="s">
        <v>963</v>
      </c>
      <c r="AI100" s="626">
        <f t="shared" si="26"/>
        <v>38</v>
      </c>
      <c r="AJ100" s="166">
        <v>62700000</v>
      </c>
      <c r="AK100" s="921">
        <f t="shared" si="27"/>
        <v>0</v>
      </c>
      <c r="AL100" s="874"/>
      <c r="AM100" s="1606">
        <f t="shared" si="28"/>
        <v>0</v>
      </c>
    </row>
    <row r="101" spans="1:39" s="630" customFormat="1">
      <c r="A101" s="594" t="s">
        <v>75</v>
      </c>
      <c r="B101" s="807">
        <f t="shared" si="29"/>
        <v>25216667</v>
      </c>
      <c r="C101" s="532" t="s">
        <v>36</v>
      </c>
      <c r="D101" s="532" t="s">
        <v>864</v>
      </c>
      <c r="E101" s="532" t="s">
        <v>71</v>
      </c>
      <c r="F101" s="532" t="s">
        <v>74</v>
      </c>
      <c r="G101" s="2016" t="s">
        <v>72</v>
      </c>
      <c r="H101" s="1437" t="s">
        <v>1387</v>
      </c>
      <c r="I101" s="1435">
        <v>269</v>
      </c>
      <c r="J101" s="1074">
        <v>0</v>
      </c>
      <c r="K101" s="806"/>
      <c r="L101" s="1074">
        <v>581</v>
      </c>
      <c r="M101" s="807">
        <v>25216667</v>
      </c>
      <c r="N101" s="1281">
        <v>668</v>
      </c>
      <c r="O101" s="523">
        <v>25216667</v>
      </c>
      <c r="P101" s="1221">
        <v>406</v>
      </c>
      <c r="Q101" s="879"/>
      <c r="R101" s="1152"/>
      <c r="S101" s="883"/>
      <c r="T101" s="883"/>
      <c r="U101" s="883"/>
      <c r="V101" s="883"/>
      <c r="W101" s="883"/>
      <c r="X101" s="883">
        <v>3115000</v>
      </c>
      <c r="Y101" s="883">
        <v>4450000</v>
      </c>
      <c r="Z101" s="880"/>
      <c r="AA101" s="880"/>
      <c r="AB101" s="881"/>
      <c r="AC101" s="240">
        <f t="shared" si="30"/>
        <v>7565000</v>
      </c>
      <c r="AD101" s="183">
        <f t="shared" si="31"/>
        <v>17651667</v>
      </c>
      <c r="AF101" s="923">
        <v>269</v>
      </c>
      <c r="AG101" s="912" t="s">
        <v>479</v>
      </c>
      <c r="AH101" s="1134" t="s">
        <v>1197</v>
      </c>
      <c r="AI101" s="626">
        <f t="shared" si="26"/>
        <v>406</v>
      </c>
      <c r="AJ101" s="166">
        <f>38000000-9500000-1800000-1483333</f>
        <v>25216667</v>
      </c>
      <c r="AK101" s="921">
        <f t="shared" si="27"/>
        <v>0</v>
      </c>
      <c r="AL101" s="874"/>
      <c r="AM101" s="1606">
        <f t="shared" si="28"/>
        <v>0</v>
      </c>
    </row>
    <row r="102" spans="1:39" s="630" customFormat="1">
      <c r="A102" s="594" t="s">
        <v>75</v>
      </c>
      <c r="B102" s="807">
        <f t="shared" si="29"/>
        <v>101200000</v>
      </c>
      <c r="C102" s="532" t="s">
        <v>36</v>
      </c>
      <c r="D102" s="532" t="s">
        <v>864</v>
      </c>
      <c r="E102" s="532" t="s">
        <v>71</v>
      </c>
      <c r="F102" s="532" t="s">
        <v>74</v>
      </c>
      <c r="G102" s="2016" t="s">
        <v>72</v>
      </c>
      <c r="H102" s="1437" t="s">
        <v>1387</v>
      </c>
      <c r="I102" s="1435">
        <v>271</v>
      </c>
      <c r="J102" s="1074">
        <v>0</v>
      </c>
      <c r="K102" s="806"/>
      <c r="L102" s="1074">
        <v>188</v>
      </c>
      <c r="M102" s="806">
        <v>101200000</v>
      </c>
      <c r="N102" s="1074">
        <v>220</v>
      </c>
      <c r="O102" s="806">
        <v>101200000</v>
      </c>
      <c r="P102" s="1293">
        <v>192</v>
      </c>
      <c r="Q102" s="879"/>
      <c r="R102" s="1152"/>
      <c r="S102" s="883">
        <v>8280000</v>
      </c>
      <c r="T102" s="883">
        <v>9200000</v>
      </c>
      <c r="U102" s="883">
        <v>9200000</v>
      </c>
      <c r="V102" s="883">
        <v>9200000</v>
      </c>
      <c r="W102" s="883">
        <v>9200000</v>
      </c>
      <c r="X102" s="883">
        <v>9200000</v>
      </c>
      <c r="Y102" s="883">
        <v>9200000</v>
      </c>
      <c r="Z102" s="880"/>
      <c r="AA102" s="880"/>
      <c r="AB102" s="881"/>
      <c r="AC102" s="240">
        <f t="shared" si="30"/>
        <v>63480000</v>
      </c>
      <c r="AD102" s="183">
        <f t="shared" si="31"/>
        <v>37720000</v>
      </c>
      <c r="AF102" s="923">
        <v>271</v>
      </c>
      <c r="AG102" s="912" t="s">
        <v>480</v>
      </c>
      <c r="AH102" s="1132" t="s">
        <v>754</v>
      </c>
      <c r="AI102" s="626">
        <f t="shared" si="26"/>
        <v>192</v>
      </c>
      <c r="AJ102" s="166">
        <v>101200000</v>
      </c>
      <c r="AK102" s="921">
        <f t="shared" si="27"/>
        <v>0</v>
      </c>
      <c r="AL102" s="874"/>
      <c r="AM102" s="1606">
        <f t="shared" si="28"/>
        <v>0</v>
      </c>
    </row>
    <row r="103" spans="1:39" s="630" customFormat="1">
      <c r="A103" s="594" t="s">
        <v>75</v>
      </c>
      <c r="B103" s="807">
        <f t="shared" si="29"/>
        <v>5100000</v>
      </c>
      <c r="C103" s="532" t="s">
        <v>36</v>
      </c>
      <c r="D103" s="532" t="s">
        <v>864</v>
      </c>
      <c r="E103" s="532" t="s">
        <v>71</v>
      </c>
      <c r="F103" s="532" t="s">
        <v>74</v>
      </c>
      <c r="G103" s="2016" t="s">
        <v>72</v>
      </c>
      <c r="H103" s="1437" t="s">
        <v>1387</v>
      </c>
      <c r="I103" s="1435">
        <v>435</v>
      </c>
      <c r="J103" s="1074">
        <v>0</v>
      </c>
      <c r="K103" s="806"/>
      <c r="L103" s="1281">
        <v>270</v>
      </c>
      <c r="M103" s="806">
        <v>5100000</v>
      </c>
      <c r="N103" s="1281">
        <v>308</v>
      </c>
      <c r="O103" s="523">
        <v>5100000</v>
      </c>
      <c r="P103" s="1221">
        <v>258</v>
      </c>
      <c r="Q103" s="879"/>
      <c r="R103" s="523"/>
      <c r="S103" s="883"/>
      <c r="T103" s="883">
        <v>2040000</v>
      </c>
      <c r="U103" s="807">
        <v>1700000</v>
      </c>
      <c r="V103" s="883">
        <v>1360000</v>
      </c>
      <c r="W103" s="883"/>
      <c r="X103" s="883"/>
      <c r="Y103" s="883"/>
      <c r="Z103" s="880"/>
      <c r="AA103" s="880"/>
      <c r="AB103" s="881"/>
      <c r="AC103" s="240">
        <f t="shared" si="30"/>
        <v>5100000</v>
      </c>
      <c r="AD103" s="183">
        <f t="shared" si="31"/>
        <v>0</v>
      </c>
      <c r="AF103" s="923">
        <v>435</v>
      </c>
      <c r="AG103" s="912" t="s">
        <v>526</v>
      </c>
      <c r="AH103" s="1134" t="s">
        <v>818</v>
      </c>
      <c r="AI103" s="626">
        <f t="shared" si="26"/>
        <v>258</v>
      </c>
      <c r="AJ103" s="166">
        <v>5100000</v>
      </c>
      <c r="AK103" s="921">
        <f t="shared" si="27"/>
        <v>0</v>
      </c>
      <c r="AL103" s="874"/>
      <c r="AM103" s="1606">
        <f t="shared" si="28"/>
        <v>0</v>
      </c>
    </row>
    <row r="104" spans="1:39" s="630" customFormat="1">
      <c r="A104" s="594" t="s">
        <v>75</v>
      </c>
      <c r="B104" s="807">
        <f t="shared" si="29"/>
        <v>25900000</v>
      </c>
      <c r="C104" s="532" t="s">
        <v>36</v>
      </c>
      <c r="D104" s="532" t="s">
        <v>864</v>
      </c>
      <c r="E104" s="532" t="s">
        <v>71</v>
      </c>
      <c r="F104" s="532" t="s">
        <v>74</v>
      </c>
      <c r="G104" s="2016" t="s">
        <v>72</v>
      </c>
      <c r="H104" s="1437" t="s">
        <v>1387</v>
      </c>
      <c r="I104" s="1435">
        <v>436</v>
      </c>
      <c r="J104" s="1074">
        <v>0</v>
      </c>
      <c r="K104" s="806"/>
      <c r="L104" s="1281">
        <v>521</v>
      </c>
      <c r="M104" s="806">
        <v>25900000</v>
      </c>
      <c r="N104" s="1281">
        <v>570</v>
      </c>
      <c r="O104" s="523">
        <v>25900000</v>
      </c>
      <c r="P104" s="1221">
        <v>372</v>
      </c>
      <c r="Q104" s="879"/>
      <c r="R104" s="880"/>
      <c r="S104" s="523"/>
      <c r="T104" s="523"/>
      <c r="U104" s="807"/>
      <c r="V104" s="523"/>
      <c r="W104" s="883">
        <v>3946667</v>
      </c>
      <c r="X104" s="883">
        <v>3700000</v>
      </c>
      <c r="Y104" s="883">
        <v>3700000</v>
      </c>
      <c r="Z104" s="880"/>
      <c r="AA104" s="880"/>
      <c r="AB104" s="881"/>
      <c r="AC104" s="240">
        <f t="shared" si="30"/>
        <v>11346667</v>
      </c>
      <c r="AD104" s="183">
        <f t="shared" si="31"/>
        <v>14553333</v>
      </c>
      <c r="AF104" s="923">
        <v>436</v>
      </c>
      <c r="AG104" s="912" t="s">
        <v>801</v>
      </c>
      <c r="AH104" s="1134" t="s">
        <v>818</v>
      </c>
      <c r="AI104" s="626">
        <f t="shared" si="26"/>
        <v>372</v>
      </c>
      <c r="AJ104" s="166">
        <v>25900000</v>
      </c>
      <c r="AK104" s="921">
        <f t="shared" si="27"/>
        <v>0</v>
      </c>
      <c r="AL104" s="874"/>
      <c r="AM104" s="1606">
        <f t="shared" si="28"/>
        <v>0</v>
      </c>
    </row>
    <row r="105" spans="1:39" s="630" customFormat="1">
      <c r="A105" s="594" t="s">
        <v>75</v>
      </c>
      <c r="B105" s="807">
        <f t="shared" si="29"/>
        <v>33000000</v>
      </c>
      <c r="C105" s="532" t="s">
        <v>36</v>
      </c>
      <c r="D105" s="532" t="s">
        <v>864</v>
      </c>
      <c r="E105" s="532" t="s">
        <v>71</v>
      </c>
      <c r="F105" s="532" t="s">
        <v>74</v>
      </c>
      <c r="G105" s="2016" t="s">
        <v>72</v>
      </c>
      <c r="H105" s="1437" t="s">
        <v>1387</v>
      </c>
      <c r="I105" s="1402">
        <v>543</v>
      </c>
      <c r="J105" s="1074"/>
      <c r="K105" s="806"/>
      <c r="L105" s="1281">
        <v>593</v>
      </c>
      <c r="M105" s="806">
        <v>33000000</v>
      </c>
      <c r="N105" s="1281">
        <v>687</v>
      </c>
      <c r="O105" s="523">
        <v>33000000</v>
      </c>
      <c r="P105" s="1221">
        <v>419</v>
      </c>
      <c r="Q105" s="879"/>
      <c r="R105" s="880"/>
      <c r="S105" s="523"/>
      <c r="T105" s="523"/>
      <c r="U105" s="807"/>
      <c r="V105" s="523"/>
      <c r="W105" s="880"/>
      <c r="X105" s="883">
        <v>2800000</v>
      </c>
      <c r="Y105" s="883">
        <v>6000000</v>
      </c>
      <c r="Z105" s="880"/>
      <c r="AA105" s="880"/>
      <c r="AB105" s="881"/>
      <c r="AC105" s="240">
        <f t="shared" si="30"/>
        <v>8800000</v>
      </c>
      <c r="AD105" s="183">
        <f t="shared" si="31"/>
        <v>24200000</v>
      </c>
      <c r="AF105" s="923">
        <v>543</v>
      </c>
      <c r="AG105" s="912" t="s">
        <v>1122</v>
      </c>
      <c r="AH105" s="1132" t="s">
        <v>1204</v>
      </c>
      <c r="AI105" s="626">
        <f t="shared" si="26"/>
        <v>419</v>
      </c>
      <c r="AJ105" s="154">
        <f>36000000-3000000</f>
        <v>33000000</v>
      </c>
      <c r="AK105" s="921">
        <f t="shared" si="27"/>
        <v>0</v>
      </c>
      <c r="AL105" s="874"/>
      <c r="AM105" s="1606">
        <f t="shared" si="28"/>
        <v>0</v>
      </c>
    </row>
    <row r="106" spans="1:39" s="630" customFormat="1">
      <c r="A106" s="594" t="s">
        <v>75</v>
      </c>
      <c r="B106" s="807">
        <f t="shared" si="29"/>
        <v>27940000</v>
      </c>
      <c r="C106" s="532" t="s">
        <v>36</v>
      </c>
      <c r="D106" s="532" t="s">
        <v>864</v>
      </c>
      <c r="E106" s="532" t="s">
        <v>71</v>
      </c>
      <c r="F106" s="532" t="s">
        <v>74</v>
      </c>
      <c r="G106" s="2016" t="s">
        <v>72</v>
      </c>
      <c r="H106" s="1437" t="s">
        <v>1387</v>
      </c>
      <c r="I106" s="1402">
        <v>544</v>
      </c>
      <c r="J106" s="1074"/>
      <c r="K106" s="806"/>
      <c r="L106" s="1281">
        <v>575</v>
      </c>
      <c r="M106" s="806">
        <f>30480000-2540000</f>
        <v>27940000</v>
      </c>
      <c r="N106" s="1281">
        <v>672</v>
      </c>
      <c r="O106" s="523">
        <v>27940000</v>
      </c>
      <c r="P106" s="1221">
        <v>420</v>
      </c>
      <c r="Q106" s="879"/>
      <c r="R106" s="880"/>
      <c r="S106" s="523"/>
      <c r="T106" s="523"/>
      <c r="U106" s="807"/>
      <c r="V106" s="523"/>
      <c r="W106" s="880"/>
      <c r="X106" s="883">
        <v>3556000</v>
      </c>
      <c r="Y106" s="883">
        <v>5080000</v>
      </c>
      <c r="Z106" s="880"/>
      <c r="AA106" s="880"/>
      <c r="AB106" s="881"/>
      <c r="AC106" s="240">
        <f t="shared" si="30"/>
        <v>8636000</v>
      </c>
      <c r="AD106" s="183">
        <f t="shared" si="31"/>
        <v>19304000</v>
      </c>
      <c r="AF106" s="923">
        <v>544</v>
      </c>
      <c r="AG106" s="912" t="s">
        <v>1123</v>
      </c>
      <c r="AH106" s="1134" t="s">
        <v>1200</v>
      </c>
      <c r="AI106" s="626">
        <f t="shared" si="26"/>
        <v>420</v>
      </c>
      <c r="AJ106" s="166">
        <f>30480000-2540000</f>
        <v>27940000</v>
      </c>
      <c r="AK106" s="921">
        <f t="shared" si="27"/>
        <v>0</v>
      </c>
      <c r="AL106" s="874"/>
      <c r="AM106" s="1606">
        <f t="shared" si="28"/>
        <v>0</v>
      </c>
    </row>
    <row r="107" spans="1:39" s="630" customFormat="1">
      <c r="A107" s="594" t="s">
        <v>75</v>
      </c>
      <c r="B107" s="807">
        <f t="shared" si="29"/>
        <v>23346667</v>
      </c>
      <c r="C107" s="532" t="s">
        <v>36</v>
      </c>
      <c r="D107" s="532" t="s">
        <v>864</v>
      </c>
      <c r="E107" s="532" t="s">
        <v>71</v>
      </c>
      <c r="F107" s="532" t="s">
        <v>74</v>
      </c>
      <c r="G107" s="2016" t="s">
        <v>72</v>
      </c>
      <c r="H107" s="1437" t="s">
        <v>1387</v>
      </c>
      <c r="I107" s="1402">
        <v>545</v>
      </c>
      <c r="J107" s="1074"/>
      <c r="K107" s="806"/>
      <c r="L107" s="1281">
        <v>582</v>
      </c>
      <c r="M107" s="806">
        <v>23346667</v>
      </c>
      <c r="N107" s="1281">
        <v>662</v>
      </c>
      <c r="O107" s="523">
        <v>23346667</v>
      </c>
      <c r="P107" s="1221">
        <v>413</v>
      </c>
      <c r="Q107" s="879"/>
      <c r="R107" s="880"/>
      <c r="S107" s="523"/>
      <c r="T107" s="523"/>
      <c r="U107" s="807"/>
      <c r="V107" s="523"/>
      <c r="W107" s="880"/>
      <c r="X107" s="883">
        <v>3433333</v>
      </c>
      <c r="Y107" s="883">
        <v>4120000</v>
      </c>
      <c r="Z107" s="880"/>
      <c r="AA107" s="880"/>
      <c r="AB107" s="881"/>
      <c r="AC107" s="240">
        <f t="shared" si="30"/>
        <v>7553333</v>
      </c>
      <c r="AD107" s="183">
        <f t="shared" si="31"/>
        <v>15793334</v>
      </c>
      <c r="AF107" s="923">
        <v>545</v>
      </c>
      <c r="AG107" s="912" t="s">
        <v>1150</v>
      </c>
      <c r="AH107" s="1134" t="s">
        <v>957</v>
      </c>
      <c r="AI107" s="626">
        <f t="shared" si="26"/>
        <v>413</v>
      </c>
      <c r="AJ107" s="166">
        <f>24720000-1373333</f>
        <v>23346667</v>
      </c>
      <c r="AK107" s="921">
        <f t="shared" si="27"/>
        <v>0</v>
      </c>
      <c r="AL107" s="874"/>
      <c r="AM107" s="1606">
        <f t="shared" si="28"/>
        <v>0</v>
      </c>
    </row>
    <row r="108" spans="1:39" s="630" customFormat="1">
      <c r="A108" s="594" t="s">
        <v>75</v>
      </c>
      <c r="B108" s="807">
        <f t="shared" si="29"/>
        <v>23346667</v>
      </c>
      <c r="C108" s="532" t="s">
        <v>36</v>
      </c>
      <c r="D108" s="532" t="s">
        <v>864</v>
      </c>
      <c r="E108" s="532" t="s">
        <v>71</v>
      </c>
      <c r="F108" s="532" t="s">
        <v>74</v>
      </c>
      <c r="G108" s="2016" t="s">
        <v>72</v>
      </c>
      <c r="H108" s="1437" t="s">
        <v>1387</v>
      </c>
      <c r="I108" s="1402">
        <v>546</v>
      </c>
      <c r="J108" s="1074"/>
      <c r="K108" s="806"/>
      <c r="L108" s="1281">
        <v>583</v>
      </c>
      <c r="M108" s="806">
        <v>23346667</v>
      </c>
      <c r="N108" s="1281">
        <v>661</v>
      </c>
      <c r="O108" s="523">
        <v>23346667</v>
      </c>
      <c r="P108" s="1221">
        <v>407</v>
      </c>
      <c r="Q108" s="879"/>
      <c r="R108" s="880"/>
      <c r="S108" s="523"/>
      <c r="T108" s="523"/>
      <c r="U108" s="807"/>
      <c r="V108" s="523"/>
      <c r="W108" s="880"/>
      <c r="X108" s="883">
        <v>3433333</v>
      </c>
      <c r="Y108" s="883">
        <v>4120000</v>
      </c>
      <c r="Z108" s="880"/>
      <c r="AA108" s="880"/>
      <c r="AB108" s="881"/>
      <c r="AC108" s="240">
        <f t="shared" si="30"/>
        <v>7553333</v>
      </c>
      <c r="AD108" s="183">
        <f t="shared" si="31"/>
        <v>15793334</v>
      </c>
      <c r="AF108" s="923">
        <v>546</v>
      </c>
      <c r="AG108" s="912" t="s">
        <v>1150</v>
      </c>
      <c r="AH108" s="1134" t="s">
        <v>951</v>
      </c>
      <c r="AI108" s="626">
        <f t="shared" si="26"/>
        <v>407</v>
      </c>
      <c r="AJ108" s="166">
        <f>24720000-1373333</f>
        <v>23346667</v>
      </c>
      <c r="AK108" s="921">
        <f t="shared" si="27"/>
        <v>0</v>
      </c>
      <c r="AL108" s="874"/>
      <c r="AM108" s="1606">
        <f t="shared" si="28"/>
        <v>0</v>
      </c>
    </row>
    <row r="109" spans="1:39" s="630" customFormat="1">
      <c r="A109" s="594" t="s">
        <v>75</v>
      </c>
      <c r="B109" s="807">
        <f t="shared" si="29"/>
        <v>23346667</v>
      </c>
      <c r="C109" s="532" t="s">
        <v>36</v>
      </c>
      <c r="D109" s="532" t="s">
        <v>864</v>
      </c>
      <c r="E109" s="532" t="s">
        <v>71</v>
      </c>
      <c r="F109" s="532" t="s">
        <v>74</v>
      </c>
      <c r="G109" s="2016" t="s">
        <v>72</v>
      </c>
      <c r="H109" s="1437" t="s">
        <v>1387</v>
      </c>
      <c r="I109" s="1402">
        <v>547</v>
      </c>
      <c r="J109" s="1074"/>
      <c r="K109" s="806"/>
      <c r="L109" s="1281">
        <v>588</v>
      </c>
      <c r="M109" s="806">
        <v>23346667</v>
      </c>
      <c r="N109" s="1281">
        <v>673</v>
      </c>
      <c r="O109" s="523">
        <v>23346667</v>
      </c>
      <c r="P109" s="1221">
        <v>414</v>
      </c>
      <c r="Q109" s="879"/>
      <c r="R109" s="880"/>
      <c r="S109" s="523"/>
      <c r="T109" s="523"/>
      <c r="U109" s="807"/>
      <c r="V109" s="523"/>
      <c r="W109" s="880"/>
      <c r="X109" s="883">
        <v>2884000</v>
      </c>
      <c r="Y109" s="883">
        <v>4120000</v>
      </c>
      <c r="Z109" s="880"/>
      <c r="AA109" s="880"/>
      <c r="AB109" s="881"/>
      <c r="AC109" s="240">
        <f t="shared" si="30"/>
        <v>7004000</v>
      </c>
      <c r="AD109" s="183">
        <f t="shared" si="31"/>
        <v>16342667</v>
      </c>
      <c r="AF109" s="923">
        <v>547</v>
      </c>
      <c r="AG109" s="912" t="s">
        <v>1150</v>
      </c>
      <c r="AH109" s="1134" t="s">
        <v>1201</v>
      </c>
      <c r="AI109" s="626">
        <f t="shared" si="26"/>
        <v>414</v>
      </c>
      <c r="AJ109" s="166">
        <f>24720000-1373333</f>
        <v>23346667</v>
      </c>
      <c r="AK109" s="921">
        <f t="shared" si="27"/>
        <v>0</v>
      </c>
      <c r="AL109" s="874"/>
      <c r="AM109" s="1606">
        <f t="shared" si="28"/>
        <v>0</v>
      </c>
    </row>
    <row r="110" spans="1:39" s="630" customFormat="1">
      <c r="A110" s="594" t="s">
        <v>75</v>
      </c>
      <c r="B110" s="807">
        <f t="shared" si="29"/>
        <v>20600000</v>
      </c>
      <c r="C110" s="532" t="s">
        <v>36</v>
      </c>
      <c r="D110" s="532" t="s">
        <v>864</v>
      </c>
      <c r="E110" s="532" t="s">
        <v>71</v>
      </c>
      <c r="F110" s="532" t="s">
        <v>74</v>
      </c>
      <c r="G110" s="2016" t="s">
        <v>72</v>
      </c>
      <c r="H110" s="1437" t="s">
        <v>1387</v>
      </c>
      <c r="I110" s="1402">
        <v>548</v>
      </c>
      <c r="J110" s="1074"/>
      <c r="K110" s="806"/>
      <c r="L110" s="1281">
        <v>584</v>
      </c>
      <c r="M110" s="806">
        <v>20600000</v>
      </c>
      <c r="N110" s="1281">
        <v>677</v>
      </c>
      <c r="O110" s="523">
        <v>20600000</v>
      </c>
      <c r="P110" s="1221">
        <v>409</v>
      </c>
      <c r="Q110" s="879"/>
      <c r="R110" s="880"/>
      <c r="S110" s="523"/>
      <c r="T110" s="523"/>
      <c r="U110" s="807"/>
      <c r="V110" s="523"/>
      <c r="W110" s="880"/>
      <c r="X110" s="883">
        <v>2884000</v>
      </c>
      <c r="Y110" s="883">
        <v>4120000</v>
      </c>
      <c r="Z110" s="880"/>
      <c r="AA110" s="880"/>
      <c r="AB110" s="881"/>
      <c r="AC110" s="240">
        <f t="shared" si="30"/>
        <v>7004000</v>
      </c>
      <c r="AD110" s="183">
        <f t="shared" si="31"/>
        <v>13596000</v>
      </c>
      <c r="AF110" s="923">
        <v>548</v>
      </c>
      <c r="AG110" s="912" t="s">
        <v>1150</v>
      </c>
      <c r="AH110" s="1134" t="s">
        <v>1203</v>
      </c>
      <c r="AI110" s="626">
        <f t="shared" si="26"/>
        <v>409</v>
      </c>
      <c r="AJ110" s="166">
        <f>22200000-1600000</f>
        <v>20600000</v>
      </c>
      <c r="AK110" s="921">
        <f t="shared" si="27"/>
        <v>0</v>
      </c>
      <c r="AL110" s="874"/>
      <c r="AM110" s="1606">
        <f t="shared" si="28"/>
        <v>0</v>
      </c>
    </row>
    <row r="111" spans="1:39" s="630" customFormat="1">
      <c r="A111" s="594" t="s">
        <v>75</v>
      </c>
      <c r="B111" s="807">
        <f t="shared" si="29"/>
        <v>33405000</v>
      </c>
      <c r="C111" s="532" t="s">
        <v>36</v>
      </c>
      <c r="D111" s="532" t="s">
        <v>864</v>
      </c>
      <c r="E111" s="532" t="s">
        <v>71</v>
      </c>
      <c r="F111" s="532" t="s">
        <v>74</v>
      </c>
      <c r="G111" s="2016" t="s">
        <v>72</v>
      </c>
      <c r="H111" s="1437" t="s">
        <v>1387</v>
      </c>
      <c r="I111" s="1402">
        <v>549</v>
      </c>
      <c r="J111" s="1074"/>
      <c r="K111" s="806"/>
      <c r="L111" s="1281">
        <v>589</v>
      </c>
      <c r="M111" s="806">
        <v>33405000</v>
      </c>
      <c r="N111" s="1281">
        <v>676</v>
      </c>
      <c r="O111" s="523">
        <v>33405000</v>
      </c>
      <c r="P111" s="1221">
        <v>424</v>
      </c>
      <c r="Q111" s="879"/>
      <c r="R111" s="880"/>
      <c r="S111" s="523"/>
      <c r="T111" s="523"/>
      <c r="U111" s="807"/>
      <c r="V111" s="523"/>
      <c r="W111" s="880"/>
      <c r="X111" s="883">
        <v>3930000</v>
      </c>
      <c r="Y111" s="883">
        <v>5895000</v>
      </c>
      <c r="Z111" s="880"/>
      <c r="AA111" s="880"/>
      <c r="AB111" s="881"/>
      <c r="AC111" s="240">
        <f t="shared" si="30"/>
        <v>9825000</v>
      </c>
      <c r="AD111" s="183">
        <f t="shared" si="31"/>
        <v>23580000</v>
      </c>
      <c r="AF111" s="923">
        <v>549</v>
      </c>
      <c r="AG111" s="912" t="s">
        <v>1133</v>
      </c>
      <c r="AH111" s="1134" t="s">
        <v>1202</v>
      </c>
      <c r="AI111" s="626">
        <f t="shared" si="26"/>
        <v>424</v>
      </c>
      <c r="AJ111" s="166">
        <f>35370000-1965000</f>
        <v>33405000</v>
      </c>
      <c r="AK111" s="921">
        <f t="shared" si="27"/>
        <v>0</v>
      </c>
      <c r="AL111" s="874"/>
      <c r="AM111" s="1606">
        <f t="shared" si="28"/>
        <v>0</v>
      </c>
    </row>
    <row r="112" spans="1:39" s="630" customFormat="1">
      <c r="A112" s="594" t="s">
        <v>75</v>
      </c>
      <c r="B112" s="807">
        <f t="shared" si="29"/>
        <v>12360000</v>
      </c>
      <c r="C112" s="532" t="s">
        <v>36</v>
      </c>
      <c r="D112" s="532" t="s">
        <v>864</v>
      </c>
      <c r="E112" s="532" t="s">
        <v>71</v>
      </c>
      <c r="F112" s="532" t="s">
        <v>74</v>
      </c>
      <c r="G112" s="2016" t="s">
        <v>72</v>
      </c>
      <c r="H112" s="1437" t="s">
        <v>1387</v>
      </c>
      <c r="I112" s="1402">
        <v>568</v>
      </c>
      <c r="J112" s="1074">
        <v>602</v>
      </c>
      <c r="K112" s="806">
        <v>12360000</v>
      </c>
      <c r="L112" s="1281">
        <v>687</v>
      </c>
      <c r="M112" s="806">
        <v>12360000</v>
      </c>
      <c r="N112" s="1281">
        <v>861</v>
      </c>
      <c r="O112" s="523">
        <v>12360000</v>
      </c>
      <c r="P112" s="1221">
        <v>465</v>
      </c>
      <c r="Q112" s="879"/>
      <c r="R112" s="880"/>
      <c r="S112" s="523"/>
      <c r="T112" s="523"/>
      <c r="U112" s="807"/>
      <c r="V112" s="523"/>
      <c r="W112" s="880"/>
      <c r="X112" s="523"/>
      <c r="Y112" s="883"/>
      <c r="Z112" s="880"/>
      <c r="AA112" s="880"/>
      <c r="AB112" s="881"/>
      <c r="AC112" s="240">
        <f t="shared" si="30"/>
        <v>0</v>
      </c>
      <c r="AD112" s="183">
        <f t="shared" si="31"/>
        <v>12360000</v>
      </c>
      <c r="AF112" s="923">
        <v>568</v>
      </c>
      <c r="AG112" s="912" t="s">
        <v>1241</v>
      </c>
      <c r="AH112" s="1134" t="s">
        <v>1376</v>
      </c>
      <c r="AI112" s="626">
        <f t="shared" si="26"/>
        <v>465</v>
      </c>
      <c r="AJ112" s="166">
        <v>16480000</v>
      </c>
      <c r="AK112" s="921">
        <f t="shared" si="27"/>
        <v>4120000</v>
      </c>
      <c r="AL112" s="874"/>
      <c r="AM112" s="1606">
        <f t="shared" si="28"/>
        <v>4120000</v>
      </c>
    </row>
    <row r="113" spans="1:39" s="630" customFormat="1">
      <c r="A113" s="594" t="s">
        <v>75</v>
      </c>
      <c r="B113" s="807">
        <f t="shared" si="29"/>
        <v>0</v>
      </c>
      <c r="C113" s="532" t="s">
        <v>36</v>
      </c>
      <c r="D113" s="532" t="s">
        <v>864</v>
      </c>
      <c r="E113" s="532" t="s">
        <v>71</v>
      </c>
      <c r="F113" s="532" t="s">
        <v>74</v>
      </c>
      <c r="G113" s="2016" t="s">
        <v>72</v>
      </c>
      <c r="H113" s="1437" t="s">
        <v>1387</v>
      </c>
      <c r="I113" s="1402" t="s">
        <v>178</v>
      </c>
      <c r="J113" s="1074"/>
      <c r="K113" s="806"/>
      <c r="L113" s="1281"/>
      <c r="M113" s="806"/>
      <c r="N113" s="1281"/>
      <c r="O113" s="523"/>
      <c r="P113" s="1221"/>
      <c r="Q113" s="879"/>
      <c r="R113" s="880"/>
      <c r="S113" s="523"/>
      <c r="T113" s="523"/>
      <c r="U113" s="807"/>
      <c r="V113" s="523"/>
      <c r="W113" s="880"/>
      <c r="X113" s="523"/>
      <c r="Y113" s="523"/>
      <c r="Z113" s="880"/>
      <c r="AA113" s="880"/>
      <c r="AB113" s="881"/>
      <c r="AC113" s="240">
        <f t="shared" si="30"/>
        <v>0</v>
      </c>
      <c r="AD113" s="183">
        <f t="shared" si="31"/>
        <v>0</v>
      </c>
      <c r="AF113" s="923"/>
      <c r="AG113" s="912"/>
      <c r="AH113" s="1134"/>
      <c r="AI113" s="626">
        <f t="shared" si="26"/>
        <v>0</v>
      </c>
      <c r="AJ113" s="166"/>
      <c r="AK113" s="921">
        <f t="shared" si="27"/>
        <v>0</v>
      </c>
      <c r="AL113" s="874"/>
      <c r="AM113" s="1606">
        <f t="shared" si="28"/>
        <v>0</v>
      </c>
    </row>
    <row r="114" spans="1:39" s="630" customFormat="1">
      <c r="A114" s="594" t="s">
        <v>75</v>
      </c>
      <c r="B114" s="807">
        <f t="shared" si="29"/>
        <v>0</v>
      </c>
      <c r="C114" s="532" t="s">
        <v>36</v>
      </c>
      <c r="D114" s="532" t="s">
        <v>864</v>
      </c>
      <c r="E114" s="532" t="s">
        <v>71</v>
      </c>
      <c r="F114" s="532" t="s">
        <v>74</v>
      </c>
      <c r="G114" s="2016" t="s">
        <v>72</v>
      </c>
      <c r="H114" s="1437" t="s">
        <v>1387</v>
      </c>
      <c r="I114" s="1402" t="s">
        <v>178</v>
      </c>
      <c r="J114" s="1074"/>
      <c r="K114" s="806"/>
      <c r="L114" s="1281"/>
      <c r="M114" s="806"/>
      <c r="N114" s="1281"/>
      <c r="O114" s="523"/>
      <c r="P114" s="1221"/>
      <c r="Q114" s="879"/>
      <c r="R114" s="880"/>
      <c r="S114" s="523"/>
      <c r="T114" s="523"/>
      <c r="U114" s="807"/>
      <c r="V114" s="523"/>
      <c r="W114" s="880"/>
      <c r="X114" s="523"/>
      <c r="Y114" s="523"/>
      <c r="Z114" s="880"/>
      <c r="AA114" s="880"/>
      <c r="AB114" s="881"/>
      <c r="AC114" s="240">
        <f t="shared" si="30"/>
        <v>0</v>
      </c>
      <c r="AD114" s="183">
        <f t="shared" si="31"/>
        <v>0</v>
      </c>
      <c r="AF114" s="923" t="s">
        <v>349</v>
      </c>
      <c r="AG114" s="912" t="s">
        <v>520</v>
      </c>
      <c r="AH114" s="1134" t="s">
        <v>178</v>
      </c>
      <c r="AI114" s="626">
        <f t="shared" si="26"/>
        <v>0</v>
      </c>
      <c r="AJ114" s="166">
        <f>9700000-9700000</f>
        <v>0</v>
      </c>
      <c r="AK114" s="921">
        <f t="shared" si="27"/>
        <v>0</v>
      </c>
      <c r="AL114" s="874"/>
      <c r="AM114" s="1606">
        <f t="shared" si="28"/>
        <v>0</v>
      </c>
    </row>
    <row r="115" spans="1:39" s="8" customFormat="1">
      <c r="A115" s="168" t="s">
        <v>24</v>
      </c>
      <c r="B115" s="276">
        <f>B89-SUM(B90:B114)</f>
        <v>8760000</v>
      </c>
      <c r="C115" s="84"/>
      <c r="D115" s="84"/>
      <c r="E115" s="84"/>
      <c r="F115" s="84"/>
      <c r="G115" s="1951"/>
      <c r="H115" s="1957"/>
      <c r="I115" s="1065"/>
      <c r="J115" s="1075"/>
      <c r="K115" s="289"/>
      <c r="L115" s="1285"/>
      <c r="M115" s="121">
        <f>SUM(M90:M114)</f>
        <v>760101668</v>
      </c>
      <c r="N115" s="1285"/>
      <c r="O115" s="121">
        <f>SUM(O90:O114)</f>
        <v>760101668</v>
      </c>
      <c r="P115" s="1296"/>
      <c r="Q115" s="121">
        <f t="shared" ref="Q115:AD115" si="32">SUM(Q90:Q114)</f>
        <v>0</v>
      </c>
      <c r="R115" s="121">
        <f t="shared" si="32"/>
        <v>4024000</v>
      </c>
      <c r="S115" s="121">
        <f t="shared" si="32"/>
        <v>29566667</v>
      </c>
      <c r="T115" s="121">
        <f t="shared" si="32"/>
        <v>43186666</v>
      </c>
      <c r="U115" s="121">
        <f t="shared" si="32"/>
        <v>45573333</v>
      </c>
      <c r="V115" s="121">
        <f t="shared" si="32"/>
        <v>47100000</v>
      </c>
      <c r="W115" s="121">
        <f t="shared" si="32"/>
        <v>49686667</v>
      </c>
      <c r="X115" s="121">
        <f t="shared" si="32"/>
        <v>78625666</v>
      </c>
      <c r="Y115" s="121">
        <f t="shared" si="32"/>
        <v>91211666</v>
      </c>
      <c r="Z115" s="121">
        <f t="shared" si="32"/>
        <v>0</v>
      </c>
      <c r="AA115" s="121">
        <f t="shared" si="32"/>
        <v>0</v>
      </c>
      <c r="AB115" s="121">
        <f t="shared" si="32"/>
        <v>0</v>
      </c>
      <c r="AC115" s="14">
        <f t="shared" si="32"/>
        <v>388974665</v>
      </c>
      <c r="AD115" s="14">
        <f t="shared" si="32"/>
        <v>371127003</v>
      </c>
      <c r="AF115" s="907"/>
      <c r="AG115" s="897"/>
      <c r="AH115" s="1135"/>
      <c r="AI115" s="101"/>
      <c r="AJ115" s="14">
        <f>SUM(AJ90:AJ114)</f>
        <v>768861668</v>
      </c>
      <c r="AK115" s="182">
        <f>SUM(AK90:AK114)</f>
        <v>8760000</v>
      </c>
      <c r="AL115" s="874">
        <f>B89-AJ115</f>
        <v>0</v>
      </c>
      <c r="AM115" s="1414"/>
    </row>
    <row r="116" spans="1:39" s="6" customFormat="1" ht="30" customHeight="1">
      <c r="A116" s="639" t="s">
        <v>76</v>
      </c>
      <c r="B116" s="504">
        <f>222860000-5133333</f>
        <v>217726667</v>
      </c>
      <c r="C116" s="1304" t="s">
        <v>36</v>
      </c>
      <c r="D116" s="1542" t="s">
        <v>864</v>
      </c>
      <c r="E116" s="1542" t="s">
        <v>71</v>
      </c>
      <c r="F116" s="1542" t="s">
        <v>439</v>
      </c>
      <c r="G116" s="2026" t="s">
        <v>72</v>
      </c>
      <c r="H116" s="2025" t="s">
        <v>1387</v>
      </c>
      <c r="I116" s="1439"/>
      <c r="J116" s="540">
        <v>0</v>
      </c>
      <c r="K116" s="557"/>
      <c r="L116" s="1080"/>
      <c r="M116" s="1081"/>
      <c r="N116" s="1080"/>
      <c r="O116" s="557"/>
      <c r="P116" s="1109"/>
      <c r="Q116" s="632"/>
      <c r="R116" s="538"/>
      <c r="S116" s="1081"/>
      <c r="T116" s="1081"/>
      <c r="U116" s="1081"/>
      <c r="V116" s="1081"/>
      <c r="W116" s="538"/>
      <c r="X116" s="557"/>
      <c r="Y116" s="557"/>
      <c r="Z116" s="539"/>
      <c r="AA116" s="539"/>
      <c r="AB116" s="640"/>
      <c r="AC116" s="798"/>
      <c r="AD116" s="640"/>
      <c r="AF116" s="1465"/>
      <c r="AG116" s="557"/>
      <c r="AH116" s="557"/>
      <c r="AI116" s="557"/>
      <c r="AJ116" s="557"/>
      <c r="AK116" s="1466"/>
      <c r="AL116" s="874"/>
      <c r="AM116" s="1414"/>
    </row>
    <row r="117" spans="1:39" s="630" customFormat="1">
      <c r="A117" s="878" t="s">
        <v>76</v>
      </c>
      <c r="B117" s="807">
        <f>M117</f>
        <v>101200000</v>
      </c>
      <c r="C117" s="538" t="s">
        <v>36</v>
      </c>
      <c r="D117" s="538" t="s">
        <v>864</v>
      </c>
      <c r="E117" s="538" t="s">
        <v>71</v>
      </c>
      <c r="F117" s="538" t="s">
        <v>439</v>
      </c>
      <c r="G117" s="2017" t="s">
        <v>72</v>
      </c>
      <c r="H117" s="1438" t="s">
        <v>1387</v>
      </c>
      <c r="I117" s="850">
        <v>261</v>
      </c>
      <c r="J117" s="1074">
        <v>0</v>
      </c>
      <c r="K117" s="806"/>
      <c r="L117" s="1074">
        <v>58</v>
      </c>
      <c r="M117" s="806">
        <v>101200000</v>
      </c>
      <c r="N117" s="1074">
        <v>47</v>
      </c>
      <c r="O117" s="806">
        <v>101200000</v>
      </c>
      <c r="P117" s="1293">
        <v>46</v>
      </c>
      <c r="Q117" s="879"/>
      <c r="R117" s="1152">
        <v>1840000</v>
      </c>
      <c r="S117" s="883">
        <v>9200000</v>
      </c>
      <c r="T117" s="883">
        <f>VLOOKUP(N117,[8]Hoja2!N$63:T$105,7,0)</f>
        <v>9200000</v>
      </c>
      <c r="U117" s="807">
        <v>9200000</v>
      </c>
      <c r="V117" s="883">
        <v>9200000</v>
      </c>
      <c r="W117" s="883">
        <v>9200000</v>
      </c>
      <c r="X117" s="883">
        <v>9200000</v>
      </c>
      <c r="Y117" s="883">
        <v>9200000</v>
      </c>
      <c r="Z117" s="880"/>
      <c r="AA117" s="880"/>
      <c r="AB117" s="881"/>
      <c r="AC117" s="240">
        <f>SUM(Q117:AB117)</f>
        <v>66240000</v>
      </c>
      <c r="AD117" s="183">
        <f>O117-AC117</f>
        <v>34960000</v>
      </c>
      <c r="AF117" s="924">
        <v>261</v>
      </c>
      <c r="AG117" s="913" t="s">
        <v>481</v>
      </c>
      <c r="AH117" s="1132" t="s">
        <v>799</v>
      </c>
      <c r="AI117" s="626">
        <f>P117</f>
        <v>46</v>
      </c>
      <c r="AJ117" s="163">
        <v>101200000</v>
      </c>
      <c r="AK117" s="921">
        <f t="shared" ref="AK117:AK122" si="33">AJ117-O117</f>
        <v>0</v>
      </c>
      <c r="AL117" s="874"/>
      <c r="AM117" s="1606">
        <f t="shared" ref="AM117:AM122" si="34">AJ117-M117</f>
        <v>0</v>
      </c>
    </row>
    <row r="118" spans="1:39" s="630" customFormat="1">
      <c r="A118" s="878" t="s">
        <v>76</v>
      </c>
      <c r="B118" s="807">
        <f>M118</f>
        <v>44660000</v>
      </c>
      <c r="C118" s="538" t="s">
        <v>36</v>
      </c>
      <c r="D118" s="538" t="s">
        <v>864</v>
      </c>
      <c r="E118" s="538" t="s">
        <v>71</v>
      </c>
      <c r="F118" s="538" t="s">
        <v>439</v>
      </c>
      <c r="G118" s="2017" t="s">
        <v>72</v>
      </c>
      <c r="H118" s="1438" t="s">
        <v>1387</v>
      </c>
      <c r="I118" s="850">
        <v>265</v>
      </c>
      <c r="J118" s="1074">
        <v>0</v>
      </c>
      <c r="K118" s="806"/>
      <c r="L118" s="1074">
        <v>72</v>
      </c>
      <c r="M118" s="806">
        <v>44660000</v>
      </c>
      <c r="N118" s="1074">
        <v>43</v>
      </c>
      <c r="O118" s="806">
        <v>44660000</v>
      </c>
      <c r="P118" s="1293">
        <v>54</v>
      </c>
      <c r="Q118" s="879"/>
      <c r="R118" s="1152">
        <v>1218000</v>
      </c>
      <c r="S118" s="883">
        <v>4060000</v>
      </c>
      <c r="T118" s="883">
        <f>VLOOKUP(N118,[8]Hoja2!N$63:T$105,7,0)</f>
        <v>4060000</v>
      </c>
      <c r="U118" s="883">
        <v>4060000</v>
      </c>
      <c r="V118" s="883">
        <v>4060000</v>
      </c>
      <c r="W118" s="883">
        <v>4060000</v>
      </c>
      <c r="X118" s="883">
        <v>4060000</v>
      </c>
      <c r="Y118" s="883">
        <v>4060000</v>
      </c>
      <c r="Z118" s="880"/>
      <c r="AA118" s="880"/>
      <c r="AB118" s="881"/>
      <c r="AC118" s="240">
        <f t="shared" ref="AC118:AC122" si="35">SUM(Q118:AB118)</f>
        <v>29638000</v>
      </c>
      <c r="AD118" s="183">
        <f t="shared" ref="AD118:AD122" si="36">O118-AC118</f>
        <v>15022000</v>
      </c>
      <c r="AF118" s="924">
        <v>265</v>
      </c>
      <c r="AG118" s="913" t="s">
        <v>482</v>
      </c>
      <c r="AH118" s="1132" t="s">
        <v>800</v>
      </c>
      <c r="AI118" s="626">
        <f>P118</f>
        <v>54</v>
      </c>
      <c r="AJ118" s="163">
        <v>44660000</v>
      </c>
      <c r="AK118" s="921">
        <f t="shared" si="33"/>
        <v>0</v>
      </c>
      <c r="AL118" s="874"/>
      <c r="AM118" s="1606">
        <f t="shared" si="34"/>
        <v>0</v>
      </c>
    </row>
    <row r="119" spans="1:39" s="630" customFormat="1">
      <c r="A119" s="878" t="s">
        <v>76</v>
      </c>
      <c r="B119" s="807">
        <f>M119</f>
        <v>26366667</v>
      </c>
      <c r="C119" s="538" t="s">
        <v>36</v>
      </c>
      <c r="D119" s="538" t="s">
        <v>864</v>
      </c>
      <c r="E119" s="538" t="s">
        <v>71</v>
      </c>
      <c r="F119" s="538" t="s">
        <v>439</v>
      </c>
      <c r="G119" s="2017" t="s">
        <v>72</v>
      </c>
      <c r="H119" s="1438" t="s">
        <v>1387</v>
      </c>
      <c r="I119" s="850">
        <v>266</v>
      </c>
      <c r="J119" s="1074">
        <v>0</v>
      </c>
      <c r="K119" s="806"/>
      <c r="L119" s="1074">
        <v>73</v>
      </c>
      <c r="M119" s="806">
        <f>77000000-50633333</f>
        <v>26366667</v>
      </c>
      <c r="N119" s="1074">
        <v>137</v>
      </c>
      <c r="O119" s="806">
        <f>77000000-50633333</f>
        <v>26366667</v>
      </c>
      <c r="P119" s="1293">
        <v>79</v>
      </c>
      <c r="Q119" s="879"/>
      <c r="R119" s="1152">
        <v>1866667</v>
      </c>
      <c r="S119" s="883">
        <v>7000000</v>
      </c>
      <c r="T119" s="883">
        <f>VLOOKUP(N119,[8]Hoja2!N$63:T$105,7,0)</f>
        <v>7000000</v>
      </c>
      <c r="U119" s="883">
        <v>7000000</v>
      </c>
      <c r="V119" s="883"/>
      <c r="W119" s="883">
        <v>3500000</v>
      </c>
      <c r="X119" s="883"/>
      <c r="Y119" s="883"/>
      <c r="Z119" s="880"/>
      <c r="AA119" s="880"/>
      <c r="AB119" s="881"/>
      <c r="AC119" s="240">
        <f t="shared" si="35"/>
        <v>26366667</v>
      </c>
      <c r="AD119" s="183">
        <f t="shared" si="36"/>
        <v>0</v>
      </c>
      <c r="AF119" s="924">
        <v>266</v>
      </c>
      <c r="AG119" s="913" t="s">
        <v>483</v>
      </c>
      <c r="AH119" s="1134" t="s">
        <v>178</v>
      </c>
      <c r="AI119" s="626">
        <f>P119</f>
        <v>79</v>
      </c>
      <c r="AJ119" s="163">
        <f>77000000-50633333</f>
        <v>26366667</v>
      </c>
      <c r="AK119" s="921">
        <f t="shared" si="33"/>
        <v>0</v>
      </c>
      <c r="AL119" s="874"/>
      <c r="AM119" s="1606">
        <f t="shared" si="34"/>
        <v>0</v>
      </c>
    </row>
    <row r="120" spans="1:39" s="630" customFormat="1">
      <c r="A120" s="878" t="s">
        <v>76</v>
      </c>
      <c r="B120" s="807">
        <f>M120</f>
        <v>0</v>
      </c>
      <c r="C120" s="538" t="s">
        <v>36</v>
      </c>
      <c r="D120" s="538" t="s">
        <v>864</v>
      </c>
      <c r="E120" s="538" t="s">
        <v>71</v>
      </c>
      <c r="F120" s="538" t="s">
        <v>439</v>
      </c>
      <c r="G120" s="2017" t="s">
        <v>72</v>
      </c>
      <c r="H120" s="1438" t="s">
        <v>1387</v>
      </c>
      <c r="I120" s="1079" t="s">
        <v>178</v>
      </c>
      <c r="J120" s="1074">
        <v>0</v>
      </c>
      <c r="K120" s="806"/>
      <c r="L120" s="1284"/>
      <c r="M120" s="806"/>
      <c r="N120" s="1284"/>
      <c r="O120" s="523"/>
      <c r="P120" s="1221"/>
      <c r="Q120" s="879"/>
      <c r="R120" s="880"/>
      <c r="S120" s="523"/>
      <c r="T120" s="523"/>
      <c r="U120" s="807"/>
      <c r="V120" s="883"/>
      <c r="W120" s="883"/>
      <c r="X120" s="883"/>
      <c r="Y120" s="883"/>
      <c r="Z120" s="880"/>
      <c r="AA120" s="880"/>
      <c r="AB120" s="881"/>
      <c r="AC120" s="240">
        <f t="shared" si="35"/>
        <v>0</v>
      </c>
      <c r="AD120" s="183">
        <f t="shared" si="36"/>
        <v>0</v>
      </c>
      <c r="AF120" s="923"/>
      <c r="AG120" s="912" t="s">
        <v>990</v>
      </c>
      <c r="AH120" s="1132" t="s">
        <v>178</v>
      </c>
      <c r="AI120" s="626">
        <f t="shared" ref="AI120:AI121" si="37">P120</f>
        <v>0</v>
      </c>
      <c r="AJ120" s="154"/>
      <c r="AK120" s="921">
        <f t="shared" si="33"/>
        <v>0</v>
      </c>
      <c r="AL120" s="874"/>
      <c r="AM120" s="1606">
        <f t="shared" si="34"/>
        <v>0</v>
      </c>
    </row>
    <row r="121" spans="1:39" s="630" customFormat="1">
      <c r="A121" s="878" t="s">
        <v>76</v>
      </c>
      <c r="B121" s="807">
        <f t="shared" ref="B121:B122" si="38">M121</f>
        <v>45500000</v>
      </c>
      <c r="C121" s="538" t="s">
        <v>36</v>
      </c>
      <c r="D121" s="538" t="s">
        <v>864</v>
      </c>
      <c r="E121" s="538" t="s">
        <v>71</v>
      </c>
      <c r="F121" s="538" t="s">
        <v>439</v>
      </c>
      <c r="G121" s="2017" t="s">
        <v>72</v>
      </c>
      <c r="H121" s="1438" t="s">
        <v>1387</v>
      </c>
      <c r="I121" s="1074">
        <v>542</v>
      </c>
      <c r="J121" s="1074"/>
      <c r="K121" s="806"/>
      <c r="L121" s="1281">
        <v>551</v>
      </c>
      <c r="M121" s="806">
        <v>45500000</v>
      </c>
      <c r="N121" s="1281">
        <v>625</v>
      </c>
      <c r="O121" s="523">
        <v>45500000</v>
      </c>
      <c r="P121" s="1221">
        <v>386</v>
      </c>
      <c r="Q121" s="879"/>
      <c r="R121" s="880"/>
      <c r="S121" s="523"/>
      <c r="T121" s="523"/>
      <c r="U121" s="807"/>
      <c r="V121" s="883"/>
      <c r="W121" s="883">
        <v>3266667</v>
      </c>
      <c r="X121" s="883">
        <v>7000000</v>
      </c>
      <c r="Y121" s="883">
        <v>7000000</v>
      </c>
      <c r="Z121" s="880"/>
      <c r="AA121" s="880"/>
      <c r="AB121" s="881"/>
      <c r="AC121" s="240">
        <f t="shared" si="35"/>
        <v>17266667</v>
      </c>
      <c r="AD121" s="183">
        <f t="shared" si="36"/>
        <v>28233333</v>
      </c>
      <c r="AF121" s="923">
        <v>542</v>
      </c>
      <c r="AG121" s="912" t="s">
        <v>1097</v>
      </c>
      <c r="AH121" s="1132" t="s">
        <v>1138</v>
      </c>
      <c r="AI121" s="626">
        <f t="shared" si="37"/>
        <v>386</v>
      </c>
      <c r="AJ121" s="154">
        <v>45500000</v>
      </c>
      <c r="AK121" s="921">
        <f t="shared" si="33"/>
        <v>0</v>
      </c>
      <c r="AL121" s="874"/>
      <c r="AM121" s="1606">
        <f t="shared" si="34"/>
        <v>0</v>
      </c>
    </row>
    <row r="122" spans="1:39" s="630" customFormat="1">
      <c r="A122" s="878" t="s">
        <v>76</v>
      </c>
      <c r="B122" s="807">
        <f t="shared" si="38"/>
        <v>0</v>
      </c>
      <c r="C122" s="538" t="s">
        <v>36</v>
      </c>
      <c r="D122" s="538" t="s">
        <v>864</v>
      </c>
      <c r="E122" s="538" t="s">
        <v>71</v>
      </c>
      <c r="F122" s="538" t="s">
        <v>439</v>
      </c>
      <c r="G122" s="2017" t="s">
        <v>72</v>
      </c>
      <c r="H122" s="1438" t="s">
        <v>1387</v>
      </c>
      <c r="I122" s="1079" t="s">
        <v>178</v>
      </c>
      <c r="J122" s="1074"/>
      <c r="K122" s="806"/>
      <c r="L122" s="1281"/>
      <c r="M122" s="806"/>
      <c r="N122" s="1281"/>
      <c r="O122" s="523"/>
      <c r="P122" s="1221"/>
      <c r="Q122" s="879"/>
      <c r="R122" s="880"/>
      <c r="S122" s="523"/>
      <c r="T122" s="523"/>
      <c r="U122" s="807"/>
      <c r="V122" s="523"/>
      <c r="W122" s="880"/>
      <c r="X122" s="523"/>
      <c r="Y122" s="523"/>
      <c r="Z122" s="880"/>
      <c r="AA122" s="880"/>
      <c r="AB122" s="881"/>
      <c r="AC122" s="240">
        <f t="shared" si="35"/>
        <v>0</v>
      </c>
      <c r="AD122" s="183">
        <f t="shared" si="36"/>
        <v>0</v>
      </c>
      <c r="AF122" s="923" t="s">
        <v>349</v>
      </c>
      <c r="AG122" s="1424" t="s">
        <v>520</v>
      </c>
      <c r="AH122" s="1132"/>
      <c r="AI122" s="626"/>
      <c r="AJ122" s="154">
        <f>5133333-5133333</f>
        <v>0</v>
      </c>
      <c r="AK122" s="921">
        <f t="shared" si="33"/>
        <v>0</v>
      </c>
      <c r="AL122" s="874"/>
      <c r="AM122" s="1606">
        <f t="shared" si="34"/>
        <v>0</v>
      </c>
    </row>
    <row r="123" spans="1:39">
      <c r="A123" s="159" t="s">
        <v>24</v>
      </c>
      <c r="B123" s="896">
        <f>B116-SUM(B117:B122)</f>
        <v>0</v>
      </c>
      <c r="C123" s="57"/>
      <c r="D123" s="57"/>
      <c r="E123" s="57"/>
      <c r="F123" s="57"/>
      <c r="G123" s="2018"/>
      <c r="H123" s="2022"/>
      <c r="I123" s="1066"/>
      <c r="J123" s="1072"/>
      <c r="K123" s="483"/>
      <c r="L123" s="1282"/>
      <c r="M123" s="896">
        <f>SUM(M117:M122)</f>
        <v>217726667</v>
      </c>
      <c r="N123" s="1282"/>
      <c r="O123" s="896">
        <f>SUM(O117:O122)</f>
        <v>217726667</v>
      </c>
      <c r="P123" s="1295"/>
      <c r="Q123" s="896">
        <f>SUM(Q117:Q122)</f>
        <v>0</v>
      </c>
      <c r="R123" s="896">
        <f t="shared" ref="R123:AB123" si="39">SUM(R117:R122)</f>
        <v>4924667</v>
      </c>
      <c r="S123" s="896">
        <f t="shared" si="39"/>
        <v>20260000</v>
      </c>
      <c r="T123" s="896">
        <f t="shared" si="39"/>
        <v>20260000</v>
      </c>
      <c r="U123" s="896">
        <f t="shared" si="39"/>
        <v>20260000</v>
      </c>
      <c r="V123" s="896">
        <f t="shared" si="39"/>
        <v>13260000</v>
      </c>
      <c r="W123" s="896">
        <f>SUM(W117:W122)</f>
        <v>20026667</v>
      </c>
      <c r="X123" s="896">
        <f t="shared" si="39"/>
        <v>20260000</v>
      </c>
      <c r="Y123" s="896">
        <f t="shared" si="39"/>
        <v>20260000</v>
      </c>
      <c r="Z123" s="896">
        <f t="shared" si="39"/>
        <v>0</v>
      </c>
      <c r="AA123" s="896">
        <f t="shared" si="39"/>
        <v>0</v>
      </c>
      <c r="AB123" s="896">
        <f t="shared" si="39"/>
        <v>0</v>
      </c>
      <c r="AC123" s="896">
        <f>SUM(AC117:AC122)</f>
        <v>139511334</v>
      </c>
      <c r="AD123" s="896">
        <f>SUM(AD117:AD122)</f>
        <v>78215333</v>
      </c>
      <c r="AF123" s="922"/>
      <c r="AG123" s="54"/>
      <c r="AH123" s="1133"/>
      <c r="AI123" s="358"/>
      <c r="AJ123" s="54">
        <f>SUM(AJ117:AJ122)</f>
        <v>217726667</v>
      </c>
      <c r="AK123" s="181">
        <f>SUM(AK117:AK122)</f>
        <v>0</v>
      </c>
      <c r="AL123" s="875">
        <f>B116-AJ123</f>
        <v>0</v>
      </c>
    </row>
    <row r="124" spans="1:39" s="8" customFormat="1">
      <c r="A124" s="641"/>
      <c r="B124" s="144"/>
      <c r="C124" s="265"/>
      <c r="D124" s="266"/>
      <c r="E124" s="265"/>
      <c r="F124" s="265"/>
      <c r="G124" s="267"/>
      <c r="H124" s="74"/>
      <c r="I124" s="1067"/>
      <c r="J124" s="1076"/>
      <c r="K124" s="495"/>
      <c r="L124" s="1286"/>
      <c r="M124" s="144"/>
      <c r="N124" s="1289"/>
      <c r="O124" s="541"/>
      <c r="P124" s="1294"/>
      <c r="Q124" s="542"/>
      <c r="R124" s="543"/>
      <c r="S124" s="541"/>
      <c r="T124" s="541"/>
      <c r="U124" s="1409"/>
      <c r="V124" s="541"/>
      <c r="W124" s="543"/>
      <c r="X124" s="541"/>
      <c r="Y124" s="541"/>
      <c r="Z124" s="543"/>
      <c r="AA124" s="543"/>
      <c r="AB124" s="544"/>
      <c r="AC124" s="542"/>
      <c r="AD124" s="544"/>
      <c r="AF124" s="925"/>
      <c r="AG124" s="913"/>
      <c r="AH124" s="1136"/>
      <c r="AI124" s="851"/>
      <c r="AJ124" s="316"/>
      <c r="AK124" s="926"/>
      <c r="AL124" s="874"/>
      <c r="AM124" s="1414"/>
    </row>
    <row r="125" spans="1:39" s="363" customFormat="1" ht="15.75" thickBot="1">
      <c r="A125" s="1467" t="s">
        <v>175</v>
      </c>
      <c r="B125" s="1468">
        <f>B17+B82+B89+B116</f>
        <v>2923660347</v>
      </c>
      <c r="C125" s="1469"/>
      <c r="D125" s="1470"/>
      <c r="E125" s="1469"/>
      <c r="F125" s="1469"/>
      <c r="G125" s="1471"/>
      <c r="H125" s="2011"/>
      <c r="I125" s="1472"/>
      <c r="J125" s="1473"/>
      <c r="K125" s="1474"/>
      <c r="L125" s="1475"/>
      <c r="M125" s="1476">
        <f>M81+M88+M115+M123</f>
        <v>2811915501</v>
      </c>
      <c r="N125" s="1477"/>
      <c r="O125" s="1476">
        <f>O81+O88+O115+O123</f>
        <v>2384532501</v>
      </c>
      <c r="P125" s="1478"/>
      <c r="Q125" s="1476">
        <f t="shared" ref="Q125:AD125" si="40">Q81+Q88+Q115+Q123</f>
        <v>0</v>
      </c>
      <c r="R125" s="1476">
        <f t="shared" si="40"/>
        <v>31318667</v>
      </c>
      <c r="S125" s="1476">
        <f t="shared" si="40"/>
        <v>175481000</v>
      </c>
      <c r="T125" s="1476">
        <f t="shared" si="40"/>
        <v>227308999</v>
      </c>
      <c r="U125" s="1476">
        <f t="shared" si="40"/>
        <v>229274999</v>
      </c>
      <c r="V125" s="1476">
        <f t="shared" si="40"/>
        <v>208051667</v>
      </c>
      <c r="W125" s="1476">
        <f t="shared" si="40"/>
        <v>198983667</v>
      </c>
      <c r="X125" s="1476">
        <f t="shared" si="40"/>
        <v>222751500</v>
      </c>
      <c r="Y125" s="1476">
        <f t="shared" si="40"/>
        <v>231710333</v>
      </c>
      <c r="Z125" s="1476">
        <f t="shared" si="40"/>
        <v>0</v>
      </c>
      <c r="AA125" s="1476">
        <f t="shared" si="40"/>
        <v>0</v>
      </c>
      <c r="AB125" s="1476">
        <f t="shared" si="40"/>
        <v>0</v>
      </c>
      <c r="AC125" s="1476">
        <f t="shared" si="40"/>
        <v>1524880832</v>
      </c>
      <c r="AD125" s="1476">
        <f t="shared" si="40"/>
        <v>859651669</v>
      </c>
      <c r="AF125" s="1479"/>
      <c r="AG125" s="1480"/>
      <c r="AH125" s="1481"/>
      <c r="AI125" s="1482"/>
      <c r="AJ125" s="1483">
        <f>AJ81+AJ88+AJ115+AJ123</f>
        <v>2923660347</v>
      </c>
      <c r="AK125" s="1484">
        <f>AK81+AK88+AK115+AK123</f>
        <v>539127846</v>
      </c>
      <c r="AL125" s="1404">
        <f>AL81+AL115+AL123</f>
        <v>0</v>
      </c>
    </row>
    <row r="126" spans="1:39" hidden="1">
      <c r="A126" s="18"/>
      <c r="B126" s="125"/>
      <c r="C126" s="1119"/>
      <c r="D126" s="1119"/>
      <c r="E126" s="1119"/>
      <c r="F126" s="1119"/>
      <c r="G126" s="1119"/>
      <c r="H126" s="1916"/>
      <c r="I126" s="1024"/>
      <c r="J126" s="1024"/>
      <c r="K126" s="125"/>
      <c r="L126" s="1024"/>
      <c r="M126" s="1257"/>
      <c r="N126" s="1024"/>
      <c r="O126" s="642"/>
      <c r="P126" s="1279"/>
      <c r="Q126" s="644"/>
      <c r="R126" s="644"/>
      <c r="S126" s="642"/>
      <c r="T126" s="642"/>
      <c r="U126" s="1410"/>
      <c r="V126" s="642"/>
      <c r="W126" s="644"/>
      <c r="X126" s="642"/>
      <c r="Y126" s="642"/>
      <c r="Z126" s="644"/>
      <c r="AA126" s="644"/>
      <c r="AB126" s="644"/>
      <c r="AC126" s="644"/>
      <c r="AD126" s="645"/>
    </row>
    <row r="127" spans="1:39" hidden="1">
      <c r="A127" s="18"/>
      <c r="B127" s="125"/>
      <c r="C127" s="1119"/>
      <c r="D127" s="1119"/>
      <c r="E127" s="1119"/>
      <c r="F127" s="1119"/>
      <c r="G127" s="1119"/>
      <c r="H127" s="1916"/>
      <c r="I127" s="1024"/>
      <c r="J127" s="1024"/>
      <c r="K127" s="125"/>
      <c r="L127" s="1024"/>
      <c r="M127" s="1257"/>
      <c r="N127" s="1024"/>
      <c r="O127" s="642"/>
      <c r="P127" s="1279"/>
      <c r="Q127" s="644"/>
      <c r="R127" s="644"/>
      <c r="S127" s="642"/>
      <c r="T127" s="642"/>
      <c r="U127" s="1410"/>
      <c r="V127" s="642"/>
      <c r="W127" s="644"/>
      <c r="X127" s="642"/>
      <c r="Y127" s="642"/>
      <c r="Z127" s="644"/>
      <c r="AA127" s="644"/>
      <c r="AB127" s="644"/>
      <c r="AC127" s="644"/>
      <c r="AD127" s="645"/>
    </row>
    <row r="128" spans="1:39">
      <c r="A128" s="18"/>
      <c r="B128" s="125"/>
      <c r="C128" s="1119"/>
      <c r="D128" s="1119"/>
      <c r="E128" s="1119"/>
      <c r="F128" s="1119"/>
      <c r="G128" s="1119"/>
      <c r="H128" s="1916"/>
      <c r="I128" s="1024"/>
      <c r="J128" s="1024"/>
      <c r="K128" s="125"/>
      <c r="L128" s="1024"/>
      <c r="M128" s="1257"/>
      <c r="N128" s="1024"/>
      <c r="O128" s="642"/>
      <c r="P128" s="1279"/>
      <c r="Q128" s="644"/>
      <c r="R128" s="644"/>
      <c r="S128" s="642"/>
      <c r="T128" s="642"/>
      <c r="U128" s="1410"/>
      <c r="V128" s="642"/>
      <c r="W128" s="644"/>
      <c r="X128" s="642"/>
      <c r="Y128" s="642"/>
      <c r="Z128" s="644"/>
      <c r="AA128" s="644"/>
      <c r="AB128" s="644"/>
      <c r="AC128" s="644"/>
      <c r="AD128" s="645"/>
    </row>
    <row r="129" spans="1:39">
      <c r="A129" s="18"/>
      <c r="B129" s="125"/>
      <c r="C129" s="1119"/>
      <c r="D129" s="1119"/>
      <c r="E129" s="1119"/>
      <c r="F129" s="1119"/>
      <c r="G129" s="1119"/>
      <c r="H129" s="1916"/>
      <c r="I129" s="1024"/>
      <c r="J129" s="1024"/>
      <c r="K129" s="125"/>
      <c r="L129" s="1024"/>
      <c r="M129" s="1257"/>
      <c r="N129" s="1024"/>
      <c r="O129" s="642"/>
      <c r="P129" s="1279"/>
      <c r="Q129" s="644"/>
      <c r="R129" s="644"/>
      <c r="S129" s="642"/>
      <c r="T129" s="642"/>
      <c r="U129" s="1410"/>
      <c r="V129" s="642"/>
      <c r="W129" s="644"/>
      <c r="X129" s="642"/>
      <c r="Y129" s="642"/>
      <c r="Z129" s="644"/>
      <c r="AA129" s="644"/>
      <c r="AB129" s="644"/>
      <c r="AC129" s="644"/>
      <c r="AD129" s="645"/>
    </row>
    <row r="130" spans="1:39" s="129" customFormat="1" ht="31.5" customHeight="1">
      <c r="A130" s="22" t="s">
        <v>30</v>
      </c>
      <c r="B130" s="126" t="s">
        <v>12</v>
      </c>
      <c r="C130" s="548"/>
      <c r="D130" s="548"/>
      <c r="E130" s="548"/>
      <c r="F130" s="548"/>
      <c r="G130" s="552"/>
      <c r="H130" s="552"/>
      <c r="I130" s="288"/>
      <c r="J130" s="1077"/>
      <c r="K130" s="489"/>
      <c r="L130" s="1077"/>
      <c r="M130" s="1270" t="s">
        <v>17</v>
      </c>
      <c r="N130" s="1290" t="s">
        <v>18</v>
      </c>
      <c r="O130" s="1274" t="s">
        <v>19</v>
      </c>
      <c r="P130" s="1298" t="s">
        <v>137</v>
      </c>
      <c r="Q130" s="1224">
        <v>0</v>
      </c>
      <c r="R130" s="1224">
        <v>31318667</v>
      </c>
      <c r="S130" s="1224">
        <v>175481000</v>
      </c>
      <c r="T130" s="1224">
        <v>227308999</v>
      </c>
      <c r="U130" s="1224">
        <v>229274999</v>
      </c>
      <c r="V130" s="1224">
        <v>208051667</v>
      </c>
      <c r="W130" s="1224">
        <v>198983667</v>
      </c>
      <c r="X130" s="1224">
        <v>222751500</v>
      </c>
      <c r="Y130" s="1224">
        <v>231710333</v>
      </c>
      <c r="Z130" s="1224"/>
      <c r="AA130" s="1224"/>
      <c r="AB130" s="1224"/>
      <c r="AC130" s="1224">
        <f>SUM(Q130:AB130)</f>
        <v>1524880832</v>
      </c>
      <c r="AD130" s="1485">
        <f>O125-AC130</f>
        <v>859651669</v>
      </c>
      <c r="AG130" s="893"/>
      <c r="AH130" s="1137"/>
      <c r="AI130" s="1108"/>
      <c r="AJ130" s="551"/>
      <c r="AK130" s="551"/>
      <c r="AL130" s="875"/>
      <c r="AM130" s="1608"/>
    </row>
    <row r="131" spans="1:39">
      <c r="A131" s="25" t="s">
        <v>31</v>
      </c>
      <c r="B131" s="77">
        <f>B17+B82+B89+B116</f>
        <v>2923660347</v>
      </c>
      <c r="C131" s="592"/>
      <c r="D131" s="592"/>
      <c r="E131" s="592"/>
      <c r="F131" s="592"/>
      <c r="G131" s="561"/>
      <c r="H131" s="561"/>
      <c r="I131" s="1026"/>
      <c r="J131" s="288"/>
      <c r="K131" s="227"/>
      <c r="L131" s="288"/>
      <c r="M131" s="1271">
        <f>M125</f>
        <v>2811915501</v>
      </c>
      <c r="N131" s="1271">
        <f>O125</f>
        <v>2384532501</v>
      </c>
      <c r="O131" s="1271">
        <f>AC125</f>
        <v>1524880832</v>
      </c>
      <c r="P131" s="1279"/>
      <c r="Q131" s="644"/>
      <c r="R131" s="644"/>
      <c r="S131" s="642"/>
      <c r="T131" s="642"/>
      <c r="U131" s="1410"/>
      <c r="V131" s="642"/>
      <c r="W131" s="644"/>
      <c r="X131" s="642"/>
      <c r="Y131" s="642"/>
      <c r="Z131" s="644"/>
      <c r="AA131" s="644"/>
      <c r="AB131" s="644"/>
      <c r="AC131" s="644"/>
      <c r="AD131" s="645"/>
    </row>
    <row r="132" spans="1:39" s="363" customFormat="1" ht="15">
      <c r="A132" s="361"/>
      <c r="B132" s="514"/>
      <c r="C132" s="2082"/>
      <c r="D132" s="2128"/>
      <c r="F132" s="2128"/>
      <c r="G132" s="2128"/>
      <c r="H132" s="1917"/>
      <c r="I132" s="1068"/>
      <c r="J132" s="1078"/>
      <c r="K132" s="514"/>
      <c r="L132" s="1287"/>
      <c r="M132" s="1272"/>
      <c r="N132" s="1291" t="s">
        <v>31</v>
      </c>
      <c r="O132" s="1271">
        <f>O125</f>
        <v>2384532501</v>
      </c>
      <c r="P132" s="1279"/>
      <c r="Q132" s="362">
        <f t="shared" ref="Q132:AB132" si="41">Q81+Q115+Q123</f>
        <v>0</v>
      </c>
      <c r="R132" s="362">
        <f t="shared" si="41"/>
        <v>31318667</v>
      </c>
      <c r="S132" s="362">
        <f t="shared" si="41"/>
        <v>175481000</v>
      </c>
      <c r="T132" s="362">
        <f t="shared" si="41"/>
        <v>227308999</v>
      </c>
      <c r="U132" s="362">
        <f t="shared" si="41"/>
        <v>229274999</v>
      </c>
      <c r="V132" s="362">
        <f t="shared" si="41"/>
        <v>208051667</v>
      </c>
      <c r="W132" s="362">
        <f t="shared" si="41"/>
        <v>198983667</v>
      </c>
      <c r="X132" s="362">
        <f t="shared" si="41"/>
        <v>222751500</v>
      </c>
      <c r="Y132" s="362">
        <f t="shared" si="41"/>
        <v>231710333</v>
      </c>
      <c r="Z132" s="362">
        <f t="shared" si="41"/>
        <v>0</v>
      </c>
      <c r="AA132" s="362">
        <f t="shared" si="41"/>
        <v>0</v>
      </c>
      <c r="AB132" s="362">
        <f t="shared" si="41"/>
        <v>0</v>
      </c>
      <c r="AC132" s="362">
        <f>SUM(Q132:AB132)</f>
        <v>1524880832</v>
      </c>
      <c r="AD132" s="646">
        <f>O132-AC132</f>
        <v>859651669</v>
      </c>
      <c r="AG132" s="894"/>
      <c r="AH132" s="1138"/>
      <c r="AI132" s="1110"/>
      <c r="AJ132" s="364"/>
      <c r="AK132" s="364"/>
      <c r="AL132" s="1403"/>
    </row>
    <row r="133" spans="1:39" ht="14.25">
      <c r="A133" s="59"/>
      <c r="B133" s="324"/>
      <c r="C133" s="2138"/>
      <c r="D133" s="2138"/>
      <c r="F133" s="2138"/>
      <c r="G133" s="2138"/>
      <c r="H133" s="1919"/>
      <c r="I133" s="1069"/>
      <c r="J133" s="643"/>
      <c r="K133" s="498"/>
      <c r="L133" s="1279"/>
      <c r="M133" s="1265"/>
      <c r="N133" s="1279"/>
      <c r="O133" s="642"/>
      <c r="P133" s="1279"/>
      <c r="Q133" s="644"/>
      <c r="R133" s="644"/>
      <c r="S133" s="642">
        <f>S130-S125</f>
        <v>0</v>
      </c>
      <c r="T133" s="642">
        <f>T130-T125</f>
        <v>0</v>
      </c>
      <c r="U133" s="1410">
        <f>U130-U125</f>
        <v>0</v>
      </c>
      <c r="V133" s="1410">
        <f>V130-V125</f>
        <v>0</v>
      </c>
      <c r="W133" s="1410">
        <f t="shared" ref="W133:AB133" si="42">W130-W125</f>
        <v>0</v>
      </c>
      <c r="X133" s="1410">
        <f t="shared" si="42"/>
        <v>0</v>
      </c>
      <c r="Y133" s="1410">
        <f t="shared" si="42"/>
        <v>0</v>
      </c>
      <c r="Z133" s="1410">
        <f t="shared" si="42"/>
        <v>0</v>
      </c>
      <c r="AA133" s="1410">
        <f t="shared" si="42"/>
        <v>0</v>
      </c>
      <c r="AB133" s="1410">
        <f t="shared" si="42"/>
        <v>0</v>
      </c>
      <c r="AC133" s="644"/>
      <c r="AD133" s="645"/>
    </row>
    <row r="134" spans="1:39">
      <c r="A134" s="59"/>
      <c r="B134" s="324"/>
      <c r="C134" s="61"/>
      <c r="D134" s="61"/>
      <c r="E134" s="61"/>
      <c r="F134" s="61"/>
      <c r="G134" s="61"/>
      <c r="H134" s="61"/>
      <c r="I134" s="360"/>
      <c r="J134" s="643"/>
      <c r="K134" s="498"/>
      <c r="L134" s="1279"/>
      <c r="M134" s="1265"/>
      <c r="N134" s="1279"/>
      <c r="O134" s="642"/>
      <c r="P134" s="1279"/>
      <c r="Q134" s="644"/>
      <c r="R134" s="644"/>
      <c r="S134" s="642"/>
      <c r="T134" s="642"/>
      <c r="U134" s="1410"/>
      <c r="V134" s="642"/>
      <c r="W134" s="644"/>
      <c r="X134" s="642"/>
      <c r="Y134" s="642"/>
      <c r="Z134" s="644"/>
      <c r="AA134" s="644"/>
      <c r="AB134" s="644"/>
      <c r="AC134" s="644"/>
      <c r="AD134" s="645"/>
    </row>
    <row r="135" spans="1:39" ht="14.25" customHeight="1" thickBot="1">
      <c r="A135" s="795"/>
      <c r="B135" s="584"/>
      <c r="C135" s="65"/>
      <c r="D135" s="66"/>
      <c r="E135" s="67"/>
      <c r="F135" s="68"/>
      <c r="G135" s="68"/>
      <c r="H135" s="68"/>
      <c r="I135" s="1070"/>
      <c r="J135" s="648"/>
      <c r="K135" s="515"/>
      <c r="L135" s="587"/>
      <c r="M135" s="585"/>
      <c r="N135" s="587"/>
      <c r="O135" s="647"/>
      <c r="P135" s="587"/>
      <c r="Q135" s="649"/>
      <c r="R135" s="649"/>
      <c r="S135" s="647"/>
      <c r="T135" s="647"/>
      <c r="U135" s="1411"/>
      <c r="V135" s="647"/>
      <c r="W135" s="649"/>
      <c r="X135" s="647"/>
      <c r="Y135" s="647"/>
      <c r="Z135" s="649"/>
      <c r="AA135" s="649"/>
      <c r="AB135" s="649"/>
      <c r="AC135" s="649"/>
      <c r="AD135" s="650"/>
    </row>
    <row r="136" spans="1:39">
      <c r="F136" s="28"/>
      <c r="M136" s="367">
        <v>2811915501</v>
      </c>
      <c r="N136" s="367">
        <v>2384532501</v>
      </c>
      <c r="O136" s="558">
        <f>O131</f>
        <v>1524880832</v>
      </c>
    </row>
    <row r="137" spans="1:39">
      <c r="M137" s="367">
        <f>M136-M131</f>
        <v>0</v>
      </c>
      <c r="N137" s="367">
        <f>N136-N131</f>
        <v>0</v>
      </c>
      <c r="O137" s="558">
        <f>O136-O131</f>
        <v>0</v>
      </c>
    </row>
    <row r="138" spans="1:39">
      <c r="M138" s="367"/>
      <c r="N138" s="480"/>
      <c r="O138" s="558"/>
    </row>
    <row r="140" spans="1:39">
      <c r="A140" s="29"/>
      <c r="B140" s="127"/>
      <c r="C140" s="31"/>
      <c r="D140" s="32"/>
    </row>
    <row r="141" spans="1:39">
      <c r="A141" s="33"/>
      <c r="B141" s="128"/>
      <c r="C141" s="35"/>
      <c r="D141" s="36"/>
    </row>
    <row r="142" spans="1:39">
      <c r="A142" s="33"/>
      <c r="B142" s="128"/>
      <c r="C142" s="35"/>
      <c r="D142" s="36"/>
    </row>
    <row r="143" spans="1:39">
      <c r="A143" s="33"/>
      <c r="B143" s="128"/>
      <c r="C143" s="35"/>
      <c r="D143" s="36"/>
    </row>
    <row r="151" spans="1:6">
      <c r="A151" s="29"/>
      <c r="B151" s="127"/>
    </row>
    <row r="152" spans="1:6">
      <c r="A152" s="33"/>
      <c r="B152" s="128"/>
      <c r="F152" s="37"/>
    </row>
    <row r="153" spans="1:6">
      <c r="A153" s="33"/>
      <c r="B153" s="128"/>
      <c r="F153" s="37"/>
    </row>
    <row r="154" spans="1:6">
      <c r="A154" s="33"/>
      <c r="B154" s="128"/>
      <c r="F154" s="37"/>
    </row>
    <row r="155" spans="1:6">
      <c r="A155" s="33"/>
      <c r="B155" s="128"/>
      <c r="F155" s="37"/>
    </row>
    <row r="162" spans="1:2">
      <c r="A162" s="33"/>
      <c r="B162" s="128"/>
    </row>
    <row r="163" spans="1:2">
      <c r="A163" s="33"/>
      <c r="B163" s="128"/>
    </row>
    <row r="164" spans="1:2">
      <c r="A164" s="33"/>
      <c r="B164" s="128"/>
    </row>
    <row r="165" spans="1:2">
      <c r="A165" s="33"/>
      <c r="B165" s="128"/>
    </row>
    <row r="166" spans="1:2">
      <c r="A166" s="33"/>
      <c r="B166" s="128"/>
    </row>
    <row r="167" spans="1:2">
      <c r="A167" s="33"/>
      <c r="B167" s="128"/>
    </row>
    <row r="168" spans="1:2">
      <c r="A168" s="33"/>
      <c r="B168" s="128"/>
    </row>
    <row r="169" spans="1:2">
      <c r="A169" s="33"/>
      <c r="B169" s="128"/>
    </row>
    <row r="170" spans="1:2">
      <c r="A170" s="33"/>
      <c r="B170" s="128"/>
    </row>
    <row r="171" spans="1:2">
      <c r="A171" s="33"/>
      <c r="B171" s="128"/>
    </row>
    <row r="172" spans="1:2">
      <c r="A172" s="33"/>
      <c r="B172" s="128"/>
    </row>
    <row r="173" spans="1:2">
      <c r="A173" s="33"/>
      <c r="B173" s="128"/>
    </row>
    <row r="174" spans="1:2">
      <c r="A174" s="33"/>
      <c r="B174" s="128"/>
    </row>
    <row r="175" spans="1:2">
      <c r="A175" s="33"/>
      <c r="B175" s="128"/>
    </row>
    <row r="176" spans="1:2">
      <c r="A176" s="33"/>
      <c r="B176" s="128"/>
    </row>
    <row r="177" spans="1:2">
      <c r="A177" s="33"/>
      <c r="B177" s="128"/>
    </row>
    <row r="178" spans="1:2">
      <c r="A178" s="33"/>
      <c r="B178" s="128"/>
    </row>
    <row r="179" spans="1:2">
      <c r="A179" s="33"/>
      <c r="B179" s="128"/>
    </row>
    <row r="180" spans="1:2">
      <c r="A180" s="33"/>
      <c r="B180" s="128"/>
    </row>
  </sheetData>
  <autoFilter ref="A16:AL123"/>
  <mergeCells count="17">
    <mergeCell ref="C133:D133"/>
    <mergeCell ref="F133:G133"/>
    <mergeCell ref="A4:G4"/>
    <mergeCell ref="A5:G5"/>
    <mergeCell ref="A6:G6"/>
    <mergeCell ref="A7:G7"/>
    <mergeCell ref="A8:G8"/>
    <mergeCell ref="A9:G9"/>
    <mergeCell ref="B10:D10"/>
    <mergeCell ref="B11:G11"/>
    <mergeCell ref="B12:G12"/>
    <mergeCell ref="C132:D132"/>
    <mergeCell ref="F132:G132"/>
    <mergeCell ref="A1:A3"/>
    <mergeCell ref="B1:AD1"/>
    <mergeCell ref="B2:AD2"/>
    <mergeCell ref="B3:AD3"/>
  </mergeCells>
  <conditionalFormatting sqref="AD124 AD126:AD1048576 AD89:AD122 AD4:AD82 AM1:AM1048576">
    <cfRule type="cellIs" dxfId="71" priority="14" operator="lessThan">
      <formula>0</formula>
    </cfRule>
  </conditionalFormatting>
  <conditionalFormatting sqref="AK124:AK1048576 AK1:AK16 AK117:AK122 AK89:AK115 AK18:AK87">
    <cfRule type="cellIs" dxfId="70" priority="6" operator="lessThan">
      <formula>0</formula>
    </cfRule>
    <cfRule type="cellIs" dxfId="69" priority="7" operator="lessThan">
      <formula>0</formula>
    </cfRule>
  </conditionalFormatting>
  <conditionalFormatting sqref="AL125">
    <cfRule type="cellIs" dxfId="68" priority="4" operator="lessThan">
      <formula>0</formula>
    </cfRule>
    <cfRule type="cellIs" dxfId="67" priority="5" operator="lessThan">
      <formula>0</formula>
    </cfRule>
  </conditionalFormatting>
  <conditionalFormatting sqref="N137:N1048576 N1:N130 N132:N135">
    <cfRule type="duplicateValues" dxfId="66" priority="3"/>
  </conditionalFormatting>
  <conditionalFormatting sqref="AD83:AD87">
    <cfRule type="cellIs" dxfId="65" priority="1" operator="lessThan">
      <formula>0</formula>
    </cfRule>
  </conditionalFormatting>
  <printOptions horizontalCentered="1" verticalCentered="1"/>
  <pageMargins left="0.55118110236220474" right="0.39370078740157483" top="0.59055118110236227" bottom="0.31496062992125984" header="0.31496062992125984" footer="0.27559055118110237"/>
  <pageSetup scale="51" fitToWidth="2" fitToHeight="2" orientation="landscape" r:id="rId1"/>
  <headerFooter>
    <oddFooter>&amp;LVersión 3. 23/07/2019</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M361"/>
  <sheetViews>
    <sheetView zoomScale="93" zoomScaleNormal="93" workbookViewId="0">
      <selection activeCell="B14" sqref="B14"/>
    </sheetView>
  </sheetViews>
  <sheetFormatPr baseColWidth="10" defaultColWidth="19.7109375" defaultRowHeight="14.25"/>
  <cols>
    <col min="1" max="1" width="28.7109375" style="653" customWidth="1"/>
    <col min="2" max="2" width="19.7109375" style="724" customWidth="1"/>
    <col min="3" max="3" width="22.5703125" style="653" customWidth="1"/>
    <col min="4" max="4" width="27.140625" style="653" customWidth="1"/>
    <col min="5" max="5" width="17.7109375" style="653" customWidth="1"/>
    <col min="6" max="6" width="24.85546875" style="653" customWidth="1"/>
    <col min="7" max="8" width="28.7109375" style="653" customWidth="1"/>
    <col min="9" max="9" width="14.7109375" style="528" customWidth="1"/>
    <col min="10" max="10" width="11.28515625" style="836" customWidth="1"/>
    <col min="11" max="11" width="14.28515625" style="1129" customWidth="1"/>
    <col min="12" max="12" width="11.42578125" style="1110" customWidth="1"/>
    <col min="13" max="13" width="19.5703125" style="364" customWidth="1"/>
    <col min="14" max="14" width="16.7109375" style="1110" customWidth="1"/>
    <col min="15" max="15" width="16.7109375" style="1129" customWidth="1"/>
    <col min="16" max="16" width="11.28515625" style="1898" customWidth="1"/>
    <col min="17" max="17" width="13" style="723" hidden="1" customWidth="1"/>
    <col min="18" max="18" width="14.28515625" style="723" hidden="1" customWidth="1"/>
    <col min="19" max="20" width="13.7109375" style="723" hidden="1" customWidth="1"/>
    <col min="21" max="21" width="14.140625" style="723" hidden="1" customWidth="1"/>
    <col min="22" max="22" width="13.7109375" style="723" hidden="1" customWidth="1"/>
    <col min="23" max="23" width="13.42578125" style="723" hidden="1" customWidth="1"/>
    <col min="24" max="24" width="13.5703125" style="723" hidden="1" customWidth="1"/>
    <col min="25" max="25" width="17.7109375" style="723" hidden="1" customWidth="1"/>
    <col min="26" max="26" width="14.5703125" style="723" hidden="1" customWidth="1"/>
    <col min="27" max="27" width="19.7109375" style="723" hidden="1" customWidth="1"/>
    <col min="28" max="28" width="16.28515625" style="723" hidden="1" customWidth="1"/>
    <col min="29" max="30" width="19.7109375" style="723" customWidth="1"/>
    <col min="31" max="31" width="5" style="653" customWidth="1"/>
    <col min="32" max="32" width="10.140625" style="830" hidden="1" customWidth="1"/>
    <col min="33" max="33" width="19.7109375" style="1390" hidden="1" customWidth="1"/>
    <col min="34" max="34" width="15.42578125" style="364" hidden="1" customWidth="1"/>
    <col min="35" max="35" width="8.28515625" style="528" hidden="1" customWidth="1"/>
    <col min="36" max="36" width="0" style="837" hidden="1" customWidth="1"/>
    <col min="37" max="37" width="0" style="363" hidden="1" customWidth="1"/>
    <col min="38" max="38" width="0" style="898" hidden="1" customWidth="1"/>
    <col min="39" max="39" width="0" style="653" hidden="1" customWidth="1"/>
    <col min="40" max="16384" width="19.7109375" style="653"/>
  </cols>
  <sheetData>
    <row r="1" spans="1:39" ht="42" customHeight="1" thickBot="1">
      <c r="A1" s="2152"/>
      <c r="B1" s="2144" t="s">
        <v>648</v>
      </c>
      <c r="C1" s="2145"/>
      <c r="D1" s="2145"/>
      <c r="E1" s="2145"/>
      <c r="F1" s="2145"/>
      <c r="G1" s="2145"/>
      <c r="H1" s="2145"/>
      <c r="I1" s="2145"/>
      <c r="J1" s="2145"/>
      <c r="K1" s="2145"/>
      <c r="L1" s="2145"/>
      <c r="M1" s="2145"/>
      <c r="N1" s="2145"/>
      <c r="O1" s="2145"/>
      <c r="P1" s="2145"/>
      <c r="Q1" s="2145"/>
      <c r="R1" s="2145"/>
      <c r="S1" s="2145"/>
      <c r="T1" s="2145"/>
      <c r="U1" s="2145"/>
      <c r="V1" s="2145"/>
      <c r="W1" s="2145"/>
      <c r="X1" s="2145"/>
      <c r="Y1" s="2145"/>
      <c r="Z1" s="2145"/>
      <c r="AA1" s="2145"/>
      <c r="AB1" s="2145"/>
      <c r="AC1" s="2145"/>
      <c r="AD1" s="2146"/>
    </row>
    <row r="2" spans="1:39" ht="42" customHeight="1" thickBot="1">
      <c r="A2" s="2153"/>
      <c r="B2" s="2144" t="s">
        <v>1222</v>
      </c>
      <c r="C2" s="2145"/>
      <c r="D2" s="2145"/>
      <c r="E2" s="2145"/>
      <c r="F2" s="2145"/>
      <c r="G2" s="2145"/>
      <c r="H2" s="2145"/>
      <c r="I2" s="2145"/>
      <c r="J2" s="2145"/>
      <c r="K2" s="2145"/>
      <c r="L2" s="2145"/>
      <c r="M2" s="2145"/>
      <c r="N2" s="2145"/>
      <c r="O2" s="2145"/>
      <c r="P2" s="2145"/>
      <c r="Q2" s="2145"/>
      <c r="R2" s="2145"/>
      <c r="S2" s="2145"/>
      <c r="T2" s="2145"/>
      <c r="U2" s="2145"/>
      <c r="V2" s="2145"/>
      <c r="W2" s="2145"/>
      <c r="X2" s="2145"/>
      <c r="Y2" s="2145"/>
      <c r="Z2" s="2145"/>
      <c r="AA2" s="2145"/>
      <c r="AB2" s="2145"/>
      <c r="AC2" s="2145"/>
      <c r="AD2" s="2146"/>
    </row>
    <row r="3" spans="1:39" ht="42" customHeight="1" thickBot="1">
      <c r="A3" s="2154"/>
      <c r="B3" s="2144" t="s">
        <v>1207</v>
      </c>
      <c r="C3" s="2145"/>
      <c r="D3" s="2145"/>
      <c r="E3" s="2145"/>
      <c r="F3" s="2145"/>
      <c r="G3" s="2145"/>
      <c r="H3" s="2145"/>
      <c r="I3" s="2145"/>
      <c r="J3" s="2145"/>
      <c r="K3" s="2145"/>
      <c r="L3" s="2145"/>
      <c r="M3" s="2145"/>
      <c r="N3" s="2145"/>
      <c r="O3" s="2145"/>
      <c r="P3" s="2145"/>
      <c r="Q3" s="2145"/>
      <c r="R3" s="2145"/>
      <c r="S3" s="2145"/>
      <c r="T3" s="2145"/>
      <c r="U3" s="2145"/>
      <c r="V3" s="2145"/>
      <c r="W3" s="2145"/>
      <c r="X3" s="2145"/>
      <c r="Y3" s="2145"/>
      <c r="Z3" s="2145"/>
      <c r="AA3" s="2145"/>
      <c r="AB3" s="2145"/>
      <c r="AC3" s="2145"/>
      <c r="AD3" s="2146"/>
    </row>
    <row r="4" spans="1:39" s="656" customFormat="1">
      <c r="A4" s="2155" t="s">
        <v>0</v>
      </c>
      <c r="B4" s="2156"/>
      <c r="C4" s="2156"/>
      <c r="D4" s="2156"/>
      <c r="E4" s="2156"/>
      <c r="F4" s="2156"/>
      <c r="G4" s="2156"/>
      <c r="H4" s="1922"/>
      <c r="I4" s="1716"/>
      <c r="J4" s="1717"/>
      <c r="K4" s="1718"/>
      <c r="L4" s="1719"/>
      <c r="M4" s="1720"/>
      <c r="N4" s="1719"/>
      <c r="O4" s="1718"/>
      <c r="P4" s="1721"/>
      <c r="Q4" s="654"/>
      <c r="R4" s="654"/>
      <c r="S4" s="654"/>
      <c r="T4" s="654"/>
      <c r="U4" s="654"/>
      <c r="V4" s="654"/>
      <c r="W4" s="654"/>
      <c r="X4" s="654"/>
      <c r="Y4" s="654"/>
      <c r="Z4" s="654"/>
      <c r="AA4" s="654"/>
      <c r="AB4" s="654"/>
      <c r="AC4" s="654"/>
      <c r="AD4" s="655"/>
      <c r="AF4" s="831"/>
      <c r="AG4" s="1389"/>
      <c r="AH4" s="1122"/>
      <c r="AI4" s="1112"/>
      <c r="AJ4" s="838"/>
      <c r="AK4" s="832"/>
      <c r="AL4" s="899"/>
    </row>
    <row r="5" spans="1:39" s="656" customFormat="1">
      <c r="A5" s="2155" t="s">
        <v>435</v>
      </c>
      <c r="B5" s="2156"/>
      <c r="C5" s="2156"/>
      <c r="D5" s="2156"/>
      <c r="E5" s="2156"/>
      <c r="F5" s="2156"/>
      <c r="G5" s="2156"/>
      <c r="H5" s="1922"/>
      <c r="I5" s="1716"/>
      <c r="J5" s="1717"/>
      <c r="K5" s="1718"/>
      <c r="L5" s="1719"/>
      <c r="M5" s="1720"/>
      <c r="N5" s="1719"/>
      <c r="O5" s="1718"/>
      <c r="P5" s="1721"/>
      <c r="Q5" s="654"/>
      <c r="R5" s="654"/>
      <c r="S5" s="654"/>
      <c r="T5" s="654"/>
      <c r="U5" s="654"/>
      <c r="V5" s="654"/>
      <c r="W5" s="654"/>
      <c r="X5" s="654"/>
      <c r="Y5" s="654"/>
      <c r="Z5" s="654"/>
      <c r="AA5" s="654"/>
      <c r="AB5" s="654"/>
      <c r="AC5" s="654"/>
      <c r="AD5" s="655"/>
      <c r="AF5" s="831"/>
      <c r="AG5" s="1389"/>
      <c r="AH5" s="1122"/>
      <c r="AI5" s="1112"/>
      <c r="AJ5" s="838"/>
      <c r="AK5" s="832"/>
      <c r="AL5" s="899"/>
    </row>
    <row r="6" spans="1:39" s="656" customFormat="1">
      <c r="A6" s="2155" t="s">
        <v>63</v>
      </c>
      <c r="B6" s="2156"/>
      <c r="C6" s="2156"/>
      <c r="D6" s="2156"/>
      <c r="E6" s="2156"/>
      <c r="F6" s="2156"/>
      <c r="G6" s="2156"/>
      <c r="H6" s="1922"/>
      <c r="I6" s="1716"/>
      <c r="J6" s="1717"/>
      <c r="K6" s="1718"/>
      <c r="L6" s="1719"/>
      <c r="M6" s="1720"/>
      <c r="N6" s="1719"/>
      <c r="O6" s="1718"/>
      <c r="P6" s="1721"/>
      <c r="Q6" s="654"/>
      <c r="R6" s="654"/>
      <c r="S6" s="654"/>
      <c r="T6" s="654"/>
      <c r="U6" s="654"/>
      <c r="V6" s="654"/>
      <c r="W6" s="654"/>
      <c r="X6" s="654"/>
      <c r="Y6" s="654"/>
      <c r="Z6" s="654"/>
      <c r="AA6" s="654"/>
      <c r="AB6" s="654"/>
      <c r="AC6" s="654"/>
      <c r="AD6" s="655"/>
      <c r="AF6" s="831"/>
      <c r="AG6" s="1389"/>
      <c r="AH6" s="1122"/>
      <c r="AI6" s="1112"/>
      <c r="AJ6" s="838"/>
      <c r="AK6" s="832"/>
      <c r="AL6" s="899"/>
    </row>
    <row r="7" spans="1:39" s="656" customFormat="1">
      <c r="A7" s="2155" t="s">
        <v>64</v>
      </c>
      <c r="B7" s="2156"/>
      <c r="C7" s="2156"/>
      <c r="D7" s="2156"/>
      <c r="E7" s="2156"/>
      <c r="F7" s="2156"/>
      <c r="G7" s="2156"/>
      <c r="H7" s="1922"/>
      <c r="I7" s="1716"/>
      <c r="J7" s="1717"/>
      <c r="K7" s="1718"/>
      <c r="L7" s="1719"/>
      <c r="M7" s="1720"/>
      <c r="N7" s="1719"/>
      <c r="O7" s="1718"/>
      <c r="P7" s="1721"/>
      <c r="Q7" s="654"/>
      <c r="R7" s="654"/>
      <c r="S7" s="654"/>
      <c r="T7" s="654"/>
      <c r="U7" s="654"/>
      <c r="V7" s="654"/>
      <c r="W7" s="654"/>
      <c r="X7" s="654"/>
      <c r="Y7" s="654"/>
      <c r="Z7" s="654"/>
      <c r="AA7" s="654"/>
      <c r="AB7" s="654"/>
      <c r="AC7" s="654"/>
      <c r="AD7" s="655"/>
      <c r="AF7" s="831"/>
      <c r="AG7" s="1389"/>
      <c r="AH7" s="1122"/>
      <c r="AI7" s="1112"/>
      <c r="AJ7" s="838"/>
      <c r="AK7" s="832"/>
      <c r="AL7" s="899"/>
    </row>
    <row r="8" spans="1:39" s="656" customFormat="1">
      <c r="A8" s="2155" t="s">
        <v>65</v>
      </c>
      <c r="B8" s="2156"/>
      <c r="C8" s="2156"/>
      <c r="D8" s="2156"/>
      <c r="E8" s="2156"/>
      <c r="F8" s="2156"/>
      <c r="G8" s="2156"/>
      <c r="H8" s="1922"/>
      <c r="I8" s="1722"/>
      <c r="J8" s="1717"/>
      <c r="K8" s="1718"/>
      <c r="L8" s="1719"/>
      <c r="M8" s="1720"/>
      <c r="N8" s="1719"/>
      <c r="O8" s="1718"/>
      <c r="P8" s="1721"/>
      <c r="Q8" s="654"/>
      <c r="R8" s="654"/>
      <c r="S8" s="654"/>
      <c r="T8" s="654"/>
      <c r="U8" s="654"/>
      <c r="V8" s="654"/>
      <c r="W8" s="654"/>
      <c r="X8" s="654"/>
      <c r="Y8" s="654"/>
      <c r="Z8" s="654"/>
      <c r="AA8" s="654"/>
      <c r="AB8" s="654"/>
      <c r="AC8" s="654"/>
      <c r="AD8" s="655"/>
      <c r="AF8" s="831"/>
      <c r="AG8" s="1389"/>
      <c r="AH8" s="1122"/>
      <c r="AI8" s="1112"/>
      <c r="AJ8" s="838"/>
      <c r="AK8" s="832"/>
      <c r="AL8" s="899"/>
    </row>
    <row r="9" spans="1:39" s="656" customFormat="1">
      <c r="A9" s="2150" t="s">
        <v>132</v>
      </c>
      <c r="B9" s="2151"/>
      <c r="C9" s="2151"/>
      <c r="D9" s="2151"/>
      <c r="E9" s="2151"/>
      <c r="F9" s="2151"/>
      <c r="G9" s="2151"/>
      <c r="H9" s="1921"/>
      <c r="I9" s="1722"/>
      <c r="J9" s="1717"/>
      <c r="K9" s="1718"/>
      <c r="L9" s="1719"/>
      <c r="M9" s="1720"/>
      <c r="N9" s="1719"/>
      <c r="O9" s="1718"/>
      <c r="P9" s="1721"/>
      <c r="Q9" s="654"/>
      <c r="R9" s="654"/>
      <c r="S9" s="654"/>
      <c r="T9" s="654"/>
      <c r="U9" s="654"/>
      <c r="V9" s="654"/>
      <c r="W9" s="654"/>
      <c r="X9" s="654"/>
      <c r="Y9" s="654"/>
      <c r="Z9" s="654"/>
      <c r="AA9" s="654"/>
      <c r="AB9" s="654"/>
      <c r="AC9" s="654"/>
      <c r="AD9" s="655"/>
      <c r="AF9" s="831"/>
      <c r="AG9" s="1389"/>
      <c r="AH9" s="1122"/>
      <c r="AI9" s="1112"/>
      <c r="AJ9" s="838"/>
      <c r="AK9" s="832"/>
      <c r="AL9" s="899"/>
    </row>
    <row r="10" spans="1:39">
      <c r="A10" s="657" t="s">
        <v>2</v>
      </c>
      <c r="B10" s="2156" t="s">
        <v>133</v>
      </c>
      <c r="C10" s="2156"/>
      <c r="D10" s="2156"/>
      <c r="E10" s="658"/>
      <c r="F10" s="658"/>
      <c r="G10" s="659"/>
      <c r="H10" s="658"/>
      <c r="I10" s="1722"/>
      <c r="J10" s="1717"/>
      <c r="K10" s="1718"/>
      <c r="L10" s="1677"/>
      <c r="M10" s="1720"/>
      <c r="N10" s="1719"/>
      <c r="O10" s="1718"/>
      <c r="P10" s="1721"/>
      <c r="Q10" s="654"/>
      <c r="R10" s="654"/>
      <c r="S10" s="654"/>
      <c r="T10" s="654"/>
      <c r="U10" s="654"/>
      <c r="V10" s="654"/>
      <c r="W10" s="654"/>
      <c r="X10" s="654"/>
      <c r="Y10" s="654"/>
      <c r="Z10" s="654"/>
      <c r="AA10" s="654"/>
      <c r="AB10" s="654"/>
      <c r="AC10" s="654"/>
      <c r="AD10" s="655"/>
    </row>
    <row r="11" spans="1:39">
      <c r="A11" s="657" t="s">
        <v>4</v>
      </c>
      <c r="B11" s="2156" t="s">
        <v>77</v>
      </c>
      <c r="C11" s="2156"/>
      <c r="D11" s="2156"/>
      <c r="E11" s="2156"/>
      <c r="F11" s="2156"/>
      <c r="G11" s="2156"/>
      <c r="H11" s="1922"/>
      <c r="I11" s="1722"/>
      <c r="J11" s="1717"/>
      <c r="K11" s="1718"/>
      <c r="L11" s="1677"/>
      <c r="M11" s="1655"/>
      <c r="N11" s="1677"/>
      <c r="O11" s="1718"/>
      <c r="P11" s="1721"/>
      <c r="Q11" s="654"/>
      <c r="R11" s="654"/>
      <c r="S11" s="654"/>
      <c r="T11" s="654"/>
      <c r="U11" s="654"/>
      <c r="V11" s="654"/>
      <c r="W11" s="654"/>
      <c r="X11" s="654"/>
      <c r="Y11" s="654"/>
      <c r="Z11" s="654"/>
      <c r="AA11" s="654"/>
      <c r="AB11" s="654"/>
      <c r="AC11" s="654"/>
      <c r="AD11" s="655"/>
    </row>
    <row r="12" spans="1:39">
      <c r="A12" s="660" t="s">
        <v>6</v>
      </c>
      <c r="B12" s="2156" t="s">
        <v>78</v>
      </c>
      <c r="C12" s="2156"/>
      <c r="D12" s="2156"/>
      <c r="E12" s="2156"/>
      <c r="F12" s="2156"/>
      <c r="G12" s="2156"/>
      <c r="H12" s="1922"/>
      <c r="I12" s="1722"/>
      <c r="J12" s="1717"/>
      <c r="K12" s="1718"/>
      <c r="L12" s="1677"/>
      <c r="M12" s="1655"/>
      <c r="N12" s="1677"/>
      <c r="O12" s="1718"/>
      <c r="P12" s="1721"/>
      <c r="Q12" s="654"/>
      <c r="R12" s="654"/>
      <c r="S12" s="654"/>
      <c r="T12" s="654"/>
      <c r="U12" s="654"/>
      <c r="V12" s="654"/>
      <c r="W12" s="654"/>
      <c r="X12" s="654"/>
      <c r="Y12" s="654"/>
      <c r="Z12" s="654"/>
      <c r="AA12" s="654"/>
      <c r="AB12" s="654"/>
      <c r="AC12" s="654"/>
      <c r="AD12" s="655"/>
    </row>
    <row r="13" spans="1:39">
      <c r="A13" s="661" t="s">
        <v>8</v>
      </c>
      <c r="B13" s="662">
        <v>43724</v>
      </c>
      <c r="C13" s="663"/>
      <c r="D13" s="663"/>
      <c r="E13" s="663"/>
      <c r="F13" s="663"/>
      <c r="G13" s="664"/>
      <c r="H13" s="663"/>
      <c r="I13" s="1722"/>
      <c r="J13" s="1717"/>
      <c r="K13" s="1718"/>
      <c r="L13" s="1677"/>
      <c r="M13" s="1655"/>
      <c r="N13" s="1677"/>
      <c r="O13" s="1718"/>
      <c r="P13" s="1721"/>
      <c r="Q13" s="654"/>
      <c r="R13" s="654"/>
      <c r="S13" s="654"/>
      <c r="T13" s="654"/>
      <c r="U13" s="654"/>
      <c r="V13" s="654"/>
      <c r="W13" s="654"/>
      <c r="X13" s="654"/>
      <c r="Y13" s="654"/>
      <c r="Z13" s="654"/>
      <c r="AA13" s="654"/>
      <c r="AB13" s="654"/>
      <c r="AC13" s="654"/>
      <c r="AD13" s="655"/>
    </row>
    <row r="14" spans="1:39">
      <c r="A14" s="665" t="s">
        <v>9</v>
      </c>
      <c r="B14" s="666">
        <f>D15-E15</f>
        <v>6399296564</v>
      </c>
      <c r="C14" s="1421" t="s">
        <v>136</v>
      </c>
      <c r="D14" s="1421" t="s">
        <v>1044</v>
      </c>
      <c r="E14" s="1421" t="s">
        <v>1045</v>
      </c>
      <c r="F14" s="663"/>
      <c r="G14" s="664"/>
      <c r="H14" s="663"/>
      <c r="I14" s="1723"/>
      <c r="J14" s="1724"/>
      <c r="K14" s="1725"/>
      <c r="L14" s="1678"/>
      <c r="M14" s="1656"/>
      <c r="N14" s="1678"/>
      <c r="O14" s="1725"/>
      <c r="P14" s="1726"/>
      <c r="Q14" s="667"/>
      <c r="R14" s="667"/>
      <c r="S14" s="667"/>
      <c r="T14" s="667"/>
      <c r="U14" s="667"/>
      <c r="V14" s="667"/>
      <c r="W14" s="667"/>
      <c r="X14" s="667"/>
      <c r="Y14" s="667"/>
      <c r="Z14" s="667"/>
      <c r="AA14" s="667"/>
      <c r="AB14" s="667"/>
      <c r="AC14" s="667"/>
      <c r="AD14" s="668"/>
    </row>
    <row r="15" spans="1:39" s="676" customFormat="1" ht="15" thickBot="1">
      <c r="A15" s="669" t="s">
        <v>79</v>
      </c>
      <c r="B15" s="670">
        <f>C15+B14</f>
        <v>20358296564</v>
      </c>
      <c r="C15" s="671">
        <v>13959000000</v>
      </c>
      <c r="D15" s="671">
        <f>38000000+3000000000+3211907757+60366878+189021929</f>
        <v>6499296564</v>
      </c>
      <c r="E15" s="671">
        <v>100000000</v>
      </c>
      <c r="F15" s="672"/>
      <c r="G15" s="673"/>
      <c r="H15" s="672"/>
      <c r="I15" s="1727"/>
      <c r="J15" s="1728"/>
      <c r="K15" s="1729"/>
      <c r="L15" s="1727"/>
      <c r="M15" s="1729"/>
      <c r="N15" s="1730"/>
      <c r="O15" s="1731"/>
      <c r="P15" s="1732"/>
      <c r="Q15" s="674"/>
      <c r="R15" s="674"/>
      <c r="S15" s="674"/>
      <c r="T15" s="674"/>
      <c r="U15" s="674"/>
      <c r="V15" s="674"/>
      <c r="W15" s="674"/>
      <c r="X15" s="674"/>
      <c r="Y15" s="674"/>
      <c r="Z15" s="674"/>
      <c r="AA15" s="674"/>
      <c r="AB15" s="674"/>
      <c r="AC15" s="674"/>
      <c r="AD15" s="675"/>
      <c r="AF15" s="830"/>
      <c r="AG15" s="1390"/>
      <c r="AH15" s="1123"/>
      <c r="AI15" s="528"/>
      <c r="AJ15" s="837"/>
      <c r="AK15" s="833"/>
      <c r="AL15" s="898"/>
    </row>
    <row r="16" spans="1:39" s="680" customFormat="1" ht="42.75">
      <c r="A16" s="677" t="s">
        <v>11</v>
      </c>
      <c r="B16" s="678" t="s">
        <v>12</v>
      </c>
      <c r="C16" s="679" t="s">
        <v>13</v>
      </c>
      <c r="D16" s="679" t="s">
        <v>14</v>
      </c>
      <c r="E16" s="679" t="s">
        <v>484</v>
      </c>
      <c r="F16" s="679" t="s">
        <v>436</v>
      </c>
      <c r="G16" s="2028" t="s">
        <v>16</v>
      </c>
      <c r="H16" s="2050" t="s">
        <v>1379</v>
      </c>
      <c r="I16" s="2045" t="s">
        <v>528</v>
      </c>
      <c r="J16" s="999" t="s">
        <v>95</v>
      </c>
      <c r="K16" s="747" t="s">
        <v>130</v>
      </c>
      <c r="L16" s="753" t="s">
        <v>1290</v>
      </c>
      <c r="M16" s="747" t="s">
        <v>17</v>
      </c>
      <c r="N16" s="1733" t="s">
        <v>97</v>
      </c>
      <c r="O16" s="1734" t="s">
        <v>116</v>
      </c>
      <c r="P16" s="1735" t="s">
        <v>98</v>
      </c>
      <c r="Q16" s="264" t="s">
        <v>99</v>
      </c>
      <c r="R16" s="263" t="s">
        <v>100</v>
      </c>
      <c r="S16" s="263" t="s">
        <v>101</v>
      </c>
      <c r="T16" s="263" t="s">
        <v>102</v>
      </c>
      <c r="U16" s="263" t="s">
        <v>103</v>
      </c>
      <c r="V16" s="263" t="s">
        <v>104</v>
      </c>
      <c r="W16" s="263" t="s">
        <v>105</v>
      </c>
      <c r="X16" s="263" t="s">
        <v>106</v>
      </c>
      <c r="Y16" s="263" t="s">
        <v>107</v>
      </c>
      <c r="Z16" s="263" t="s">
        <v>108</v>
      </c>
      <c r="AA16" s="263" t="s">
        <v>109</v>
      </c>
      <c r="AB16" s="290" t="s">
        <v>110</v>
      </c>
      <c r="AC16" s="264" t="s">
        <v>111</v>
      </c>
      <c r="AD16" s="290" t="s">
        <v>112</v>
      </c>
      <c r="AF16" s="901" t="s">
        <v>123</v>
      </c>
      <c r="AG16" s="902" t="s">
        <v>114</v>
      </c>
      <c r="AH16" s="902" t="s">
        <v>115</v>
      </c>
      <c r="AI16" s="1118" t="s">
        <v>119</v>
      </c>
      <c r="AJ16" s="902" t="s">
        <v>122</v>
      </c>
      <c r="AK16" s="1247" t="s">
        <v>129</v>
      </c>
      <c r="AL16" s="898"/>
      <c r="AM16" s="680" t="s">
        <v>1283</v>
      </c>
    </row>
    <row r="17" spans="1:39" s="656" customFormat="1" ht="15">
      <c r="A17" s="681" t="s">
        <v>904</v>
      </c>
      <c r="B17" s="682">
        <f>B18+B25+B29+B59+B62+B68+B76+B85+B90+B95+B98+B103+B108+B115</f>
        <v>13706575753</v>
      </c>
      <c r="C17" s="280">
        <f>B17-B115</f>
        <v>12236635753</v>
      </c>
      <c r="D17" s="96"/>
      <c r="E17" s="96"/>
      <c r="F17" s="96"/>
      <c r="G17" s="1622"/>
      <c r="H17" s="652"/>
      <c r="I17" s="1736"/>
      <c r="J17" s="1737"/>
      <c r="K17" s="1738"/>
      <c r="L17" s="1739"/>
      <c r="M17" s="1740"/>
      <c r="N17" s="1739"/>
      <c r="O17" s="1741"/>
      <c r="P17" s="1742"/>
      <c r="Q17" s="683"/>
      <c r="R17" s="684"/>
      <c r="S17" s="684"/>
      <c r="T17" s="684"/>
      <c r="U17" s="684"/>
      <c r="V17" s="684"/>
      <c r="W17" s="684"/>
      <c r="X17" s="684"/>
      <c r="Y17" s="684"/>
      <c r="Z17" s="684"/>
      <c r="AA17" s="684"/>
      <c r="AB17" s="685"/>
      <c r="AC17" s="683"/>
      <c r="AD17" s="685"/>
      <c r="AF17" s="1249"/>
      <c r="AG17" s="684"/>
      <c r="AH17" s="684"/>
      <c r="AI17" s="684"/>
      <c r="AJ17" s="684"/>
      <c r="AK17" s="685"/>
      <c r="AL17" s="899"/>
    </row>
    <row r="18" spans="1:39" s="687" customFormat="1" ht="35.25" customHeight="1">
      <c r="A18" s="681" t="s">
        <v>903</v>
      </c>
      <c r="B18" s="819">
        <v>499999999</v>
      </c>
      <c r="C18" s="280" t="s">
        <v>36</v>
      </c>
      <c r="D18" s="799" t="s">
        <v>865</v>
      </c>
      <c r="E18" s="799" t="s">
        <v>147</v>
      </c>
      <c r="F18" s="799" t="s">
        <v>868</v>
      </c>
      <c r="G18" s="2029" t="s">
        <v>80</v>
      </c>
      <c r="H18" s="2051" t="s">
        <v>1388</v>
      </c>
      <c r="I18" s="1743"/>
      <c r="J18" s="1744">
        <v>0</v>
      </c>
      <c r="K18" s="1745"/>
      <c r="L18" s="1746"/>
      <c r="M18" s="1747"/>
      <c r="N18" s="1746"/>
      <c r="O18" s="1748"/>
      <c r="P18" s="1742"/>
      <c r="Q18" s="683"/>
      <c r="R18" s="684"/>
      <c r="S18" s="684"/>
      <c r="T18" s="684"/>
      <c r="U18" s="684"/>
      <c r="V18" s="684"/>
      <c r="W18" s="684"/>
      <c r="X18" s="684"/>
      <c r="Y18" s="684"/>
      <c r="Z18" s="684"/>
      <c r="AA18" s="684"/>
      <c r="AB18" s="685"/>
      <c r="AC18" s="683"/>
      <c r="AD18" s="685"/>
      <c r="AF18" s="1249"/>
      <c r="AG18" s="684"/>
      <c r="AH18" s="684"/>
      <c r="AI18" s="684"/>
      <c r="AJ18" s="684"/>
      <c r="AK18" s="685"/>
      <c r="AL18" s="899"/>
      <c r="AM18" s="1603"/>
    </row>
    <row r="19" spans="1:39" s="687" customFormat="1" ht="15">
      <c r="A19" s="820" t="s">
        <v>905</v>
      </c>
      <c r="B19" s="275">
        <f>M19</f>
        <v>389542533</v>
      </c>
      <c r="C19" s="95" t="s">
        <v>36</v>
      </c>
      <c r="D19" s="96" t="s">
        <v>865</v>
      </c>
      <c r="E19" s="96" t="s">
        <v>147</v>
      </c>
      <c r="F19" s="96" t="s">
        <v>868</v>
      </c>
      <c r="G19" s="1622" t="s">
        <v>80</v>
      </c>
      <c r="H19" s="652" t="s">
        <v>1388</v>
      </c>
      <c r="I19" s="2046">
        <v>320</v>
      </c>
      <c r="J19" s="1749">
        <v>627</v>
      </c>
      <c r="K19" s="1750">
        <v>389542533</v>
      </c>
      <c r="L19" s="1751">
        <v>712</v>
      </c>
      <c r="M19" s="1758">
        <v>389542533</v>
      </c>
      <c r="N19" s="1685"/>
      <c r="O19" s="1753"/>
      <c r="P19" s="1754"/>
      <c r="Q19" s="688"/>
      <c r="R19" s="507"/>
      <c r="S19" s="507"/>
      <c r="T19" s="507"/>
      <c r="U19" s="507"/>
      <c r="V19" s="507"/>
      <c r="W19" s="507"/>
      <c r="X19" s="507"/>
      <c r="Y19" s="507"/>
      <c r="Z19" s="507"/>
      <c r="AA19" s="507"/>
      <c r="AB19" s="702"/>
      <c r="AC19" s="690">
        <f>SUM(Q19:AB19)</f>
        <v>0</v>
      </c>
      <c r="AD19" s="689">
        <f>O19-AC19</f>
        <v>0</v>
      </c>
      <c r="AF19" s="903">
        <v>320</v>
      </c>
      <c r="AG19" s="1362" t="s">
        <v>1313</v>
      </c>
      <c r="AH19" s="1125" t="s">
        <v>178</v>
      </c>
      <c r="AI19" s="1113">
        <f>P19</f>
        <v>0</v>
      </c>
      <c r="AJ19" s="904">
        <v>417804600</v>
      </c>
      <c r="AK19" s="906">
        <f>AJ19-O19</f>
        <v>417804600</v>
      </c>
      <c r="AL19" s="899"/>
      <c r="AM19" s="1604">
        <f>AJ19-M19</f>
        <v>28262067</v>
      </c>
    </row>
    <row r="20" spans="1:39" s="687" customFormat="1" ht="15">
      <c r="A20" s="820" t="s">
        <v>905</v>
      </c>
      <c r="B20" s="275">
        <f>M20</f>
        <v>0</v>
      </c>
      <c r="C20" s="95" t="s">
        <v>36</v>
      </c>
      <c r="D20" s="96" t="s">
        <v>865</v>
      </c>
      <c r="E20" s="96" t="s">
        <v>147</v>
      </c>
      <c r="F20" s="96" t="s">
        <v>868</v>
      </c>
      <c r="G20" s="1622" t="s">
        <v>80</v>
      </c>
      <c r="H20" s="652" t="s">
        <v>1388</v>
      </c>
      <c r="I20" s="2046" t="s">
        <v>150</v>
      </c>
      <c r="J20" s="1749">
        <v>0</v>
      </c>
      <c r="K20" s="1750"/>
      <c r="L20" s="1751"/>
      <c r="M20" s="1758"/>
      <c r="N20" s="1685"/>
      <c r="O20" s="1753"/>
      <c r="P20" s="1754"/>
      <c r="Q20" s="688"/>
      <c r="R20" s="507"/>
      <c r="S20" s="507"/>
      <c r="T20" s="507"/>
      <c r="U20" s="507"/>
      <c r="V20" s="507"/>
      <c r="W20" s="507"/>
      <c r="X20" s="507"/>
      <c r="Y20" s="507"/>
      <c r="Z20" s="507"/>
      <c r="AA20" s="507"/>
      <c r="AB20" s="702"/>
      <c r="AC20" s="690">
        <f>SUM(Q20:AB20)</f>
        <v>0</v>
      </c>
      <c r="AD20" s="689">
        <f>O20-AC20</f>
        <v>0</v>
      </c>
      <c r="AF20" s="903" t="s">
        <v>150</v>
      </c>
      <c r="AG20" s="1362" t="s">
        <v>490</v>
      </c>
      <c r="AH20" s="1125" t="s">
        <v>178</v>
      </c>
      <c r="AI20" s="1113">
        <f>P20</f>
        <v>0</v>
      </c>
      <c r="AJ20" s="904">
        <f>6000000-6000000</f>
        <v>0</v>
      </c>
      <c r="AK20" s="906">
        <f>AJ20-O20</f>
        <v>0</v>
      </c>
      <c r="AL20" s="899"/>
      <c r="AM20" s="1604">
        <f>AJ20-M20</f>
        <v>0</v>
      </c>
    </row>
    <row r="21" spans="1:39" s="687" customFormat="1" ht="15">
      <c r="A21" s="820" t="s">
        <v>905</v>
      </c>
      <c r="B21" s="275">
        <f>M21</f>
        <v>0</v>
      </c>
      <c r="C21" s="95" t="s">
        <v>36</v>
      </c>
      <c r="D21" s="96" t="s">
        <v>865</v>
      </c>
      <c r="E21" s="96" t="s">
        <v>147</v>
      </c>
      <c r="F21" s="96" t="s">
        <v>868</v>
      </c>
      <c r="G21" s="1622" t="s">
        <v>80</v>
      </c>
      <c r="H21" s="652" t="s">
        <v>1388</v>
      </c>
      <c r="I21" s="2046">
        <v>321</v>
      </c>
      <c r="J21" s="1749">
        <v>0</v>
      </c>
      <c r="K21" s="1750"/>
      <c r="L21" s="1751"/>
      <c r="M21" s="1758"/>
      <c r="N21" s="1685"/>
      <c r="O21" s="1753"/>
      <c r="P21" s="1754"/>
      <c r="Q21" s="688"/>
      <c r="R21" s="507"/>
      <c r="S21" s="507"/>
      <c r="T21" s="507"/>
      <c r="U21" s="507"/>
      <c r="V21" s="507"/>
      <c r="W21" s="507"/>
      <c r="X21" s="507"/>
      <c r="Y21" s="507"/>
      <c r="Z21" s="507"/>
      <c r="AA21" s="507"/>
      <c r="AB21" s="702"/>
      <c r="AC21" s="690">
        <f>SUM(Q21:AB21)</f>
        <v>0</v>
      </c>
      <c r="AD21" s="689">
        <f>O21-AC21</f>
        <v>0</v>
      </c>
      <c r="AF21" s="903">
        <v>321</v>
      </c>
      <c r="AG21" s="1362" t="s">
        <v>1314</v>
      </c>
      <c r="AH21" s="1125" t="s">
        <v>178</v>
      </c>
      <c r="AI21" s="1113">
        <f>P21</f>
        <v>0</v>
      </c>
      <c r="AJ21" s="904">
        <f>76195399+6000000</f>
        <v>82195399</v>
      </c>
      <c r="AK21" s="906">
        <f>AJ21-O21</f>
        <v>82195399</v>
      </c>
      <c r="AL21" s="899"/>
      <c r="AM21" s="1604">
        <f>AJ21-M21</f>
        <v>82195399</v>
      </c>
    </row>
    <row r="22" spans="1:39" s="687" customFormat="1" ht="15">
      <c r="A22" s="820" t="s">
        <v>905</v>
      </c>
      <c r="B22" s="275">
        <f>M22</f>
        <v>0</v>
      </c>
      <c r="C22" s="95" t="s">
        <v>36</v>
      </c>
      <c r="D22" s="96" t="s">
        <v>865</v>
      </c>
      <c r="E22" s="96" t="s">
        <v>147</v>
      </c>
      <c r="F22" s="96" t="s">
        <v>868</v>
      </c>
      <c r="G22" s="1622" t="s">
        <v>80</v>
      </c>
      <c r="H22" s="652" t="s">
        <v>1388</v>
      </c>
      <c r="I22" s="1755" t="s">
        <v>178</v>
      </c>
      <c r="J22" s="1749">
        <v>0</v>
      </c>
      <c r="K22" s="1750"/>
      <c r="L22" s="1756"/>
      <c r="M22" s="1758"/>
      <c r="N22" s="1685"/>
      <c r="O22" s="1753"/>
      <c r="P22" s="1754"/>
      <c r="Q22" s="688"/>
      <c r="R22" s="507"/>
      <c r="S22" s="507"/>
      <c r="T22" s="507"/>
      <c r="U22" s="507"/>
      <c r="V22" s="507"/>
      <c r="W22" s="507"/>
      <c r="X22" s="507"/>
      <c r="Y22" s="507"/>
      <c r="Z22" s="507"/>
      <c r="AA22" s="507"/>
      <c r="AB22" s="702"/>
      <c r="AC22" s="690">
        <f>SUM(Q22:AB22)</f>
        <v>0</v>
      </c>
      <c r="AD22" s="689">
        <f>O22-AC22</f>
        <v>0</v>
      </c>
      <c r="AF22" s="903"/>
      <c r="AG22" s="1362"/>
      <c r="AH22" s="1125" t="s">
        <v>178</v>
      </c>
      <c r="AI22" s="1113">
        <f>P22</f>
        <v>0</v>
      </c>
      <c r="AJ22" s="904"/>
      <c r="AK22" s="906">
        <f>AJ22-O22</f>
        <v>0</v>
      </c>
      <c r="AL22" s="899"/>
      <c r="AM22" s="1603"/>
    </row>
    <row r="23" spans="1:39" s="656" customFormat="1" ht="15">
      <c r="A23" s="820" t="s">
        <v>905</v>
      </c>
      <c r="B23" s="275">
        <f>M23</f>
        <v>0</v>
      </c>
      <c r="C23" s="95" t="s">
        <v>36</v>
      </c>
      <c r="D23" s="96" t="s">
        <v>865</v>
      </c>
      <c r="E23" s="96" t="s">
        <v>147</v>
      </c>
      <c r="F23" s="96" t="s">
        <v>868</v>
      </c>
      <c r="G23" s="1622" t="s">
        <v>80</v>
      </c>
      <c r="H23" s="652" t="s">
        <v>1388</v>
      </c>
      <c r="I23" s="1755" t="s">
        <v>178</v>
      </c>
      <c r="J23" s="1749">
        <v>0</v>
      </c>
      <c r="K23" s="1750"/>
      <c r="L23" s="1757"/>
      <c r="M23" s="1758"/>
      <c r="N23" s="1685"/>
      <c r="O23" s="1703"/>
      <c r="P23" s="1754"/>
      <c r="Q23" s="688"/>
      <c r="R23" s="507"/>
      <c r="S23" s="507"/>
      <c r="T23" s="507"/>
      <c r="U23" s="507"/>
      <c r="V23" s="507"/>
      <c r="W23" s="507"/>
      <c r="X23" s="507"/>
      <c r="Y23" s="507"/>
      <c r="Z23" s="507"/>
      <c r="AA23" s="507"/>
      <c r="AB23" s="702"/>
      <c r="AC23" s="690">
        <f>SUM(Q23:AB23)</f>
        <v>0</v>
      </c>
      <c r="AD23" s="689">
        <f>O23-AC23</f>
        <v>0</v>
      </c>
      <c r="AF23" s="903"/>
      <c r="AG23" s="1362"/>
      <c r="AH23" s="1125" t="s">
        <v>178</v>
      </c>
      <c r="AI23" s="1113">
        <f>P23</f>
        <v>0</v>
      </c>
      <c r="AJ23" s="904"/>
      <c r="AK23" s="906">
        <f>AJ23-O23</f>
        <v>0</v>
      </c>
      <c r="AL23" s="899"/>
    </row>
    <row r="24" spans="1:39" s="656" customFormat="1" ht="15">
      <c r="A24" s="691" t="s">
        <v>81</v>
      </c>
      <c r="B24" s="692">
        <f>B18-SUM(B19:B23)</f>
        <v>110457466</v>
      </c>
      <c r="C24" s="693"/>
      <c r="D24" s="693"/>
      <c r="E24" s="693"/>
      <c r="F24" s="693"/>
      <c r="G24" s="2030"/>
      <c r="H24" s="2052"/>
      <c r="I24" s="1759"/>
      <c r="J24" s="1760"/>
      <c r="K24" s="1761"/>
      <c r="L24" s="1688"/>
      <c r="M24" s="1762">
        <f>SUM(M19:M23)</f>
        <v>389542533</v>
      </c>
      <c r="N24" s="1688"/>
      <c r="O24" s="1762">
        <f>SUM(O19:O23)</f>
        <v>0</v>
      </c>
      <c r="P24" s="1763"/>
      <c r="Q24" s="14">
        <f>SUM(Q19:Q23)</f>
        <v>0</v>
      </c>
      <c r="R24" s="14">
        <f t="shared" ref="R24:AD24" si="0">SUM(R19:R23)</f>
        <v>0</v>
      </c>
      <c r="S24" s="14">
        <f t="shared" si="0"/>
        <v>0</v>
      </c>
      <c r="T24" s="14">
        <f t="shared" si="0"/>
        <v>0</v>
      </c>
      <c r="U24" s="14">
        <f t="shared" si="0"/>
        <v>0</v>
      </c>
      <c r="V24" s="14">
        <f t="shared" si="0"/>
        <v>0</v>
      </c>
      <c r="W24" s="14">
        <f t="shared" si="0"/>
        <v>0</v>
      </c>
      <c r="X24" s="14">
        <f t="shared" si="0"/>
        <v>0</v>
      </c>
      <c r="Y24" s="14">
        <f t="shared" si="0"/>
        <v>0</v>
      </c>
      <c r="Z24" s="14">
        <f t="shared" si="0"/>
        <v>0</v>
      </c>
      <c r="AA24" s="14">
        <f t="shared" si="0"/>
        <v>0</v>
      </c>
      <c r="AB24" s="182">
        <f t="shared" si="0"/>
        <v>0</v>
      </c>
      <c r="AC24" s="251">
        <f t="shared" si="0"/>
        <v>0</v>
      </c>
      <c r="AD24" s="182">
        <f t="shared" si="0"/>
        <v>0</v>
      </c>
      <c r="AF24" s="907"/>
      <c r="AG24" s="14"/>
      <c r="AH24" s="14"/>
      <c r="AI24" s="1117"/>
      <c r="AJ24" s="14">
        <f>SUM(AJ19:AJ23)</f>
        <v>499999999</v>
      </c>
      <c r="AK24" s="182">
        <f>SUM(AK19:AK23)</f>
        <v>499999999</v>
      </c>
      <c r="AL24" s="899">
        <f>B18-AJ24</f>
        <v>0</v>
      </c>
    </row>
    <row r="25" spans="1:39" s="656" customFormat="1" ht="28.5" customHeight="1">
      <c r="A25" s="681" t="s">
        <v>1139</v>
      </c>
      <c r="B25" s="682">
        <v>251888417</v>
      </c>
      <c r="C25" s="1346" t="s">
        <v>36</v>
      </c>
      <c r="D25" s="1347" t="s">
        <v>865</v>
      </c>
      <c r="E25" s="1347" t="s">
        <v>147</v>
      </c>
      <c r="F25" s="1347" t="s">
        <v>868</v>
      </c>
      <c r="G25" s="1445" t="s">
        <v>80</v>
      </c>
      <c r="H25" s="2053" t="s">
        <v>1388</v>
      </c>
      <c r="I25" s="2047"/>
      <c r="J25" s="1764"/>
      <c r="K25" s="1764"/>
      <c r="L25" s="1764"/>
      <c r="M25" s="1764"/>
      <c r="N25" s="1764"/>
      <c r="O25" s="1764"/>
      <c r="P25" s="1764"/>
      <c r="Q25" s="1346"/>
      <c r="R25" s="1346"/>
      <c r="S25" s="1346"/>
      <c r="T25" s="1346"/>
      <c r="U25" s="1346"/>
      <c r="V25" s="1346"/>
      <c r="W25" s="1346"/>
      <c r="X25" s="1346"/>
      <c r="Y25" s="1346"/>
      <c r="Z25" s="1346"/>
      <c r="AA25" s="1346"/>
      <c r="AB25" s="1444"/>
      <c r="AC25" s="1446"/>
      <c r="AD25" s="1444"/>
      <c r="AE25" s="1442"/>
      <c r="AF25" s="1443"/>
      <c r="AG25" s="1346"/>
      <c r="AH25" s="1346"/>
      <c r="AI25" s="1346"/>
      <c r="AJ25" s="1346"/>
      <c r="AK25" s="1444"/>
      <c r="AL25" s="899"/>
    </row>
    <row r="26" spans="1:39" s="656" customFormat="1" ht="15">
      <c r="A26" s="1441" t="s">
        <v>1140</v>
      </c>
      <c r="B26" s="1314">
        <f>M26</f>
        <v>251888417</v>
      </c>
      <c r="C26" s="95" t="s">
        <v>36</v>
      </c>
      <c r="D26" s="96" t="s">
        <v>865</v>
      </c>
      <c r="E26" s="96" t="s">
        <v>147</v>
      </c>
      <c r="F26" s="96" t="s">
        <v>868</v>
      </c>
      <c r="G26" s="1622" t="s">
        <v>80</v>
      </c>
      <c r="H26" s="652" t="s">
        <v>1388</v>
      </c>
      <c r="I26" s="1765" t="s">
        <v>178</v>
      </c>
      <c r="J26" s="1766">
        <v>542</v>
      </c>
      <c r="K26" s="1660">
        <v>251888417</v>
      </c>
      <c r="L26" s="1682">
        <v>624</v>
      </c>
      <c r="M26" s="1540">
        <v>251888417</v>
      </c>
      <c r="N26" s="1682"/>
      <c r="O26" s="1540"/>
      <c r="P26" s="1767" t="s">
        <v>1224</v>
      </c>
      <c r="Q26" s="252"/>
      <c r="R26" s="7"/>
      <c r="S26" s="7"/>
      <c r="T26" s="7"/>
      <c r="U26" s="7"/>
      <c r="V26" s="7"/>
      <c r="W26" s="7"/>
      <c r="X26" s="7"/>
      <c r="Y26" s="7"/>
      <c r="Z26" s="7"/>
      <c r="AA26" s="7"/>
      <c r="AB26" s="184"/>
      <c r="AC26" s="690">
        <f t="shared" ref="AC26:AC27" si="1">SUM(Q26:AB26)</f>
        <v>0</v>
      </c>
      <c r="AD26" s="689">
        <f>O26-AC26</f>
        <v>0</v>
      </c>
      <c r="AF26" s="946" t="s">
        <v>349</v>
      </c>
      <c r="AG26" s="1357" t="s">
        <v>1142</v>
      </c>
      <c r="AH26" s="7"/>
      <c r="AI26" s="1113" t="str">
        <f t="shared" ref="AI26:AI27" si="2">P26</f>
        <v>460/2018</v>
      </c>
      <c r="AJ26" s="105">
        <v>251888417</v>
      </c>
      <c r="AK26" s="906">
        <f>AJ26-O26</f>
        <v>251888417</v>
      </c>
      <c r="AL26" s="899"/>
      <c r="AM26" s="1604">
        <f>AJ26-M26</f>
        <v>0</v>
      </c>
    </row>
    <row r="27" spans="1:39" s="656" customFormat="1" ht="15">
      <c r="A27" s="1441" t="s">
        <v>1141</v>
      </c>
      <c r="B27" s="1314">
        <f>M27</f>
        <v>0</v>
      </c>
      <c r="C27" s="95" t="s">
        <v>36</v>
      </c>
      <c r="D27" s="96" t="s">
        <v>865</v>
      </c>
      <c r="E27" s="96" t="s">
        <v>147</v>
      </c>
      <c r="F27" s="96" t="s">
        <v>868</v>
      </c>
      <c r="G27" s="1622" t="s">
        <v>80</v>
      </c>
      <c r="H27" s="652" t="s">
        <v>1388</v>
      </c>
      <c r="I27" s="1765" t="s">
        <v>178</v>
      </c>
      <c r="J27" s="1766"/>
      <c r="K27" s="1660"/>
      <c r="L27" s="1682"/>
      <c r="M27" s="1540"/>
      <c r="N27" s="1682"/>
      <c r="O27" s="1540"/>
      <c r="P27" s="1768"/>
      <c r="Q27" s="252"/>
      <c r="R27" s="7"/>
      <c r="S27" s="7"/>
      <c r="T27" s="7"/>
      <c r="U27" s="7"/>
      <c r="V27" s="7"/>
      <c r="W27" s="7"/>
      <c r="X27" s="7"/>
      <c r="Y27" s="7"/>
      <c r="Z27" s="7"/>
      <c r="AA27" s="7"/>
      <c r="AB27" s="184"/>
      <c r="AC27" s="690">
        <f t="shared" si="1"/>
        <v>0</v>
      </c>
      <c r="AD27" s="689">
        <f>O27-AC27</f>
        <v>0</v>
      </c>
      <c r="AF27" s="945"/>
      <c r="AG27" s="7"/>
      <c r="AH27" s="7"/>
      <c r="AI27" s="1113">
        <f t="shared" si="2"/>
        <v>0</v>
      </c>
      <c r="AJ27" s="7"/>
      <c r="AK27" s="906">
        <f>AJ27-O27</f>
        <v>0</v>
      </c>
      <c r="AL27" s="899"/>
    </row>
    <row r="28" spans="1:39" s="656" customFormat="1" ht="15">
      <c r="A28" s="691" t="s">
        <v>81</v>
      </c>
      <c r="B28" s="692">
        <f>B25-SUM(B26:B27)</f>
        <v>0</v>
      </c>
      <c r="C28" s="693"/>
      <c r="D28" s="694"/>
      <c r="E28" s="694"/>
      <c r="F28" s="694"/>
      <c r="G28" s="1313"/>
      <c r="H28" s="2054"/>
      <c r="I28" s="1769"/>
      <c r="J28" s="1760"/>
      <c r="K28" s="1761"/>
      <c r="L28" s="1688"/>
      <c r="M28" s="1762">
        <f>SUM(M26:M27)</f>
        <v>251888417</v>
      </c>
      <c r="N28" s="1688"/>
      <c r="O28" s="1762">
        <f>SUM(O26:O27)</f>
        <v>0</v>
      </c>
      <c r="P28" s="1763"/>
      <c r="Q28" s="14">
        <f>SUM(Q26:Q27)</f>
        <v>0</v>
      </c>
      <c r="R28" s="14">
        <f t="shared" ref="R28:AD28" si="3">SUM(R26:R27)</f>
        <v>0</v>
      </c>
      <c r="S28" s="14">
        <f t="shared" si="3"/>
        <v>0</v>
      </c>
      <c r="T28" s="14">
        <f t="shared" si="3"/>
        <v>0</v>
      </c>
      <c r="U28" s="14">
        <f t="shared" si="3"/>
        <v>0</v>
      </c>
      <c r="V28" s="14">
        <f t="shared" si="3"/>
        <v>0</v>
      </c>
      <c r="W28" s="14">
        <f t="shared" si="3"/>
        <v>0</v>
      </c>
      <c r="X28" s="14">
        <f t="shared" si="3"/>
        <v>0</v>
      </c>
      <c r="Y28" s="14">
        <f t="shared" si="3"/>
        <v>0</v>
      </c>
      <c r="Z28" s="14">
        <f t="shared" si="3"/>
        <v>0</v>
      </c>
      <c r="AA28" s="14">
        <f t="shared" si="3"/>
        <v>0</v>
      </c>
      <c r="AB28" s="14">
        <f t="shared" si="3"/>
        <v>0</v>
      </c>
      <c r="AC28" s="14">
        <f t="shared" si="3"/>
        <v>0</v>
      </c>
      <c r="AD28" s="14">
        <f t="shared" si="3"/>
        <v>0</v>
      </c>
      <c r="AF28" s="907"/>
      <c r="AG28" s="14"/>
      <c r="AH28" s="14"/>
      <c r="AI28" s="1117"/>
      <c r="AJ28" s="14">
        <f t="shared" ref="AJ28" si="4">SUM(AJ26:AJ27)</f>
        <v>251888417</v>
      </c>
      <c r="AK28" s="14">
        <f t="shared" ref="AK28" si="5">SUM(AK26:AK27)</f>
        <v>251888417</v>
      </c>
      <c r="AL28" s="899">
        <f>B25-AJ28</f>
        <v>0</v>
      </c>
    </row>
    <row r="29" spans="1:39" s="656" customFormat="1" ht="25.5" customHeight="1">
      <c r="A29" s="681" t="s">
        <v>902</v>
      </c>
      <c r="B29" s="682">
        <f>B30+B38+B41+B44+B47+B50+B53+B56</f>
        <v>6035425773</v>
      </c>
      <c r="C29" s="280"/>
      <c r="D29" s="799"/>
      <c r="E29" s="799"/>
      <c r="F29" s="799"/>
      <c r="G29" s="2029"/>
      <c r="H29" s="2051"/>
      <c r="I29" s="1743"/>
      <c r="J29" s="1744"/>
      <c r="K29" s="1745"/>
      <c r="L29" s="1746"/>
      <c r="M29" s="1747"/>
      <c r="N29" s="1746"/>
      <c r="O29" s="1748"/>
      <c r="P29" s="1742"/>
      <c r="Q29" s="683"/>
      <c r="R29" s="684"/>
      <c r="S29" s="684"/>
      <c r="T29" s="684"/>
      <c r="U29" s="684"/>
      <c r="V29" s="684"/>
      <c r="W29" s="684"/>
      <c r="X29" s="684"/>
      <c r="Y29" s="684"/>
      <c r="Z29" s="684"/>
      <c r="AA29" s="684"/>
      <c r="AB29" s="685"/>
      <c r="AC29" s="683"/>
      <c r="AD29" s="685"/>
      <c r="AF29" s="1249"/>
      <c r="AG29" s="684"/>
      <c r="AH29" s="684"/>
      <c r="AI29" s="684"/>
      <c r="AJ29" s="684"/>
      <c r="AK29" s="685"/>
      <c r="AL29" s="899"/>
    </row>
    <row r="30" spans="1:39" s="687" customFormat="1" ht="26.25" customHeight="1">
      <c r="A30" s="1350" t="s">
        <v>902</v>
      </c>
      <c r="B30" s="686">
        <f>2531346001+35425772</f>
        <v>2566771773</v>
      </c>
      <c r="C30" s="1346" t="s">
        <v>36</v>
      </c>
      <c r="D30" s="1347" t="s">
        <v>865</v>
      </c>
      <c r="E30" s="1347" t="s">
        <v>147</v>
      </c>
      <c r="F30" s="1347" t="s">
        <v>868</v>
      </c>
      <c r="G30" s="1445" t="s">
        <v>80</v>
      </c>
      <c r="H30" s="2053" t="s">
        <v>1388</v>
      </c>
      <c r="I30" s="1743"/>
      <c r="J30" s="1744">
        <v>0</v>
      </c>
      <c r="K30" s="1745"/>
      <c r="L30" s="1746"/>
      <c r="M30" s="1747"/>
      <c r="N30" s="1746"/>
      <c r="O30" s="1748"/>
      <c r="P30" s="1742"/>
      <c r="Q30" s="683"/>
      <c r="R30" s="684"/>
      <c r="S30" s="684"/>
      <c r="T30" s="684"/>
      <c r="U30" s="684"/>
      <c r="V30" s="684"/>
      <c r="W30" s="684"/>
      <c r="X30" s="684"/>
      <c r="Y30" s="684"/>
      <c r="Z30" s="684"/>
      <c r="AA30" s="684"/>
      <c r="AB30" s="685"/>
      <c r="AC30" s="683"/>
      <c r="AD30" s="685"/>
      <c r="AF30" s="1249"/>
      <c r="AG30" s="684"/>
      <c r="AH30" s="684"/>
      <c r="AI30" s="684"/>
      <c r="AJ30" s="684"/>
      <c r="AK30" s="685"/>
      <c r="AL30" s="899"/>
      <c r="AM30" s="1603"/>
    </row>
    <row r="31" spans="1:39" s="687" customFormat="1" ht="15">
      <c r="A31" s="820" t="s">
        <v>902</v>
      </c>
      <c r="B31" s="275">
        <f t="shared" ref="B31:B36" si="6">M31</f>
        <v>0</v>
      </c>
      <c r="C31" s="95" t="s">
        <v>36</v>
      </c>
      <c r="D31" s="96" t="s">
        <v>865</v>
      </c>
      <c r="E31" s="96" t="s">
        <v>147</v>
      </c>
      <c r="F31" s="96" t="s">
        <v>868</v>
      </c>
      <c r="G31" s="1622" t="s">
        <v>80</v>
      </c>
      <c r="H31" s="652" t="s">
        <v>1388</v>
      </c>
      <c r="I31" s="2046">
        <v>317</v>
      </c>
      <c r="J31" s="1749">
        <v>0</v>
      </c>
      <c r="K31" s="1750"/>
      <c r="L31" s="1751"/>
      <c r="M31" s="1752"/>
      <c r="N31" s="1685"/>
      <c r="O31" s="1753"/>
      <c r="P31" s="1754"/>
      <c r="Q31" s="688"/>
      <c r="R31" s="507"/>
      <c r="S31" s="507"/>
      <c r="T31" s="507"/>
      <c r="U31" s="507"/>
      <c r="V31" s="507"/>
      <c r="W31" s="507"/>
      <c r="X31" s="507"/>
      <c r="Y31" s="507"/>
      <c r="Z31" s="507"/>
      <c r="AA31" s="507"/>
      <c r="AB31" s="702"/>
      <c r="AC31" s="690">
        <f>SUM(Q31:AB31)</f>
        <v>0</v>
      </c>
      <c r="AD31" s="689">
        <f t="shared" ref="AD31:AD36" si="7">O31-AC31</f>
        <v>0</v>
      </c>
      <c r="AF31" s="903">
        <v>317</v>
      </c>
      <c r="AG31" s="1362" t="s">
        <v>179</v>
      </c>
      <c r="AH31" s="1125" t="s">
        <v>178</v>
      </c>
      <c r="AI31" s="1113">
        <f t="shared" ref="AI31:AI36" si="8">P31</f>
        <v>0</v>
      </c>
      <c r="AJ31" s="904">
        <f>1677499869-34000000-51974308</f>
        <v>1591525561</v>
      </c>
      <c r="AK31" s="906">
        <f t="shared" ref="AK31:AK36" si="9">AJ31-O31</f>
        <v>1591525561</v>
      </c>
      <c r="AL31" s="899"/>
      <c r="AM31" s="1604">
        <f t="shared" ref="AM31:AM36" si="10">AJ31-M31</f>
        <v>1591525561</v>
      </c>
    </row>
    <row r="32" spans="1:39" s="687" customFormat="1">
      <c r="A32" s="820" t="s">
        <v>902</v>
      </c>
      <c r="B32" s="275">
        <f t="shared" si="6"/>
        <v>75425772</v>
      </c>
      <c r="C32" s="95" t="s">
        <v>36</v>
      </c>
      <c r="D32" s="96" t="s">
        <v>865</v>
      </c>
      <c r="E32" s="96" t="s">
        <v>147</v>
      </c>
      <c r="F32" s="96" t="s">
        <v>868</v>
      </c>
      <c r="G32" s="1622" t="s">
        <v>80</v>
      </c>
      <c r="H32" s="652" t="s">
        <v>1388</v>
      </c>
      <c r="I32" s="2046" t="s">
        <v>1229</v>
      </c>
      <c r="J32" s="1770" t="s">
        <v>1305</v>
      </c>
      <c r="K32" s="1750">
        <f>85680+1478975+1478975+160650+71222560</f>
        <v>74426840</v>
      </c>
      <c r="L32" s="1771" t="s">
        <v>1340</v>
      </c>
      <c r="M32" s="1758">
        <f>328486+150535+220626+299285+1478975+85680+1478975+160650+71222560</f>
        <v>75425772</v>
      </c>
      <c r="N32" s="1772" t="s">
        <v>1347</v>
      </c>
      <c r="O32" s="1703">
        <f>328486+150535+220626+299285+1478975+160650+200000</f>
        <v>2838557</v>
      </c>
      <c r="P32" s="1773" t="s">
        <v>1277</v>
      </c>
      <c r="Q32" s="688" t="s">
        <v>178</v>
      </c>
      <c r="R32" s="507"/>
      <c r="S32" s="507"/>
      <c r="T32" s="507"/>
      <c r="U32" s="507"/>
      <c r="V32" s="507">
        <f>328486+150535+220626</f>
        <v>699647</v>
      </c>
      <c r="W32" s="507"/>
      <c r="X32" s="507"/>
      <c r="Y32" s="507">
        <f>200000+1478975+160650</f>
        <v>1839625</v>
      </c>
      <c r="Z32" s="507"/>
      <c r="AA32" s="507"/>
      <c r="AB32" s="702"/>
      <c r="AC32" s="690">
        <f t="shared" ref="AC32:AC36" si="11">SUM(Q32:AB32)</f>
        <v>2539272</v>
      </c>
      <c r="AD32" s="689">
        <f t="shared" si="7"/>
        <v>299285</v>
      </c>
      <c r="AF32" s="903" t="s">
        <v>150</v>
      </c>
      <c r="AG32" s="1362" t="s">
        <v>180</v>
      </c>
      <c r="AH32" s="1124" t="s">
        <v>1071</v>
      </c>
      <c r="AI32" s="1113" t="str">
        <f t="shared" si="8"/>
        <v>Factura 19130-2539-2730-20657-2822</v>
      </c>
      <c r="AJ32" s="904">
        <f>6000000+34000000+35425772</f>
        <v>75425772</v>
      </c>
      <c r="AK32" s="906">
        <f t="shared" si="9"/>
        <v>72587215</v>
      </c>
      <c r="AL32" s="899"/>
      <c r="AM32" s="1604">
        <f t="shared" si="10"/>
        <v>0</v>
      </c>
    </row>
    <row r="33" spans="1:39" s="687" customFormat="1">
      <c r="A33" s="820" t="s">
        <v>902</v>
      </c>
      <c r="B33" s="275">
        <f t="shared" si="6"/>
        <v>15846132</v>
      </c>
      <c r="C33" s="95" t="s">
        <v>36</v>
      </c>
      <c r="D33" s="96" t="s">
        <v>865</v>
      </c>
      <c r="E33" s="96" t="s">
        <v>147</v>
      </c>
      <c r="F33" s="96" t="s">
        <v>868</v>
      </c>
      <c r="G33" s="1622" t="s">
        <v>80</v>
      </c>
      <c r="H33" s="652" t="s">
        <v>1388</v>
      </c>
      <c r="I33" s="2046">
        <v>318</v>
      </c>
      <c r="J33" s="1749">
        <v>0</v>
      </c>
      <c r="K33" s="1750"/>
      <c r="L33" s="1751">
        <v>136</v>
      </c>
      <c r="M33" s="1758">
        <v>15846132</v>
      </c>
      <c r="N33" s="1692">
        <v>122</v>
      </c>
      <c r="O33" s="1703">
        <v>15846132</v>
      </c>
      <c r="P33" s="1754">
        <v>125</v>
      </c>
      <c r="Q33" s="688"/>
      <c r="R33" s="507">
        <v>1408545</v>
      </c>
      <c r="S33" s="507">
        <f>VLOOKUP(N33,[9]Hoja2!N$2:T$77,7,0)</f>
        <v>5282044</v>
      </c>
      <c r="T33" s="507">
        <v>5282044</v>
      </c>
      <c r="U33" s="507">
        <v>3873499</v>
      </c>
      <c r="V33" s="507"/>
      <c r="W33" s="507"/>
      <c r="X33" s="507"/>
      <c r="Y33" s="507"/>
      <c r="Z33" s="507"/>
      <c r="AA33" s="507"/>
      <c r="AB33" s="702"/>
      <c r="AC33" s="690">
        <f t="shared" si="11"/>
        <v>15846132</v>
      </c>
      <c r="AD33" s="689">
        <f t="shared" si="7"/>
        <v>0</v>
      </c>
      <c r="AF33" s="903">
        <v>318</v>
      </c>
      <c r="AG33" s="1362" t="s">
        <v>181</v>
      </c>
      <c r="AH33" s="1124" t="s">
        <v>594</v>
      </c>
      <c r="AI33" s="1113">
        <f t="shared" si="8"/>
        <v>125</v>
      </c>
      <c r="AJ33" s="904">
        <v>15846132</v>
      </c>
      <c r="AK33" s="906">
        <f t="shared" si="9"/>
        <v>0</v>
      </c>
      <c r="AL33" s="899"/>
      <c r="AM33" s="1604">
        <f t="shared" si="10"/>
        <v>0</v>
      </c>
    </row>
    <row r="34" spans="1:39" s="687" customFormat="1" ht="15">
      <c r="A34" s="820" t="s">
        <v>902</v>
      </c>
      <c r="B34" s="275">
        <f t="shared" si="6"/>
        <v>0</v>
      </c>
      <c r="C34" s="95" t="s">
        <v>36</v>
      </c>
      <c r="D34" s="96" t="s">
        <v>865</v>
      </c>
      <c r="E34" s="96" t="s">
        <v>147</v>
      </c>
      <c r="F34" s="96" t="s">
        <v>868</v>
      </c>
      <c r="G34" s="1622" t="s">
        <v>80</v>
      </c>
      <c r="H34" s="652" t="s">
        <v>1388</v>
      </c>
      <c r="I34" s="2046">
        <v>319</v>
      </c>
      <c r="J34" s="1749">
        <v>0</v>
      </c>
      <c r="K34" s="1750"/>
      <c r="L34" s="1751"/>
      <c r="M34" s="1752"/>
      <c r="N34" s="1685"/>
      <c r="O34" s="1753"/>
      <c r="P34" s="1754"/>
      <c r="Q34" s="688"/>
      <c r="R34" s="507"/>
      <c r="S34" s="507"/>
      <c r="T34" s="507"/>
      <c r="U34" s="507"/>
      <c r="V34" s="507"/>
      <c r="W34" s="507"/>
      <c r="X34" s="507"/>
      <c r="Y34" s="507"/>
      <c r="Z34" s="507"/>
      <c r="AA34" s="507"/>
      <c r="AB34" s="702"/>
      <c r="AC34" s="690">
        <f t="shared" si="11"/>
        <v>0</v>
      </c>
      <c r="AD34" s="689">
        <f t="shared" si="7"/>
        <v>0</v>
      </c>
      <c r="AF34" s="903">
        <v>319</v>
      </c>
      <c r="AG34" s="1362" t="s">
        <v>182</v>
      </c>
      <c r="AH34" s="1125" t="s">
        <v>178</v>
      </c>
      <c r="AI34" s="1113">
        <f t="shared" si="8"/>
        <v>0</v>
      </c>
      <c r="AJ34" s="904">
        <v>832000000</v>
      </c>
      <c r="AK34" s="906">
        <f t="shared" si="9"/>
        <v>832000000</v>
      </c>
      <c r="AL34" s="899"/>
      <c r="AM34" s="1604">
        <f t="shared" si="10"/>
        <v>832000000</v>
      </c>
    </row>
    <row r="35" spans="1:39" s="687" customFormat="1" ht="15">
      <c r="A35" s="820" t="s">
        <v>902</v>
      </c>
      <c r="B35" s="275">
        <f t="shared" si="6"/>
        <v>31692000</v>
      </c>
      <c r="C35" s="95" t="s">
        <v>36</v>
      </c>
      <c r="D35" s="96" t="s">
        <v>865</v>
      </c>
      <c r="E35" s="96" t="s">
        <v>147</v>
      </c>
      <c r="F35" s="96" t="s">
        <v>868</v>
      </c>
      <c r="G35" s="1622" t="s">
        <v>80</v>
      </c>
      <c r="H35" s="652" t="s">
        <v>1388</v>
      </c>
      <c r="I35" s="1755">
        <v>519</v>
      </c>
      <c r="J35" s="1749">
        <v>0</v>
      </c>
      <c r="K35" s="1750"/>
      <c r="L35" s="1751">
        <v>531</v>
      </c>
      <c r="M35" s="1758">
        <f>34333000-2641000</f>
        <v>31692000</v>
      </c>
      <c r="N35" s="1692">
        <v>613</v>
      </c>
      <c r="O35" s="1703">
        <v>31692000</v>
      </c>
      <c r="P35" s="1754">
        <v>381</v>
      </c>
      <c r="Q35" s="688"/>
      <c r="R35" s="507"/>
      <c r="S35" s="507"/>
      <c r="T35" s="507"/>
      <c r="U35" s="507"/>
      <c r="V35" s="507"/>
      <c r="W35" s="507">
        <v>2993133</v>
      </c>
      <c r="X35" s="507">
        <v>5282000</v>
      </c>
      <c r="Y35" s="507">
        <v>5282000</v>
      </c>
      <c r="Z35" s="507"/>
      <c r="AA35" s="507"/>
      <c r="AB35" s="702"/>
      <c r="AC35" s="690">
        <f t="shared" si="11"/>
        <v>13557133</v>
      </c>
      <c r="AD35" s="689">
        <f t="shared" si="7"/>
        <v>18134867</v>
      </c>
      <c r="AF35" s="903">
        <v>519</v>
      </c>
      <c r="AG35" s="1362" t="s">
        <v>977</v>
      </c>
      <c r="AH35" s="1124" t="s">
        <v>594</v>
      </c>
      <c r="AI35" s="1113">
        <f t="shared" si="8"/>
        <v>381</v>
      </c>
      <c r="AJ35" s="904">
        <f>36974308</f>
        <v>36974308</v>
      </c>
      <c r="AK35" s="906">
        <f t="shared" si="9"/>
        <v>5282308</v>
      </c>
      <c r="AL35" s="899"/>
      <c r="AM35" s="1604">
        <f t="shared" si="10"/>
        <v>5282308</v>
      </c>
    </row>
    <row r="36" spans="1:39" s="656" customFormat="1" ht="15">
      <c r="A36" s="820" t="s">
        <v>902</v>
      </c>
      <c r="B36" s="275">
        <f t="shared" si="6"/>
        <v>6493671</v>
      </c>
      <c r="C36" s="95" t="s">
        <v>36</v>
      </c>
      <c r="D36" s="96" t="s">
        <v>865</v>
      </c>
      <c r="E36" s="96" t="s">
        <v>147</v>
      </c>
      <c r="F36" s="96" t="s">
        <v>868</v>
      </c>
      <c r="G36" s="1622" t="s">
        <v>80</v>
      </c>
      <c r="H36" s="652" t="s">
        <v>1388</v>
      </c>
      <c r="I36" s="1755">
        <v>518</v>
      </c>
      <c r="J36" s="1749">
        <v>0</v>
      </c>
      <c r="K36" s="1750"/>
      <c r="L36" s="1757">
        <v>578</v>
      </c>
      <c r="M36" s="1758">
        <v>6493671</v>
      </c>
      <c r="N36" s="1692">
        <v>735</v>
      </c>
      <c r="O36" s="1703">
        <v>6401010</v>
      </c>
      <c r="P36" s="1754">
        <v>436</v>
      </c>
      <c r="Q36" s="688"/>
      <c r="R36" s="507"/>
      <c r="S36" s="507"/>
      <c r="T36" s="507"/>
      <c r="U36" s="507"/>
      <c r="V36" s="507"/>
      <c r="W36" s="507"/>
      <c r="X36" s="507"/>
      <c r="Y36" s="507"/>
      <c r="Z36" s="507"/>
      <c r="AA36" s="507"/>
      <c r="AB36" s="702"/>
      <c r="AC36" s="690">
        <f t="shared" si="11"/>
        <v>0</v>
      </c>
      <c r="AD36" s="689">
        <f t="shared" si="7"/>
        <v>6401010</v>
      </c>
      <c r="AF36" s="903">
        <v>518</v>
      </c>
      <c r="AG36" s="1362" t="s">
        <v>997</v>
      </c>
      <c r="AH36" s="1124" t="s">
        <v>1266</v>
      </c>
      <c r="AI36" s="1113">
        <f t="shared" si="8"/>
        <v>436</v>
      </c>
      <c r="AJ36" s="904">
        <f>15000000</f>
        <v>15000000</v>
      </c>
      <c r="AK36" s="906">
        <f t="shared" si="9"/>
        <v>8598990</v>
      </c>
      <c r="AL36" s="899"/>
      <c r="AM36" s="1604">
        <f t="shared" si="10"/>
        <v>8506329</v>
      </c>
    </row>
    <row r="37" spans="1:39" s="656" customFormat="1" ht="15">
      <c r="A37" s="691" t="s">
        <v>81</v>
      </c>
      <c r="B37" s="692">
        <f>B30-SUM(B31:B36)</f>
        <v>2437314198</v>
      </c>
      <c r="C37" s="693"/>
      <c r="D37" s="693"/>
      <c r="E37" s="693"/>
      <c r="F37" s="693"/>
      <c r="G37" s="2030"/>
      <c r="H37" s="2052"/>
      <c r="I37" s="1759"/>
      <c r="J37" s="1760"/>
      <c r="K37" s="1761"/>
      <c r="L37" s="1688"/>
      <c r="M37" s="1762">
        <f>SUM(M31:M36)</f>
        <v>129457575</v>
      </c>
      <c r="N37" s="1688"/>
      <c r="O37" s="1762">
        <f>SUM(O31:O36)</f>
        <v>56777699</v>
      </c>
      <c r="P37" s="1763"/>
      <c r="Q37" s="14">
        <f>SUM(Q31:Q36)</f>
        <v>0</v>
      </c>
      <c r="R37" s="14">
        <f t="shared" ref="R37:AD37" si="12">SUM(R31:R36)</f>
        <v>1408545</v>
      </c>
      <c r="S37" s="14">
        <f t="shared" si="12"/>
        <v>5282044</v>
      </c>
      <c r="T37" s="14">
        <f t="shared" si="12"/>
        <v>5282044</v>
      </c>
      <c r="U37" s="14">
        <f t="shared" si="12"/>
        <v>3873499</v>
      </c>
      <c r="V37" s="14">
        <f t="shared" si="12"/>
        <v>699647</v>
      </c>
      <c r="W37" s="14">
        <f t="shared" si="12"/>
        <v>2993133</v>
      </c>
      <c r="X37" s="14">
        <f t="shared" si="12"/>
        <v>5282000</v>
      </c>
      <c r="Y37" s="14">
        <f t="shared" si="12"/>
        <v>7121625</v>
      </c>
      <c r="Z37" s="14">
        <f t="shared" si="12"/>
        <v>0</v>
      </c>
      <c r="AA37" s="14">
        <f t="shared" si="12"/>
        <v>0</v>
      </c>
      <c r="AB37" s="14">
        <f t="shared" si="12"/>
        <v>0</v>
      </c>
      <c r="AC37" s="14">
        <f t="shared" si="12"/>
        <v>31942537</v>
      </c>
      <c r="AD37" s="14">
        <f t="shared" si="12"/>
        <v>24835162</v>
      </c>
      <c r="AF37" s="907"/>
      <c r="AG37" s="14">
        <f>SUM(AG36:AG36)</f>
        <v>0</v>
      </c>
      <c r="AH37" s="14">
        <f>SUM(AH36:AH36)</f>
        <v>0</v>
      </c>
      <c r="AI37" s="1117">
        <f>SUM(AI36:AI36)</f>
        <v>436</v>
      </c>
      <c r="AJ37" s="14">
        <f>SUM(AJ31:AJ36)</f>
        <v>2566771773</v>
      </c>
      <c r="AK37" s="182">
        <f>SUM(AK31:AK36)</f>
        <v>2509994074</v>
      </c>
      <c r="AL37" s="899">
        <f>B30-AJ37</f>
        <v>0</v>
      </c>
    </row>
    <row r="38" spans="1:39" s="687" customFormat="1" ht="28.5" customHeight="1">
      <c r="A38" s="1350" t="s">
        <v>902</v>
      </c>
      <c r="B38" s="686">
        <v>864424000</v>
      </c>
      <c r="C38" s="1346" t="s">
        <v>84</v>
      </c>
      <c r="D38" s="1347" t="s">
        <v>865</v>
      </c>
      <c r="E38" s="1347" t="s">
        <v>147</v>
      </c>
      <c r="F38" s="1347" t="s">
        <v>868</v>
      </c>
      <c r="G38" s="1445" t="s">
        <v>80</v>
      </c>
      <c r="H38" s="2053" t="s">
        <v>1388</v>
      </c>
      <c r="I38" s="1743"/>
      <c r="J38" s="1744">
        <v>0</v>
      </c>
      <c r="K38" s="1745"/>
      <c r="L38" s="1746"/>
      <c r="M38" s="1747"/>
      <c r="N38" s="1746"/>
      <c r="O38" s="1748"/>
      <c r="P38" s="1742"/>
      <c r="Q38" s="683"/>
      <c r="R38" s="684"/>
      <c r="S38" s="684"/>
      <c r="T38" s="684"/>
      <c r="U38" s="684"/>
      <c r="V38" s="684"/>
      <c r="W38" s="684"/>
      <c r="X38" s="684"/>
      <c r="Y38" s="684"/>
      <c r="Z38" s="684"/>
      <c r="AA38" s="684"/>
      <c r="AB38" s="685"/>
      <c r="AC38" s="683"/>
      <c r="AD38" s="685"/>
      <c r="AF38" s="1249"/>
      <c r="AG38" s="684"/>
      <c r="AH38" s="684"/>
      <c r="AI38" s="684"/>
      <c r="AJ38" s="684"/>
      <c r="AK38" s="685"/>
      <c r="AL38" s="899"/>
      <c r="AM38" s="1603"/>
    </row>
    <row r="39" spans="1:39" s="656" customFormat="1" ht="24">
      <c r="A39" s="1358" t="s">
        <v>902</v>
      </c>
      <c r="B39" s="275">
        <f>M39</f>
        <v>0</v>
      </c>
      <c r="C39" s="95" t="s">
        <v>84</v>
      </c>
      <c r="D39" s="96" t="s">
        <v>865</v>
      </c>
      <c r="E39" s="96" t="s">
        <v>147</v>
      </c>
      <c r="F39" s="96" t="s">
        <v>868</v>
      </c>
      <c r="G39" s="1622" t="s">
        <v>80</v>
      </c>
      <c r="H39" s="652" t="s">
        <v>1388</v>
      </c>
      <c r="I39" s="2046">
        <v>317</v>
      </c>
      <c r="J39" s="1749">
        <v>0</v>
      </c>
      <c r="K39" s="1750"/>
      <c r="L39" s="1685"/>
      <c r="M39" s="1752"/>
      <c r="N39" s="1685"/>
      <c r="O39" s="1703"/>
      <c r="P39" s="1754"/>
      <c r="Q39" s="688"/>
      <c r="R39" s="507"/>
      <c r="S39" s="507"/>
      <c r="T39" s="507"/>
      <c r="U39" s="507"/>
      <c r="V39" s="507"/>
      <c r="W39" s="507"/>
      <c r="X39" s="507"/>
      <c r="Y39" s="507"/>
      <c r="Z39" s="507"/>
      <c r="AA39" s="507"/>
      <c r="AB39" s="702"/>
      <c r="AC39" s="690">
        <f>SUM(Q39:AB39)</f>
        <v>0</v>
      </c>
      <c r="AD39" s="689">
        <f>O39-AC39</f>
        <v>0</v>
      </c>
      <c r="AF39" s="903">
        <v>317</v>
      </c>
      <c r="AG39" s="1362" t="s">
        <v>179</v>
      </c>
      <c r="AH39" s="1124" t="s">
        <v>178</v>
      </c>
      <c r="AI39" s="1113">
        <f>P39</f>
        <v>0</v>
      </c>
      <c r="AJ39" s="904">
        <v>864424000</v>
      </c>
      <c r="AK39" s="906">
        <f>AJ39-O39</f>
        <v>864424000</v>
      </c>
      <c r="AL39" s="899"/>
      <c r="AM39" s="1604">
        <f>AJ39-M39</f>
        <v>864424000</v>
      </c>
    </row>
    <row r="40" spans="1:39" s="656" customFormat="1" ht="15">
      <c r="A40" s="691" t="s">
        <v>81</v>
      </c>
      <c r="B40" s="692">
        <f>+B39-L39</f>
        <v>0</v>
      </c>
      <c r="C40" s="693"/>
      <c r="D40" s="693"/>
      <c r="E40" s="693"/>
      <c r="F40" s="693"/>
      <c r="G40" s="2030"/>
      <c r="H40" s="2052"/>
      <c r="I40" s="1759"/>
      <c r="J40" s="1760"/>
      <c r="K40" s="1761"/>
      <c r="L40" s="1688"/>
      <c r="M40" s="1762">
        <f>SUM(M39:M39)</f>
        <v>0</v>
      </c>
      <c r="N40" s="1688"/>
      <c r="O40" s="1762">
        <f>SUM(O39:O39)</f>
        <v>0</v>
      </c>
      <c r="P40" s="1763"/>
      <c r="Q40" s="251">
        <f t="shared" ref="Q40:AD40" si="13">SUM(Q39:Q39)</f>
        <v>0</v>
      </c>
      <c r="R40" s="14">
        <f t="shared" si="13"/>
        <v>0</v>
      </c>
      <c r="S40" s="14">
        <f t="shared" si="13"/>
        <v>0</v>
      </c>
      <c r="T40" s="14">
        <f t="shared" si="13"/>
        <v>0</v>
      </c>
      <c r="U40" s="14">
        <f t="shared" si="13"/>
        <v>0</v>
      </c>
      <c r="V40" s="14">
        <f t="shared" si="13"/>
        <v>0</v>
      </c>
      <c r="W40" s="14">
        <f t="shared" si="13"/>
        <v>0</v>
      </c>
      <c r="X40" s="14">
        <f t="shared" si="13"/>
        <v>0</v>
      </c>
      <c r="Y40" s="14">
        <f t="shared" si="13"/>
        <v>0</v>
      </c>
      <c r="Z40" s="14">
        <f t="shared" si="13"/>
        <v>0</v>
      </c>
      <c r="AA40" s="14">
        <f t="shared" si="13"/>
        <v>0</v>
      </c>
      <c r="AB40" s="182">
        <f t="shared" si="13"/>
        <v>0</v>
      </c>
      <c r="AC40" s="251">
        <f t="shared" si="13"/>
        <v>0</v>
      </c>
      <c r="AD40" s="182">
        <f t="shared" si="13"/>
        <v>0</v>
      </c>
      <c r="AF40" s="907"/>
      <c r="AG40" s="14">
        <f t="shared" ref="AG40:AJ40" si="14">SUM(AG39:AG39)</f>
        <v>0</v>
      </c>
      <c r="AH40" s="14">
        <f t="shared" si="14"/>
        <v>0</v>
      </c>
      <c r="AI40" s="1117">
        <f t="shared" si="14"/>
        <v>0</v>
      </c>
      <c r="AJ40" s="14">
        <f t="shared" si="14"/>
        <v>864424000</v>
      </c>
      <c r="AK40" s="182">
        <f>SUM(AK39:AK39)</f>
        <v>864424000</v>
      </c>
      <c r="AL40" s="899">
        <f>B38-AJ40</f>
        <v>0</v>
      </c>
    </row>
    <row r="41" spans="1:39" s="687" customFormat="1" ht="29.25" customHeight="1">
      <c r="A41" s="1350" t="s">
        <v>902</v>
      </c>
      <c r="B41" s="686">
        <v>725000</v>
      </c>
      <c r="C41" s="1346" t="s">
        <v>83</v>
      </c>
      <c r="D41" s="1347" t="s">
        <v>865</v>
      </c>
      <c r="E41" s="1347" t="s">
        <v>147</v>
      </c>
      <c r="F41" s="1347" t="s">
        <v>868</v>
      </c>
      <c r="G41" s="1445" t="s">
        <v>80</v>
      </c>
      <c r="H41" s="2053" t="s">
        <v>1388</v>
      </c>
      <c r="I41" s="1743"/>
      <c r="J41" s="1744">
        <v>0</v>
      </c>
      <c r="K41" s="1745"/>
      <c r="L41" s="1746"/>
      <c r="M41" s="1747"/>
      <c r="N41" s="1746"/>
      <c r="O41" s="1748"/>
      <c r="P41" s="1742"/>
      <c r="Q41" s="683"/>
      <c r="R41" s="684"/>
      <c r="S41" s="684"/>
      <c r="T41" s="684"/>
      <c r="U41" s="684"/>
      <c r="V41" s="684"/>
      <c r="W41" s="684"/>
      <c r="X41" s="684"/>
      <c r="Y41" s="684"/>
      <c r="Z41" s="684"/>
      <c r="AA41" s="684"/>
      <c r="AB41" s="685"/>
      <c r="AC41" s="683"/>
      <c r="AD41" s="685"/>
      <c r="AF41" s="1249"/>
      <c r="AG41" s="684"/>
      <c r="AH41" s="684"/>
      <c r="AI41" s="684"/>
      <c r="AJ41" s="684"/>
      <c r="AK41" s="685"/>
      <c r="AL41" s="899"/>
      <c r="AM41" s="1603"/>
    </row>
    <row r="42" spans="1:39" s="656" customFormat="1" ht="24">
      <c r="A42" s="1358" t="s">
        <v>902</v>
      </c>
      <c r="B42" s="275">
        <f>M42</f>
        <v>0</v>
      </c>
      <c r="C42" s="95" t="s">
        <v>83</v>
      </c>
      <c r="D42" s="96" t="s">
        <v>865</v>
      </c>
      <c r="E42" s="1348" t="s">
        <v>147</v>
      </c>
      <c r="F42" s="1348" t="s">
        <v>868</v>
      </c>
      <c r="G42" s="2031" t="s">
        <v>80</v>
      </c>
      <c r="H42" s="2055" t="s">
        <v>1388</v>
      </c>
      <c r="I42" s="2046">
        <v>317</v>
      </c>
      <c r="J42" s="1749">
        <v>0</v>
      </c>
      <c r="K42" s="1750"/>
      <c r="L42" s="1685"/>
      <c r="M42" s="1752"/>
      <c r="N42" s="1685"/>
      <c r="O42" s="1703"/>
      <c r="P42" s="1754"/>
      <c r="Q42" s="688"/>
      <c r="R42" s="507"/>
      <c r="S42" s="507"/>
      <c r="T42" s="507"/>
      <c r="U42" s="507"/>
      <c r="V42" s="507"/>
      <c r="W42" s="507"/>
      <c r="X42" s="507"/>
      <c r="Y42" s="507"/>
      <c r="Z42" s="507"/>
      <c r="AA42" s="507"/>
      <c r="AB42" s="702"/>
      <c r="AC42" s="690">
        <f>SUM(Q42:AB42)</f>
        <v>0</v>
      </c>
      <c r="AD42" s="689">
        <f>O42-AC42</f>
        <v>0</v>
      </c>
      <c r="AF42" s="903">
        <v>317</v>
      </c>
      <c r="AG42" s="1362" t="s">
        <v>179</v>
      </c>
      <c r="AH42" s="1124" t="s">
        <v>178</v>
      </c>
      <c r="AI42" s="1113">
        <f>P42</f>
        <v>0</v>
      </c>
      <c r="AJ42" s="904">
        <v>725000</v>
      </c>
      <c r="AK42" s="906">
        <f>AJ42-O42</f>
        <v>725000</v>
      </c>
      <c r="AL42" s="899"/>
      <c r="AM42" s="1604">
        <f>AJ42-M42</f>
        <v>725000</v>
      </c>
    </row>
    <row r="43" spans="1:39" s="656" customFormat="1" ht="15">
      <c r="A43" s="691" t="s">
        <v>81</v>
      </c>
      <c r="B43" s="692">
        <f>B41-SUM(B42:B42)</f>
        <v>725000</v>
      </c>
      <c r="C43" s="693"/>
      <c r="D43" s="693"/>
      <c r="E43" s="693"/>
      <c r="F43" s="693"/>
      <c r="G43" s="2030"/>
      <c r="H43" s="2052"/>
      <c r="I43" s="1759"/>
      <c r="J43" s="1760"/>
      <c r="K43" s="1761"/>
      <c r="L43" s="1688"/>
      <c r="M43" s="1762">
        <f>SUM(M42:M42)</f>
        <v>0</v>
      </c>
      <c r="N43" s="1688"/>
      <c r="O43" s="1762">
        <f>SUM(O42:O42)</f>
        <v>0</v>
      </c>
      <c r="P43" s="1763"/>
      <c r="Q43" s="251">
        <f t="shared" ref="Q43:AD43" si="15">SUM(Q42:Q42)</f>
        <v>0</v>
      </c>
      <c r="R43" s="14">
        <f t="shared" si="15"/>
        <v>0</v>
      </c>
      <c r="S43" s="14">
        <f t="shared" si="15"/>
        <v>0</v>
      </c>
      <c r="T43" s="14">
        <f t="shared" si="15"/>
        <v>0</v>
      </c>
      <c r="U43" s="14">
        <f t="shared" si="15"/>
        <v>0</v>
      </c>
      <c r="V43" s="14">
        <f t="shared" si="15"/>
        <v>0</v>
      </c>
      <c r="W43" s="14">
        <f t="shared" si="15"/>
        <v>0</v>
      </c>
      <c r="X43" s="14">
        <f t="shared" si="15"/>
        <v>0</v>
      </c>
      <c r="Y43" s="14">
        <f t="shared" si="15"/>
        <v>0</v>
      </c>
      <c r="Z43" s="14">
        <f t="shared" si="15"/>
        <v>0</v>
      </c>
      <c r="AA43" s="14">
        <f t="shared" si="15"/>
        <v>0</v>
      </c>
      <c r="AB43" s="182">
        <f t="shared" si="15"/>
        <v>0</v>
      </c>
      <c r="AC43" s="251">
        <f t="shared" si="15"/>
        <v>0</v>
      </c>
      <c r="AD43" s="182">
        <f t="shared" si="15"/>
        <v>0</v>
      </c>
      <c r="AF43" s="907"/>
      <c r="AG43" s="14">
        <f t="shared" ref="AG43:AJ43" si="16">SUM(AG42:AG42)</f>
        <v>0</v>
      </c>
      <c r="AH43" s="14">
        <f t="shared" si="16"/>
        <v>0</v>
      </c>
      <c r="AI43" s="1117">
        <f t="shared" si="16"/>
        <v>0</v>
      </c>
      <c r="AJ43" s="14">
        <f t="shared" si="16"/>
        <v>725000</v>
      </c>
      <c r="AK43" s="182">
        <f>SUM(AK42:AK42)</f>
        <v>725000</v>
      </c>
      <c r="AL43" s="899">
        <f>B41-AJ43</f>
        <v>0</v>
      </c>
    </row>
    <row r="44" spans="1:39" s="687" customFormat="1" ht="26.25" customHeight="1">
      <c r="A44" s="1350" t="s">
        <v>902</v>
      </c>
      <c r="B44" s="686">
        <v>528108000</v>
      </c>
      <c r="C44" s="1346" t="s">
        <v>148</v>
      </c>
      <c r="D44" s="1347" t="s">
        <v>865</v>
      </c>
      <c r="E44" s="1347" t="s">
        <v>147</v>
      </c>
      <c r="F44" s="1347" t="s">
        <v>868</v>
      </c>
      <c r="G44" s="1445" t="s">
        <v>80</v>
      </c>
      <c r="H44" s="2053" t="s">
        <v>1388</v>
      </c>
      <c r="I44" s="1743"/>
      <c r="J44" s="1744">
        <v>0</v>
      </c>
      <c r="K44" s="1745"/>
      <c r="L44" s="1774"/>
      <c r="M44" s="1747"/>
      <c r="N44" s="1746"/>
      <c r="O44" s="1748"/>
      <c r="P44" s="1742"/>
      <c r="Q44" s="683"/>
      <c r="R44" s="684"/>
      <c r="S44" s="684"/>
      <c r="T44" s="684"/>
      <c r="U44" s="684"/>
      <c r="V44" s="684"/>
      <c r="W44" s="684"/>
      <c r="X44" s="684"/>
      <c r="Y44" s="684"/>
      <c r="Z44" s="684"/>
      <c r="AA44" s="684"/>
      <c r="AB44" s="685"/>
      <c r="AC44" s="683"/>
      <c r="AD44" s="685"/>
      <c r="AF44" s="1249"/>
      <c r="AG44" s="684"/>
      <c r="AH44" s="684"/>
      <c r="AI44" s="684"/>
      <c r="AJ44" s="684"/>
      <c r="AK44" s="685"/>
      <c r="AL44" s="899"/>
      <c r="AM44" s="1603"/>
    </row>
    <row r="45" spans="1:39" s="656" customFormat="1" ht="24">
      <c r="A45" s="1358" t="s">
        <v>902</v>
      </c>
      <c r="B45" s="275">
        <f>M45</f>
        <v>0</v>
      </c>
      <c r="C45" s="95" t="s">
        <v>148</v>
      </c>
      <c r="D45" s="96" t="s">
        <v>865</v>
      </c>
      <c r="E45" s="96" t="s">
        <v>147</v>
      </c>
      <c r="F45" s="96" t="s">
        <v>868</v>
      </c>
      <c r="G45" s="1622" t="s">
        <v>80</v>
      </c>
      <c r="H45" s="652" t="s">
        <v>1388</v>
      </c>
      <c r="I45" s="2046">
        <v>317</v>
      </c>
      <c r="J45" s="1749">
        <v>0</v>
      </c>
      <c r="K45" s="1750"/>
      <c r="L45" s="1751"/>
      <c r="M45" s="1758"/>
      <c r="N45" s="1751"/>
      <c r="O45" s="1703"/>
      <c r="P45" s="1754"/>
      <c r="Q45" s="688"/>
      <c r="R45" s="507"/>
      <c r="S45" s="507"/>
      <c r="T45" s="507"/>
      <c r="U45" s="507"/>
      <c r="V45" s="507"/>
      <c r="W45" s="507"/>
      <c r="X45" s="507"/>
      <c r="Y45" s="507"/>
      <c r="Z45" s="507"/>
      <c r="AA45" s="507"/>
      <c r="AB45" s="702"/>
      <c r="AC45" s="690">
        <f>SUM(Q45:AB45)</f>
        <v>0</v>
      </c>
      <c r="AD45" s="689">
        <f>O45-AC45</f>
        <v>0</v>
      </c>
      <c r="AF45" s="903">
        <v>317</v>
      </c>
      <c r="AG45" s="1362" t="s">
        <v>179</v>
      </c>
      <c r="AH45" s="1124" t="s">
        <v>178</v>
      </c>
      <c r="AI45" s="1113">
        <f>P45</f>
        <v>0</v>
      </c>
      <c r="AJ45" s="904">
        <v>528108000</v>
      </c>
      <c r="AK45" s="906">
        <f>AJ45-O45</f>
        <v>528108000</v>
      </c>
      <c r="AL45" s="899"/>
      <c r="AM45" s="1604">
        <f>AJ45-M45</f>
        <v>528108000</v>
      </c>
    </row>
    <row r="46" spans="1:39" s="656" customFormat="1" ht="15">
      <c r="A46" s="691" t="s">
        <v>81</v>
      </c>
      <c r="B46" s="692">
        <f>B44-SUM(B45:B45)</f>
        <v>528108000</v>
      </c>
      <c r="C46" s="693"/>
      <c r="D46" s="693"/>
      <c r="E46" s="693"/>
      <c r="F46" s="693"/>
      <c r="G46" s="2030"/>
      <c r="H46" s="2052"/>
      <c r="I46" s="1759"/>
      <c r="J46" s="1760"/>
      <c r="K46" s="1761"/>
      <c r="L46" s="1688"/>
      <c r="M46" s="1762">
        <f>SUM(M45:M45)</f>
        <v>0</v>
      </c>
      <c r="N46" s="1688"/>
      <c r="O46" s="1762">
        <f>SUM(O45:O45)</f>
        <v>0</v>
      </c>
      <c r="P46" s="1763"/>
      <c r="Q46" s="251">
        <f t="shared" ref="Q46:AD46" si="17">SUM(Q45:Q45)</f>
        <v>0</v>
      </c>
      <c r="R46" s="14">
        <f t="shared" si="17"/>
        <v>0</v>
      </c>
      <c r="S46" s="14">
        <f t="shared" si="17"/>
        <v>0</v>
      </c>
      <c r="T46" s="14">
        <f t="shared" si="17"/>
        <v>0</v>
      </c>
      <c r="U46" s="14">
        <f t="shared" si="17"/>
        <v>0</v>
      </c>
      <c r="V46" s="14">
        <f t="shared" si="17"/>
        <v>0</v>
      </c>
      <c r="W46" s="14">
        <f t="shared" si="17"/>
        <v>0</v>
      </c>
      <c r="X46" s="14">
        <f t="shared" si="17"/>
        <v>0</v>
      </c>
      <c r="Y46" s="14">
        <f t="shared" si="17"/>
        <v>0</v>
      </c>
      <c r="Z46" s="14">
        <f t="shared" si="17"/>
        <v>0</v>
      </c>
      <c r="AA46" s="14">
        <f t="shared" si="17"/>
        <v>0</v>
      </c>
      <c r="AB46" s="182">
        <f t="shared" si="17"/>
        <v>0</v>
      </c>
      <c r="AC46" s="251">
        <f t="shared" si="17"/>
        <v>0</v>
      </c>
      <c r="AD46" s="182">
        <f t="shared" si="17"/>
        <v>0</v>
      </c>
      <c r="AF46" s="907"/>
      <c r="AG46" s="14">
        <f t="shared" ref="AG46:AJ46" si="18">SUM(AG45:AG45)</f>
        <v>0</v>
      </c>
      <c r="AH46" s="14">
        <f t="shared" si="18"/>
        <v>0</v>
      </c>
      <c r="AI46" s="1117">
        <f t="shared" si="18"/>
        <v>0</v>
      </c>
      <c r="AJ46" s="14">
        <f t="shared" si="18"/>
        <v>528108000</v>
      </c>
      <c r="AK46" s="182">
        <f>SUM(AK45:AK45)</f>
        <v>528108000</v>
      </c>
      <c r="AL46" s="899">
        <f>B44-AJ46</f>
        <v>0</v>
      </c>
    </row>
    <row r="47" spans="1:39" s="687" customFormat="1" ht="23.25" customHeight="1">
      <c r="A47" s="1350" t="s">
        <v>902</v>
      </c>
      <c r="B47" s="686">
        <v>1139390346</v>
      </c>
      <c r="C47" s="1346" t="s">
        <v>82</v>
      </c>
      <c r="D47" s="1347" t="s">
        <v>865</v>
      </c>
      <c r="E47" s="1347" t="s">
        <v>147</v>
      </c>
      <c r="F47" s="1347" t="s">
        <v>868</v>
      </c>
      <c r="G47" s="1445" t="s">
        <v>80</v>
      </c>
      <c r="H47" s="2053" t="s">
        <v>1388</v>
      </c>
      <c r="I47" s="1743"/>
      <c r="J47" s="1744">
        <v>0</v>
      </c>
      <c r="K47" s="1745"/>
      <c r="L47" s="1746"/>
      <c r="M47" s="1747"/>
      <c r="N47" s="1746"/>
      <c r="O47" s="1748"/>
      <c r="P47" s="1742"/>
      <c r="Q47" s="683"/>
      <c r="R47" s="684"/>
      <c r="S47" s="684"/>
      <c r="T47" s="684"/>
      <c r="U47" s="684"/>
      <c r="V47" s="684"/>
      <c r="W47" s="684"/>
      <c r="X47" s="684"/>
      <c r="Y47" s="684"/>
      <c r="Z47" s="684"/>
      <c r="AA47" s="684"/>
      <c r="AB47" s="685"/>
      <c r="AC47" s="683"/>
      <c r="AD47" s="685"/>
      <c r="AF47" s="1249"/>
      <c r="AG47" s="684"/>
      <c r="AH47" s="684"/>
      <c r="AI47" s="684"/>
      <c r="AJ47" s="684"/>
      <c r="AK47" s="685"/>
      <c r="AL47" s="899"/>
      <c r="AM47" s="1603"/>
    </row>
    <row r="48" spans="1:39" s="656" customFormat="1" ht="24">
      <c r="A48" s="1358" t="s">
        <v>902</v>
      </c>
      <c r="B48" s="275">
        <f>M48</f>
        <v>0</v>
      </c>
      <c r="C48" s="95" t="s">
        <v>82</v>
      </c>
      <c r="D48" s="96" t="s">
        <v>865</v>
      </c>
      <c r="E48" s="96" t="s">
        <v>147</v>
      </c>
      <c r="F48" s="96" t="s">
        <v>868</v>
      </c>
      <c r="G48" s="1622" t="s">
        <v>80</v>
      </c>
      <c r="H48" s="652" t="s">
        <v>1388</v>
      </c>
      <c r="I48" s="2046">
        <v>317</v>
      </c>
      <c r="J48" s="1749">
        <v>0</v>
      </c>
      <c r="K48" s="1750"/>
      <c r="L48" s="1685"/>
      <c r="M48" s="1752"/>
      <c r="N48" s="1685"/>
      <c r="O48" s="1703"/>
      <c r="P48" s="1754"/>
      <c r="Q48" s="688"/>
      <c r="R48" s="507"/>
      <c r="S48" s="507"/>
      <c r="T48" s="507"/>
      <c r="U48" s="507"/>
      <c r="V48" s="507"/>
      <c r="W48" s="507"/>
      <c r="X48" s="507"/>
      <c r="Y48" s="507"/>
      <c r="Z48" s="507"/>
      <c r="AA48" s="507"/>
      <c r="AB48" s="702"/>
      <c r="AC48" s="690">
        <f>SUM(Q48:AB48)</f>
        <v>0</v>
      </c>
      <c r="AD48" s="689">
        <f>O48-AC48</f>
        <v>0</v>
      </c>
      <c r="AF48" s="903">
        <v>317</v>
      </c>
      <c r="AG48" s="1362" t="s">
        <v>179</v>
      </c>
      <c r="AH48" s="1124" t="s">
        <v>178</v>
      </c>
      <c r="AI48" s="1113">
        <f>P48</f>
        <v>0</v>
      </c>
      <c r="AJ48" s="904">
        <v>1139390346</v>
      </c>
      <c r="AK48" s="906">
        <f>AJ48-O48</f>
        <v>1139390346</v>
      </c>
      <c r="AL48" s="899"/>
      <c r="AM48" s="1604">
        <f>AJ48-M48</f>
        <v>1139390346</v>
      </c>
    </row>
    <row r="49" spans="1:39" s="656" customFormat="1" ht="15">
      <c r="A49" s="691" t="s">
        <v>81</v>
      </c>
      <c r="B49" s="692">
        <f>B47-SUM(B48:B48)</f>
        <v>1139390346</v>
      </c>
      <c r="C49" s="693"/>
      <c r="D49" s="693"/>
      <c r="E49" s="693"/>
      <c r="F49" s="693"/>
      <c r="G49" s="2030"/>
      <c r="H49" s="2052"/>
      <c r="I49" s="1759"/>
      <c r="J49" s="1760"/>
      <c r="K49" s="1761"/>
      <c r="L49" s="1688"/>
      <c r="M49" s="1762">
        <f>SUM(M48:M48)</f>
        <v>0</v>
      </c>
      <c r="N49" s="1688"/>
      <c r="O49" s="1762">
        <f>SUM(O48:O48)</f>
        <v>0</v>
      </c>
      <c r="P49" s="1763"/>
      <c r="Q49" s="251">
        <f t="shared" ref="Q49:AD49" si="19">SUM(Q48:Q48)</f>
        <v>0</v>
      </c>
      <c r="R49" s="14">
        <f t="shared" si="19"/>
        <v>0</v>
      </c>
      <c r="S49" s="14">
        <f t="shared" si="19"/>
        <v>0</v>
      </c>
      <c r="T49" s="14">
        <f t="shared" si="19"/>
        <v>0</v>
      </c>
      <c r="U49" s="14">
        <f t="shared" si="19"/>
        <v>0</v>
      </c>
      <c r="V49" s="14">
        <f t="shared" si="19"/>
        <v>0</v>
      </c>
      <c r="W49" s="14">
        <f t="shared" si="19"/>
        <v>0</v>
      </c>
      <c r="X49" s="14">
        <f t="shared" si="19"/>
        <v>0</v>
      </c>
      <c r="Y49" s="14">
        <f t="shared" si="19"/>
        <v>0</v>
      </c>
      <c r="Z49" s="14">
        <f t="shared" si="19"/>
        <v>0</v>
      </c>
      <c r="AA49" s="14">
        <f t="shared" si="19"/>
        <v>0</v>
      </c>
      <c r="AB49" s="182">
        <f t="shared" si="19"/>
        <v>0</v>
      </c>
      <c r="AC49" s="251">
        <f t="shared" si="19"/>
        <v>0</v>
      </c>
      <c r="AD49" s="182">
        <f t="shared" si="19"/>
        <v>0</v>
      </c>
      <c r="AF49" s="907"/>
      <c r="AG49" s="14">
        <f t="shared" ref="AG49:AJ49" si="20">SUM(AG48:AG48)</f>
        <v>0</v>
      </c>
      <c r="AH49" s="14">
        <f t="shared" si="20"/>
        <v>0</v>
      </c>
      <c r="AI49" s="1117">
        <f t="shared" si="20"/>
        <v>0</v>
      </c>
      <c r="AJ49" s="14">
        <f t="shared" si="20"/>
        <v>1139390346</v>
      </c>
      <c r="AK49" s="182">
        <f>SUM(AK48:AK48)</f>
        <v>1139390346</v>
      </c>
      <c r="AL49" s="899">
        <f>B47-AJ49</f>
        <v>0</v>
      </c>
    </row>
    <row r="50" spans="1:39" s="656" customFormat="1" ht="15">
      <c r="A50" s="1382" t="s">
        <v>902</v>
      </c>
      <c r="B50" s="686">
        <v>913436654</v>
      </c>
      <c r="C50" s="95" t="s">
        <v>82</v>
      </c>
      <c r="D50" s="96" t="s">
        <v>865</v>
      </c>
      <c r="E50" s="96" t="s">
        <v>147</v>
      </c>
      <c r="F50" s="96" t="s">
        <v>868</v>
      </c>
      <c r="G50" s="1622" t="s">
        <v>80</v>
      </c>
      <c r="H50" s="652" t="s">
        <v>1388</v>
      </c>
      <c r="I50" s="1765" t="s">
        <v>178</v>
      </c>
      <c r="J50" s="1775"/>
      <c r="K50" s="1776"/>
      <c r="L50" s="1777"/>
      <c r="M50" s="1778"/>
      <c r="N50" s="1777"/>
      <c r="O50" s="1778"/>
      <c r="P50" s="1754"/>
      <c r="Q50" s="718"/>
      <c r="R50" s="719"/>
      <c r="S50" s="719"/>
      <c r="T50" s="719"/>
      <c r="U50" s="719"/>
      <c r="V50" s="719"/>
      <c r="W50" s="719"/>
      <c r="X50" s="719"/>
      <c r="Y50" s="719"/>
      <c r="Z50" s="719"/>
      <c r="AA50" s="719"/>
      <c r="AB50" s="811"/>
      <c r="AC50" s="690">
        <f t="shared" ref="AC50:AC51" si="21">SUM(Q50:AB50)</f>
        <v>0</v>
      </c>
      <c r="AD50" s="689">
        <f>O50-AC50</f>
        <v>0</v>
      </c>
      <c r="AF50" s="1381"/>
      <c r="AG50" s="1362" t="s">
        <v>179</v>
      </c>
      <c r="AH50" s="719" t="s">
        <v>178</v>
      </c>
      <c r="AI50" s="1113">
        <f t="shared" ref="AI50:AI51" si="22">P50</f>
        <v>0</v>
      </c>
      <c r="AJ50" s="719">
        <v>913436654</v>
      </c>
      <c r="AK50" s="906">
        <f>AJ50-O50</f>
        <v>913436654</v>
      </c>
      <c r="AL50" s="899"/>
      <c r="AM50" s="1604">
        <f>AJ50-M50</f>
        <v>913436654</v>
      </c>
    </row>
    <row r="51" spans="1:39" s="656" customFormat="1" ht="15">
      <c r="A51" s="1382" t="s">
        <v>902</v>
      </c>
      <c r="B51" s="695">
        <f>M51</f>
        <v>0</v>
      </c>
      <c r="C51" s="95" t="s">
        <v>82</v>
      </c>
      <c r="D51" s="96" t="s">
        <v>865</v>
      </c>
      <c r="E51" s="96" t="s">
        <v>147</v>
      </c>
      <c r="F51" s="96" t="s">
        <v>868</v>
      </c>
      <c r="G51" s="1622" t="s">
        <v>80</v>
      </c>
      <c r="H51" s="652" t="s">
        <v>1388</v>
      </c>
      <c r="I51" s="1765" t="s">
        <v>178</v>
      </c>
      <c r="J51" s="1775"/>
      <c r="K51" s="1776"/>
      <c r="L51" s="1777"/>
      <c r="M51" s="1778"/>
      <c r="N51" s="1777"/>
      <c r="O51" s="1778"/>
      <c r="P51" s="1754"/>
      <c r="Q51" s="718"/>
      <c r="R51" s="719"/>
      <c r="S51" s="719"/>
      <c r="T51" s="719"/>
      <c r="U51" s="719"/>
      <c r="V51" s="719"/>
      <c r="W51" s="719"/>
      <c r="X51" s="719"/>
      <c r="Y51" s="719"/>
      <c r="Z51" s="719"/>
      <c r="AA51" s="719"/>
      <c r="AB51" s="811"/>
      <c r="AC51" s="690">
        <f t="shared" si="21"/>
        <v>0</v>
      </c>
      <c r="AD51" s="689">
        <f>O51-AC51</f>
        <v>0</v>
      </c>
      <c r="AF51" s="1381"/>
      <c r="AG51" s="719"/>
      <c r="AH51" s="719" t="s">
        <v>178</v>
      </c>
      <c r="AI51" s="1113">
        <f t="shared" si="22"/>
        <v>0</v>
      </c>
      <c r="AJ51" s="719"/>
      <c r="AK51" s="906">
        <f>AJ51-O51</f>
        <v>0</v>
      </c>
      <c r="AL51" s="899"/>
    </row>
    <row r="52" spans="1:39" s="656" customFormat="1" ht="15">
      <c r="A52" s="691" t="s">
        <v>81</v>
      </c>
      <c r="B52" s="692">
        <f>B50-SUM(B51:B51)</f>
        <v>913436654</v>
      </c>
      <c r="C52" s="693"/>
      <c r="D52" s="694"/>
      <c r="E52" s="694"/>
      <c r="F52" s="694"/>
      <c r="G52" s="1313"/>
      <c r="H52" s="2054"/>
      <c r="I52" s="1769"/>
      <c r="J52" s="1779"/>
      <c r="K52" s="1780"/>
      <c r="L52" s="1781"/>
      <c r="M52" s="1782">
        <f>SUM(M50:M51)</f>
        <v>0</v>
      </c>
      <c r="N52" s="1781"/>
      <c r="O52" s="1782">
        <f>SUM(O50:O51)</f>
        <v>0</v>
      </c>
      <c r="P52" s="1783"/>
      <c r="Q52" s="678">
        <f>SUM(Q50:Q51)</f>
        <v>0</v>
      </c>
      <c r="R52" s="678">
        <f t="shared" ref="R52:AD52" si="23">SUM(R50:R51)</f>
        <v>0</v>
      </c>
      <c r="S52" s="678">
        <f t="shared" si="23"/>
        <v>0</v>
      </c>
      <c r="T52" s="678">
        <f t="shared" si="23"/>
        <v>0</v>
      </c>
      <c r="U52" s="678">
        <f t="shared" si="23"/>
        <v>0</v>
      </c>
      <c r="V52" s="678">
        <f t="shared" si="23"/>
        <v>0</v>
      </c>
      <c r="W52" s="678">
        <f t="shared" si="23"/>
        <v>0</v>
      </c>
      <c r="X52" s="678">
        <f t="shared" si="23"/>
        <v>0</v>
      </c>
      <c r="Y52" s="678">
        <f t="shared" si="23"/>
        <v>0</v>
      </c>
      <c r="Z52" s="678">
        <f t="shared" si="23"/>
        <v>0</v>
      </c>
      <c r="AA52" s="678">
        <f t="shared" si="23"/>
        <v>0</v>
      </c>
      <c r="AB52" s="678">
        <f t="shared" si="23"/>
        <v>0</v>
      </c>
      <c r="AC52" s="678">
        <f t="shared" si="23"/>
        <v>0</v>
      </c>
      <c r="AD52" s="678">
        <f t="shared" si="23"/>
        <v>0</v>
      </c>
      <c r="AF52" s="1379"/>
      <c r="AG52" s="678"/>
      <c r="AH52" s="678"/>
      <c r="AI52" s="1380"/>
      <c r="AJ52" s="678">
        <f t="shared" ref="AJ52" si="24">SUM(AJ50:AJ51)</f>
        <v>913436654</v>
      </c>
      <c r="AK52" s="678">
        <f>SUM(AK50:AK51)</f>
        <v>913436654</v>
      </c>
      <c r="AL52" s="899"/>
    </row>
    <row r="53" spans="1:39" s="656" customFormat="1" ht="26.25" customHeight="1">
      <c r="A53" s="1350" t="s">
        <v>902</v>
      </c>
      <c r="B53" s="686">
        <v>2570000</v>
      </c>
      <c r="C53" s="1346" t="s">
        <v>158</v>
      </c>
      <c r="D53" s="1347" t="s">
        <v>865</v>
      </c>
      <c r="E53" s="1347" t="s">
        <v>147</v>
      </c>
      <c r="F53" s="1347" t="s">
        <v>868</v>
      </c>
      <c r="G53" s="1445" t="s">
        <v>80</v>
      </c>
      <c r="H53" s="2053" t="s">
        <v>1388</v>
      </c>
      <c r="I53" s="1743"/>
      <c r="J53" s="1784">
        <v>0</v>
      </c>
      <c r="K53" s="1784"/>
      <c r="L53" s="1785"/>
      <c r="M53" s="1784"/>
      <c r="N53" s="1785"/>
      <c r="O53" s="1784"/>
      <c r="P53" s="1785"/>
      <c r="Q53" s="96"/>
      <c r="R53" s="96"/>
      <c r="S53" s="96"/>
      <c r="T53" s="96"/>
      <c r="U53" s="96"/>
      <c r="V53" s="96"/>
      <c r="W53" s="96"/>
      <c r="X53" s="96"/>
      <c r="Y53" s="96"/>
      <c r="Z53" s="96"/>
      <c r="AA53" s="96"/>
      <c r="AB53" s="652"/>
      <c r="AC53" s="651"/>
      <c r="AD53" s="652"/>
      <c r="AF53" s="1250"/>
      <c r="AG53" s="96"/>
      <c r="AH53" s="96"/>
      <c r="AI53" s="1383"/>
      <c r="AJ53" s="96"/>
      <c r="AK53" s="652"/>
      <c r="AL53" s="899"/>
    </row>
    <row r="54" spans="1:39" s="656" customFormat="1" ht="24">
      <c r="A54" s="1358" t="s">
        <v>902</v>
      </c>
      <c r="B54" s="695">
        <f>M54</f>
        <v>0</v>
      </c>
      <c r="C54" s="95" t="s">
        <v>158</v>
      </c>
      <c r="D54" s="96" t="s">
        <v>865</v>
      </c>
      <c r="E54" s="96" t="s">
        <v>147</v>
      </c>
      <c r="F54" s="96" t="s">
        <v>868</v>
      </c>
      <c r="G54" s="1622" t="s">
        <v>80</v>
      </c>
      <c r="H54" s="652" t="s">
        <v>1388</v>
      </c>
      <c r="I54" s="2046">
        <v>317</v>
      </c>
      <c r="J54" s="1786">
        <v>0</v>
      </c>
      <c r="K54" s="1787"/>
      <c r="L54" s="1706"/>
      <c r="M54" s="1788"/>
      <c r="N54" s="1706"/>
      <c r="O54" s="1788"/>
      <c r="P54" s="1789"/>
      <c r="Q54" s="252"/>
      <c r="R54" s="7"/>
      <c r="S54" s="7"/>
      <c r="T54" s="7"/>
      <c r="U54" s="7"/>
      <c r="V54" s="7"/>
      <c r="W54" s="7"/>
      <c r="X54" s="7"/>
      <c r="Y54" s="7"/>
      <c r="Z54" s="7"/>
      <c r="AA54" s="7"/>
      <c r="AB54" s="184"/>
      <c r="AC54" s="690">
        <f>SUM(Q54:AB54)</f>
        <v>0</v>
      </c>
      <c r="AD54" s="689">
        <f>O54-AC54</f>
        <v>0</v>
      </c>
      <c r="AF54" s="903">
        <v>317</v>
      </c>
      <c r="AG54" s="1362" t="s">
        <v>179</v>
      </c>
      <c r="AH54" s="1124" t="s">
        <v>178</v>
      </c>
      <c r="AI54" s="1113">
        <f>P54</f>
        <v>0</v>
      </c>
      <c r="AJ54" s="904">
        <v>2570000</v>
      </c>
      <c r="AK54" s="906">
        <f>AJ54-O54</f>
        <v>2570000</v>
      </c>
      <c r="AL54" s="899"/>
      <c r="AM54" s="1604">
        <f>AJ54-M54</f>
        <v>2570000</v>
      </c>
    </row>
    <row r="55" spans="1:39" s="656" customFormat="1" ht="15">
      <c r="A55" s="696"/>
      <c r="B55" s="692">
        <f>B53-SUM(B54:B54)</f>
        <v>2570000</v>
      </c>
      <c r="C55" s="693"/>
      <c r="D55" s="694"/>
      <c r="E55" s="694"/>
      <c r="F55" s="694"/>
      <c r="G55" s="1313"/>
      <c r="H55" s="2054"/>
      <c r="I55" s="1769"/>
      <c r="J55" s="1760"/>
      <c r="K55" s="1761"/>
      <c r="L55" s="1688"/>
      <c r="M55" s="1762">
        <f>SUM(M53:M54)</f>
        <v>0</v>
      </c>
      <c r="N55" s="1688"/>
      <c r="O55" s="1762">
        <f>SUM(O53:O54)</f>
        <v>0</v>
      </c>
      <c r="P55" s="1763"/>
      <c r="Q55" s="14">
        <f t="shared" ref="Q55:AD55" si="25">SUM(Q53:Q54)</f>
        <v>0</v>
      </c>
      <c r="R55" s="14">
        <f t="shared" si="25"/>
        <v>0</v>
      </c>
      <c r="S55" s="14">
        <f t="shared" si="25"/>
        <v>0</v>
      </c>
      <c r="T55" s="14">
        <f t="shared" si="25"/>
        <v>0</v>
      </c>
      <c r="U55" s="14">
        <f t="shared" si="25"/>
        <v>0</v>
      </c>
      <c r="V55" s="14">
        <f t="shared" si="25"/>
        <v>0</v>
      </c>
      <c r="W55" s="14">
        <f t="shared" si="25"/>
        <v>0</v>
      </c>
      <c r="X55" s="14">
        <f t="shared" si="25"/>
        <v>0</v>
      </c>
      <c r="Y55" s="14">
        <f t="shared" si="25"/>
        <v>0</v>
      </c>
      <c r="Z55" s="14">
        <f t="shared" si="25"/>
        <v>0</v>
      </c>
      <c r="AA55" s="14">
        <f t="shared" si="25"/>
        <v>0</v>
      </c>
      <c r="AB55" s="182">
        <f t="shared" si="25"/>
        <v>0</v>
      </c>
      <c r="AC55" s="251">
        <f t="shared" si="25"/>
        <v>0</v>
      </c>
      <c r="AD55" s="182">
        <f t="shared" si="25"/>
        <v>0</v>
      </c>
      <c r="AF55" s="907"/>
      <c r="AG55" s="14">
        <f t="shared" ref="AG55:AJ55" si="26">SUM(AG53:AG54)</f>
        <v>0</v>
      </c>
      <c r="AH55" s="14">
        <f t="shared" si="26"/>
        <v>0</v>
      </c>
      <c r="AI55" s="1117">
        <f t="shared" si="26"/>
        <v>0</v>
      </c>
      <c r="AJ55" s="14">
        <f t="shared" si="26"/>
        <v>2570000</v>
      </c>
      <c r="AK55" s="182">
        <f>SUM(AK53:AK54)</f>
        <v>2570000</v>
      </c>
      <c r="AL55" s="899">
        <f>B53-AJ55</f>
        <v>0</v>
      </c>
    </row>
    <row r="56" spans="1:39" s="656" customFormat="1" ht="23.25" customHeight="1">
      <c r="A56" s="1350" t="s">
        <v>902</v>
      </c>
      <c r="B56" s="686">
        <v>20000000</v>
      </c>
      <c r="C56" s="1346" t="s">
        <v>157</v>
      </c>
      <c r="D56" s="1347" t="s">
        <v>865</v>
      </c>
      <c r="E56" s="1347" t="s">
        <v>147</v>
      </c>
      <c r="F56" s="1347" t="s">
        <v>868</v>
      </c>
      <c r="G56" s="1445" t="s">
        <v>80</v>
      </c>
      <c r="H56" s="2053" t="s">
        <v>1388</v>
      </c>
      <c r="I56" s="1743"/>
      <c r="J56" s="1744">
        <v>0</v>
      </c>
      <c r="K56" s="1745"/>
      <c r="L56" s="1746"/>
      <c r="M56" s="1747"/>
      <c r="N56" s="1746"/>
      <c r="O56" s="1741"/>
      <c r="P56" s="1742"/>
      <c r="Q56" s="683"/>
      <c r="R56" s="684"/>
      <c r="S56" s="684"/>
      <c r="T56" s="684"/>
      <c r="U56" s="684"/>
      <c r="V56" s="684"/>
      <c r="W56" s="684"/>
      <c r="X56" s="684"/>
      <c r="Y56" s="684"/>
      <c r="Z56" s="684"/>
      <c r="AA56" s="684"/>
      <c r="AB56" s="685"/>
      <c r="AC56" s="683"/>
      <c r="AD56" s="685"/>
      <c r="AF56" s="1249"/>
      <c r="AG56" s="684"/>
      <c r="AH56" s="684"/>
      <c r="AI56" s="684"/>
      <c r="AJ56" s="684"/>
      <c r="AK56" s="685"/>
      <c r="AL56" s="899"/>
    </row>
    <row r="57" spans="1:39" s="656" customFormat="1" ht="24">
      <c r="A57" s="1358" t="s">
        <v>902</v>
      </c>
      <c r="B57" s="516">
        <f>M57</f>
        <v>0</v>
      </c>
      <c r="C57" s="95" t="s">
        <v>157</v>
      </c>
      <c r="D57" s="96" t="s">
        <v>865</v>
      </c>
      <c r="E57" s="96" t="s">
        <v>147</v>
      </c>
      <c r="F57" s="96" t="s">
        <v>868</v>
      </c>
      <c r="G57" s="1622" t="s">
        <v>80</v>
      </c>
      <c r="H57" s="652" t="s">
        <v>1388</v>
      </c>
      <c r="I57" s="2046">
        <v>317</v>
      </c>
      <c r="J57" s="1749">
        <v>0</v>
      </c>
      <c r="K57" s="1750"/>
      <c r="L57" s="1692"/>
      <c r="M57" s="1758"/>
      <c r="N57" s="1685"/>
      <c r="O57" s="1703"/>
      <c r="P57" s="1754"/>
      <c r="Q57" s="688"/>
      <c r="R57" s="507"/>
      <c r="S57" s="507"/>
      <c r="T57" s="507"/>
      <c r="U57" s="507"/>
      <c r="V57" s="507"/>
      <c r="W57" s="507"/>
      <c r="X57" s="507"/>
      <c r="Y57" s="507"/>
      <c r="Z57" s="507"/>
      <c r="AA57" s="507"/>
      <c r="AB57" s="702"/>
      <c r="AC57" s="690">
        <f>SUM(Q57:AB57)</f>
        <v>0</v>
      </c>
      <c r="AD57" s="689">
        <f>O57-AC57</f>
        <v>0</v>
      </c>
      <c r="AF57" s="903">
        <v>317</v>
      </c>
      <c r="AG57" s="1362" t="s">
        <v>179</v>
      </c>
      <c r="AH57" s="1124" t="s">
        <v>178</v>
      </c>
      <c r="AI57" s="1113">
        <f>P57</f>
        <v>0</v>
      </c>
      <c r="AJ57" s="904">
        <v>20000000</v>
      </c>
      <c r="AK57" s="906">
        <f>AJ57-O57</f>
        <v>20000000</v>
      </c>
      <c r="AL57" s="899"/>
      <c r="AM57" s="1604">
        <f>AJ57-M57</f>
        <v>20000000</v>
      </c>
    </row>
    <row r="58" spans="1:39" s="656" customFormat="1" ht="15">
      <c r="A58" s="691" t="s">
        <v>81</v>
      </c>
      <c r="B58" s="692">
        <f>B56-SUM(B57:B57)</f>
        <v>20000000</v>
      </c>
      <c r="C58" s="693"/>
      <c r="D58" s="694"/>
      <c r="E58" s="694"/>
      <c r="F58" s="694"/>
      <c r="G58" s="1313"/>
      <c r="H58" s="2054"/>
      <c r="I58" s="1769"/>
      <c r="J58" s="1760"/>
      <c r="K58" s="1761"/>
      <c r="L58" s="1688"/>
      <c r="M58" s="1762">
        <f>SUM(M57:M57)</f>
        <v>0</v>
      </c>
      <c r="N58" s="1688"/>
      <c r="O58" s="1762">
        <f>SUM(O57:O57)</f>
        <v>0</v>
      </c>
      <c r="P58" s="1763"/>
      <c r="Q58" s="14">
        <f t="shared" ref="Q58:AD58" si="27">SUM(Q57:Q57)</f>
        <v>0</v>
      </c>
      <c r="R58" s="14">
        <f t="shared" si="27"/>
        <v>0</v>
      </c>
      <c r="S58" s="14">
        <f t="shared" si="27"/>
        <v>0</v>
      </c>
      <c r="T58" s="14">
        <f t="shared" si="27"/>
        <v>0</v>
      </c>
      <c r="U58" s="14">
        <f t="shared" si="27"/>
        <v>0</v>
      </c>
      <c r="V58" s="14">
        <f t="shared" si="27"/>
        <v>0</v>
      </c>
      <c r="W58" s="14">
        <f t="shared" si="27"/>
        <v>0</v>
      </c>
      <c r="X58" s="14">
        <f t="shared" si="27"/>
        <v>0</v>
      </c>
      <c r="Y58" s="14">
        <f t="shared" si="27"/>
        <v>0</v>
      </c>
      <c r="Z58" s="14">
        <f t="shared" si="27"/>
        <v>0</v>
      </c>
      <c r="AA58" s="14">
        <f t="shared" si="27"/>
        <v>0</v>
      </c>
      <c r="AB58" s="182">
        <f t="shared" si="27"/>
        <v>0</v>
      </c>
      <c r="AC58" s="251">
        <f t="shared" si="27"/>
        <v>0</v>
      </c>
      <c r="AD58" s="182">
        <f t="shared" si="27"/>
        <v>0</v>
      </c>
      <c r="AF58" s="907"/>
      <c r="AG58" s="14">
        <f t="shared" ref="AG58:AJ58" si="28">SUM(AG57:AG57)</f>
        <v>0</v>
      </c>
      <c r="AH58" s="14">
        <f t="shared" si="28"/>
        <v>0</v>
      </c>
      <c r="AI58" s="1117">
        <f t="shared" si="28"/>
        <v>0</v>
      </c>
      <c r="AJ58" s="14">
        <f t="shared" si="28"/>
        <v>20000000</v>
      </c>
      <c r="AK58" s="182">
        <f>SUM(AK57:AK57)</f>
        <v>20000000</v>
      </c>
      <c r="AL58" s="899">
        <f>B56-AJ58</f>
        <v>0</v>
      </c>
    </row>
    <row r="59" spans="1:39" s="687" customFormat="1" ht="25.5" customHeight="1">
      <c r="A59" s="1350" t="s">
        <v>900</v>
      </c>
      <c r="B59" s="819">
        <v>100000000</v>
      </c>
      <c r="C59" s="1346" t="s">
        <v>36</v>
      </c>
      <c r="D59" s="1347" t="s">
        <v>865</v>
      </c>
      <c r="E59" s="1347" t="s">
        <v>147</v>
      </c>
      <c r="F59" s="1347" t="s">
        <v>868</v>
      </c>
      <c r="G59" s="1445" t="s">
        <v>80</v>
      </c>
      <c r="H59" s="2053" t="s">
        <v>1388</v>
      </c>
      <c r="I59" s="1743"/>
      <c r="J59" s="1744">
        <v>0</v>
      </c>
      <c r="K59" s="1745"/>
      <c r="L59" s="1746"/>
      <c r="M59" s="1747"/>
      <c r="N59" s="1746"/>
      <c r="O59" s="1748"/>
      <c r="P59" s="1742"/>
      <c r="Q59" s="683"/>
      <c r="R59" s="684"/>
      <c r="S59" s="684"/>
      <c r="T59" s="684"/>
      <c r="U59" s="684"/>
      <c r="V59" s="684"/>
      <c r="W59" s="684"/>
      <c r="X59" s="684"/>
      <c r="Y59" s="684"/>
      <c r="Z59" s="684"/>
      <c r="AA59" s="684"/>
      <c r="AB59" s="685"/>
      <c r="AC59" s="683"/>
      <c r="AD59" s="685"/>
      <c r="AF59" s="1249"/>
      <c r="AG59" s="684"/>
      <c r="AH59" s="684"/>
      <c r="AI59" s="684"/>
      <c r="AJ59" s="684"/>
      <c r="AK59" s="685"/>
      <c r="AL59" s="899"/>
      <c r="AM59" s="1603"/>
    </row>
    <row r="60" spans="1:39" s="656" customFormat="1" ht="15">
      <c r="A60" s="1358" t="s">
        <v>900</v>
      </c>
      <c r="B60" s="275">
        <f>M60</f>
        <v>0</v>
      </c>
      <c r="C60" s="95" t="s">
        <v>36</v>
      </c>
      <c r="D60" s="96" t="s">
        <v>865</v>
      </c>
      <c r="E60" s="96" t="s">
        <v>147</v>
      </c>
      <c r="F60" s="96" t="s">
        <v>868</v>
      </c>
      <c r="G60" s="1622" t="s">
        <v>80</v>
      </c>
      <c r="H60" s="652" t="s">
        <v>1388</v>
      </c>
      <c r="I60" s="2046">
        <v>311</v>
      </c>
      <c r="J60" s="1749">
        <v>0</v>
      </c>
      <c r="K60" s="1750"/>
      <c r="L60" s="1757"/>
      <c r="M60" s="1758"/>
      <c r="N60" s="1685"/>
      <c r="O60" s="1703"/>
      <c r="P60" s="1754"/>
      <c r="Q60" s="688"/>
      <c r="R60" s="507"/>
      <c r="S60" s="507"/>
      <c r="T60" s="507"/>
      <c r="U60" s="507"/>
      <c r="V60" s="507"/>
      <c r="W60" s="507"/>
      <c r="X60" s="507"/>
      <c r="Y60" s="507"/>
      <c r="Z60" s="507"/>
      <c r="AA60" s="507"/>
      <c r="AB60" s="702"/>
      <c r="AC60" s="690">
        <f>SUM(Q60:AB60)</f>
        <v>0</v>
      </c>
      <c r="AD60" s="689">
        <f>O60-AC60</f>
        <v>0</v>
      </c>
      <c r="AF60" s="903">
        <v>311</v>
      </c>
      <c r="AG60" s="1362" t="s">
        <v>486</v>
      </c>
      <c r="AH60" s="1124" t="s">
        <v>178</v>
      </c>
      <c r="AI60" s="1113">
        <f>P60</f>
        <v>0</v>
      </c>
      <c r="AJ60" s="904">
        <v>100000000</v>
      </c>
      <c r="AK60" s="906">
        <f>AJ60-O60</f>
        <v>100000000</v>
      </c>
      <c r="AL60" s="899"/>
      <c r="AM60" s="1604">
        <f>AJ60-M60</f>
        <v>100000000</v>
      </c>
    </row>
    <row r="61" spans="1:39" s="656" customFormat="1" ht="15">
      <c r="A61" s="691" t="s">
        <v>81</v>
      </c>
      <c r="B61" s="692">
        <f>B59-SUM(B60:B60)</f>
        <v>100000000</v>
      </c>
      <c r="C61" s="693"/>
      <c r="D61" s="693"/>
      <c r="E61" s="693"/>
      <c r="F61" s="693"/>
      <c r="G61" s="2030"/>
      <c r="H61" s="2052"/>
      <c r="I61" s="1759"/>
      <c r="J61" s="1760"/>
      <c r="K61" s="1761"/>
      <c r="L61" s="1688"/>
      <c r="M61" s="1762">
        <f>SUM(M60:M60)</f>
        <v>0</v>
      </c>
      <c r="N61" s="1688"/>
      <c r="O61" s="1762">
        <f>SUM(O60:O60)</f>
        <v>0</v>
      </c>
      <c r="P61" s="1763"/>
      <c r="Q61" s="251">
        <f t="shared" ref="Q61:AD61" si="29">SUM(Q60:Q60)</f>
        <v>0</v>
      </c>
      <c r="R61" s="14">
        <f t="shared" si="29"/>
        <v>0</v>
      </c>
      <c r="S61" s="14">
        <f t="shared" si="29"/>
        <v>0</v>
      </c>
      <c r="T61" s="14">
        <f t="shared" si="29"/>
        <v>0</v>
      </c>
      <c r="U61" s="14">
        <f t="shared" si="29"/>
        <v>0</v>
      </c>
      <c r="V61" s="14">
        <f t="shared" si="29"/>
        <v>0</v>
      </c>
      <c r="W61" s="14">
        <f t="shared" si="29"/>
        <v>0</v>
      </c>
      <c r="X61" s="14">
        <f t="shared" si="29"/>
        <v>0</v>
      </c>
      <c r="Y61" s="14">
        <f t="shared" si="29"/>
        <v>0</v>
      </c>
      <c r="Z61" s="14">
        <f t="shared" si="29"/>
        <v>0</v>
      </c>
      <c r="AA61" s="14">
        <f t="shared" si="29"/>
        <v>0</v>
      </c>
      <c r="AB61" s="182">
        <f t="shared" si="29"/>
        <v>0</v>
      </c>
      <c r="AC61" s="251">
        <f t="shared" si="29"/>
        <v>0</v>
      </c>
      <c r="AD61" s="182">
        <f t="shared" si="29"/>
        <v>0</v>
      </c>
      <c r="AF61" s="907"/>
      <c r="AG61" s="14">
        <f t="shared" ref="AG61:AJ61" si="30">SUM(AG60:AG60)</f>
        <v>0</v>
      </c>
      <c r="AH61" s="14">
        <f t="shared" si="30"/>
        <v>0</v>
      </c>
      <c r="AI61" s="1117">
        <f t="shared" si="30"/>
        <v>0</v>
      </c>
      <c r="AJ61" s="14">
        <f t="shared" si="30"/>
        <v>100000000</v>
      </c>
      <c r="AK61" s="182">
        <f>SUM(AK60:AK60)</f>
        <v>100000000</v>
      </c>
      <c r="AL61" s="899">
        <f>B59-AJ61</f>
        <v>0</v>
      </c>
    </row>
    <row r="62" spans="1:39" s="687" customFormat="1" ht="26.25" customHeight="1">
      <c r="A62" s="1350" t="s">
        <v>901</v>
      </c>
      <c r="B62" s="819">
        <v>330000000</v>
      </c>
      <c r="C62" s="1346" t="s">
        <v>36</v>
      </c>
      <c r="D62" s="1347" t="s">
        <v>865</v>
      </c>
      <c r="E62" s="1347" t="s">
        <v>147</v>
      </c>
      <c r="F62" s="1347" t="s">
        <v>868</v>
      </c>
      <c r="G62" s="1445" t="s">
        <v>80</v>
      </c>
      <c r="H62" s="2053" t="s">
        <v>1388</v>
      </c>
      <c r="I62" s="1743"/>
      <c r="J62" s="1744">
        <v>0</v>
      </c>
      <c r="K62" s="1745"/>
      <c r="L62" s="1746"/>
      <c r="M62" s="1747"/>
      <c r="N62" s="1746"/>
      <c r="O62" s="1748"/>
      <c r="P62" s="1742"/>
      <c r="Q62" s="683"/>
      <c r="R62" s="684"/>
      <c r="S62" s="684"/>
      <c r="T62" s="684"/>
      <c r="U62" s="684"/>
      <c r="V62" s="684"/>
      <c r="W62" s="684"/>
      <c r="X62" s="684"/>
      <c r="Y62" s="684"/>
      <c r="Z62" s="684"/>
      <c r="AA62" s="684"/>
      <c r="AB62" s="685"/>
      <c r="AC62" s="683"/>
      <c r="AD62" s="685"/>
      <c r="AF62" s="1249"/>
      <c r="AG62" s="684"/>
      <c r="AH62" s="684"/>
      <c r="AI62" s="684"/>
      <c r="AJ62" s="684"/>
      <c r="AK62" s="685"/>
      <c r="AL62" s="899"/>
      <c r="AM62" s="1603"/>
    </row>
    <row r="63" spans="1:39" s="687" customFormat="1" ht="15">
      <c r="A63" s="820" t="s">
        <v>906</v>
      </c>
      <c r="B63" s="275">
        <f>M63</f>
        <v>230000000</v>
      </c>
      <c r="C63" s="95" t="s">
        <v>36</v>
      </c>
      <c r="D63" s="96" t="s">
        <v>865</v>
      </c>
      <c r="E63" s="96" t="s">
        <v>147</v>
      </c>
      <c r="F63" s="96" t="s">
        <v>868</v>
      </c>
      <c r="G63" s="1622" t="s">
        <v>80</v>
      </c>
      <c r="H63" s="652" t="s">
        <v>1388</v>
      </c>
      <c r="I63" s="2046">
        <v>312</v>
      </c>
      <c r="J63" s="1749" t="s">
        <v>1309</v>
      </c>
      <c r="K63" s="1750">
        <v>230000000</v>
      </c>
      <c r="L63" s="1751">
        <v>658</v>
      </c>
      <c r="M63" s="1758">
        <v>230000000</v>
      </c>
      <c r="N63" s="1685"/>
      <c r="O63" s="1753"/>
      <c r="P63" s="1754"/>
      <c r="Q63" s="688"/>
      <c r="R63" s="507"/>
      <c r="S63" s="507"/>
      <c r="T63" s="507"/>
      <c r="U63" s="507"/>
      <c r="V63" s="507"/>
      <c r="W63" s="507"/>
      <c r="X63" s="507"/>
      <c r="Y63" s="507"/>
      <c r="Z63" s="507"/>
      <c r="AA63" s="507"/>
      <c r="AB63" s="702"/>
      <c r="AC63" s="690">
        <f>SUM(Q63:AB63)</f>
        <v>0</v>
      </c>
      <c r="AD63" s="689">
        <f>O63-AC63</f>
        <v>0</v>
      </c>
      <c r="AF63" s="903">
        <v>312</v>
      </c>
      <c r="AG63" s="1362" t="s">
        <v>487</v>
      </c>
      <c r="AH63" s="1125" t="s">
        <v>178</v>
      </c>
      <c r="AI63" s="1113">
        <f>P63</f>
        <v>0</v>
      </c>
      <c r="AJ63" s="904">
        <f>248000000-18000000</f>
        <v>230000000</v>
      </c>
      <c r="AK63" s="906">
        <f>AJ63-O63</f>
        <v>230000000</v>
      </c>
      <c r="AL63" s="899"/>
      <c r="AM63" s="1604">
        <f>AJ63-M63</f>
        <v>0</v>
      </c>
    </row>
    <row r="64" spans="1:39" s="687" customFormat="1">
      <c r="A64" s="820" t="s">
        <v>906</v>
      </c>
      <c r="B64" s="275">
        <f>M64</f>
        <v>15333333</v>
      </c>
      <c r="C64" s="95" t="s">
        <v>36</v>
      </c>
      <c r="D64" s="96" t="s">
        <v>865</v>
      </c>
      <c r="E64" s="96" t="s">
        <v>147</v>
      </c>
      <c r="F64" s="96" t="s">
        <v>868</v>
      </c>
      <c r="G64" s="1622" t="s">
        <v>80</v>
      </c>
      <c r="H64" s="652" t="s">
        <v>1388</v>
      </c>
      <c r="I64" s="2046">
        <v>313</v>
      </c>
      <c r="J64" s="1749">
        <v>567</v>
      </c>
      <c r="K64" s="1750">
        <v>15333333</v>
      </c>
      <c r="L64" s="1751">
        <v>652</v>
      </c>
      <c r="M64" s="1750">
        <v>15333333</v>
      </c>
      <c r="N64" s="1692">
        <v>795</v>
      </c>
      <c r="O64" s="1750">
        <v>15333333</v>
      </c>
      <c r="P64" s="1754">
        <v>454</v>
      </c>
      <c r="Q64" s="688"/>
      <c r="R64" s="507"/>
      <c r="S64" s="507"/>
      <c r="T64" s="507"/>
      <c r="U64" s="507"/>
      <c r="V64" s="507"/>
      <c r="W64" s="507"/>
      <c r="X64" s="507"/>
      <c r="Y64" s="507"/>
      <c r="Z64" s="507"/>
      <c r="AA64" s="507"/>
      <c r="AB64" s="702"/>
      <c r="AC64" s="690">
        <f>SUM(Q64:AB64)</f>
        <v>0</v>
      </c>
      <c r="AD64" s="689">
        <f>O64-AC64</f>
        <v>15333333</v>
      </c>
      <c r="AF64" s="903">
        <v>313</v>
      </c>
      <c r="AG64" s="1362" t="s">
        <v>488</v>
      </c>
      <c r="AH64" s="1124" t="s">
        <v>1292</v>
      </c>
      <c r="AI64" s="1113">
        <f>P64</f>
        <v>454</v>
      </c>
      <c r="AJ64" s="904">
        <v>22000000</v>
      </c>
      <c r="AK64" s="906">
        <f>AJ64-O64</f>
        <v>6666667</v>
      </c>
      <c r="AL64" s="899"/>
      <c r="AM64" s="1604">
        <f>AJ64-M64</f>
        <v>6666667</v>
      </c>
    </row>
    <row r="65" spans="1:39" s="687" customFormat="1" ht="15">
      <c r="A65" s="820" t="s">
        <v>906</v>
      </c>
      <c r="B65" s="275">
        <f>M65</f>
        <v>0</v>
      </c>
      <c r="C65" s="95" t="s">
        <v>36</v>
      </c>
      <c r="D65" s="96" t="s">
        <v>865</v>
      </c>
      <c r="E65" s="96" t="s">
        <v>147</v>
      </c>
      <c r="F65" s="96" t="s">
        <v>868</v>
      </c>
      <c r="G65" s="1622" t="s">
        <v>80</v>
      </c>
      <c r="H65" s="652" t="s">
        <v>1388</v>
      </c>
      <c r="I65" s="2046">
        <v>314</v>
      </c>
      <c r="J65" s="1749">
        <v>0</v>
      </c>
      <c r="K65" s="1750"/>
      <c r="L65" s="1751"/>
      <c r="M65" s="1758"/>
      <c r="N65" s="1685"/>
      <c r="O65" s="1753"/>
      <c r="P65" s="1754"/>
      <c r="Q65" s="688"/>
      <c r="R65" s="507"/>
      <c r="S65" s="507"/>
      <c r="T65" s="507"/>
      <c r="U65" s="507"/>
      <c r="V65" s="507"/>
      <c r="W65" s="507"/>
      <c r="X65" s="507"/>
      <c r="Y65" s="507"/>
      <c r="Z65" s="507"/>
      <c r="AA65" s="507"/>
      <c r="AB65" s="702"/>
      <c r="AC65" s="690">
        <f>SUM(Q65:AB65)</f>
        <v>0</v>
      </c>
      <c r="AD65" s="689">
        <f>O65-AC65</f>
        <v>0</v>
      </c>
      <c r="AF65" s="903">
        <v>314</v>
      </c>
      <c r="AG65" s="1362" t="s">
        <v>489</v>
      </c>
      <c r="AH65" s="1125" t="s">
        <v>178</v>
      </c>
      <c r="AI65" s="1113">
        <f>P65</f>
        <v>0</v>
      </c>
      <c r="AJ65" s="904">
        <v>60000000</v>
      </c>
      <c r="AK65" s="906">
        <f>AJ65-O65</f>
        <v>60000000</v>
      </c>
      <c r="AL65" s="899"/>
      <c r="AM65" s="1604">
        <f>AJ65-M65</f>
        <v>60000000</v>
      </c>
    </row>
    <row r="66" spans="1:39" s="656" customFormat="1" ht="15">
      <c r="A66" s="820" t="s">
        <v>906</v>
      </c>
      <c r="B66" s="275">
        <f>M66</f>
        <v>0</v>
      </c>
      <c r="C66" s="95" t="s">
        <v>36</v>
      </c>
      <c r="D66" s="96" t="s">
        <v>865</v>
      </c>
      <c r="E66" s="96" t="s">
        <v>147</v>
      </c>
      <c r="F66" s="96" t="s">
        <v>868</v>
      </c>
      <c r="G66" s="1622" t="s">
        <v>80</v>
      </c>
      <c r="H66" s="652" t="s">
        <v>1388</v>
      </c>
      <c r="I66" s="1755" t="s">
        <v>178</v>
      </c>
      <c r="J66" s="1749">
        <v>0</v>
      </c>
      <c r="K66" s="1750"/>
      <c r="L66" s="1751"/>
      <c r="M66" s="1758"/>
      <c r="N66" s="1685"/>
      <c r="O66" s="1703"/>
      <c r="P66" s="1754"/>
      <c r="Q66" s="688"/>
      <c r="R66" s="507"/>
      <c r="S66" s="507"/>
      <c r="T66" s="507"/>
      <c r="U66" s="507"/>
      <c r="V66" s="507"/>
      <c r="W66" s="507"/>
      <c r="X66" s="507"/>
      <c r="Y66" s="507"/>
      <c r="Z66" s="507"/>
      <c r="AA66" s="507"/>
      <c r="AB66" s="702"/>
      <c r="AC66" s="690">
        <f>SUM(Q66:AB66)</f>
        <v>0</v>
      </c>
      <c r="AD66" s="689">
        <f>O66-AC66</f>
        <v>0</v>
      </c>
      <c r="AF66" s="903" t="s">
        <v>349</v>
      </c>
      <c r="AG66" s="1362" t="s">
        <v>1245</v>
      </c>
      <c r="AH66" s="1125" t="s">
        <v>178</v>
      </c>
      <c r="AI66" s="1113">
        <f>P66</f>
        <v>0</v>
      </c>
      <c r="AJ66" s="904">
        <v>18000000</v>
      </c>
      <c r="AK66" s="906">
        <f>AJ66-O66</f>
        <v>18000000</v>
      </c>
      <c r="AL66" s="899"/>
      <c r="AM66" s="1604">
        <f>AJ66-M66</f>
        <v>18000000</v>
      </c>
    </row>
    <row r="67" spans="1:39" s="656" customFormat="1" ht="15">
      <c r="A67" s="691" t="s">
        <v>81</v>
      </c>
      <c r="B67" s="692">
        <f>B62-SUM(B63:B66)</f>
        <v>84666667</v>
      </c>
      <c r="C67" s="693"/>
      <c r="D67" s="693"/>
      <c r="E67" s="693"/>
      <c r="F67" s="693"/>
      <c r="G67" s="2030"/>
      <c r="H67" s="2052"/>
      <c r="I67" s="1759"/>
      <c r="J67" s="1760"/>
      <c r="K67" s="1761"/>
      <c r="L67" s="1688"/>
      <c r="M67" s="1762">
        <f>SUM(M63:M66)</f>
        <v>245333333</v>
      </c>
      <c r="N67" s="1688"/>
      <c r="O67" s="1762">
        <f>SUM(O63:O66)</f>
        <v>15333333</v>
      </c>
      <c r="P67" s="1763"/>
      <c r="Q67" s="14">
        <f>SUM(Q63:Q66)</f>
        <v>0</v>
      </c>
      <c r="R67" s="14">
        <f t="shared" ref="R67:AD67" si="31">SUM(R63:R66)</f>
        <v>0</v>
      </c>
      <c r="S67" s="14">
        <f t="shared" si="31"/>
        <v>0</v>
      </c>
      <c r="T67" s="14">
        <f t="shared" si="31"/>
        <v>0</v>
      </c>
      <c r="U67" s="14">
        <f t="shared" si="31"/>
        <v>0</v>
      </c>
      <c r="V67" s="14">
        <f t="shared" si="31"/>
        <v>0</v>
      </c>
      <c r="W67" s="14">
        <f t="shared" si="31"/>
        <v>0</v>
      </c>
      <c r="X67" s="14">
        <f t="shared" si="31"/>
        <v>0</v>
      </c>
      <c r="Y67" s="14">
        <f t="shared" si="31"/>
        <v>0</v>
      </c>
      <c r="Z67" s="14">
        <f t="shared" si="31"/>
        <v>0</v>
      </c>
      <c r="AA67" s="14">
        <f t="shared" si="31"/>
        <v>0</v>
      </c>
      <c r="AB67" s="14">
        <f t="shared" si="31"/>
        <v>0</v>
      </c>
      <c r="AC67" s="14">
        <f t="shared" si="31"/>
        <v>0</v>
      </c>
      <c r="AD67" s="14">
        <f t="shared" si="31"/>
        <v>15333333</v>
      </c>
      <c r="AF67" s="907"/>
      <c r="AG67" s="14"/>
      <c r="AH67" s="14"/>
      <c r="AI67" s="1117"/>
      <c r="AJ67" s="14">
        <f>SUM(AJ63:AJ66)</f>
        <v>330000000</v>
      </c>
      <c r="AK67" s="182">
        <f>SUM(AK63:AK66)</f>
        <v>314666667</v>
      </c>
      <c r="AL67" s="899">
        <f>B62-AJ67</f>
        <v>0</v>
      </c>
    </row>
    <row r="68" spans="1:39" s="687" customFormat="1" ht="24" customHeight="1">
      <c r="A68" s="1350" t="s">
        <v>893</v>
      </c>
      <c r="B68" s="819">
        <f>860000000+25000000</f>
        <v>885000000</v>
      </c>
      <c r="C68" s="1346" t="s">
        <v>36</v>
      </c>
      <c r="D68" s="1347" t="s">
        <v>865</v>
      </c>
      <c r="E68" s="1347" t="s">
        <v>147</v>
      </c>
      <c r="F68" s="1347" t="s">
        <v>868</v>
      </c>
      <c r="G68" s="1445" t="s">
        <v>80</v>
      </c>
      <c r="H68" s="2053" t="s">
        <v>1388</v>
      </c>
      <c r="I68" s="1743"/>
      <c r="J68" s="1744">
        <v>0</v>
      </c>
      <c r="K68" s="1745"/>
      <c r="L68" s="1746"/>
      <c r="M68" s="1747"/>
      <c r="N68" s="1746"/>
      <c r="O68" s="1748"/>
      <c r="P68" s="1742"/>
      <c r="Q68" s="683"/>
      <c r="R68" s="684"/>
      <c r="S68" s="684"/>
      <c r="T68" s="684"/>
      <c r="U68" s="684"/>
      <c r="V68" s="684"/>
      <c r="W68" s="684"/>
      <c r="X68" s="684"/>
      <c r="Y68" s="684"/>
      <c r="Z68" s="684"/>
      <c r="AA68" s="684"/>
      <c r="AB68" s="685"/>
      <c r="AC68" s="683"/>
      <c r="AD68" s="685"/>
      <c r="AF68" s="1249"/>
      <c r="AG68" s="684"/>
      <c r="AH68" s="684"/>
      <c r="AI68" s="684"/>
      <c r="AJ68" s="684"/>
      <c r="AK68" s="685"/>
      <c r="AL68" s="899"/>
      <c r="AM68" s="1603"/>
    </row>
    <row r="69" spans="1:39" s="687" customFormat="1">
      <c r="A69" s="820" t="s">
        <v>893</v>
      </c>
      <c r="B69" s="275">
        <f t="shared" ref="B69:B74" si="32">M69</f>
        <v>714166680</v>
      </c>
      <c r="C69" s="95" t="s">
        <v>36</v>
      </c>
      <c r="D69" s="96" t="s">
        <v>865</v>
      </c>
      <c r="E69" s="96" t="s">
        <v>147</v>
      </c>
      <c r="F69" s="96" t="s">
        <v>868</v>
      </c>
      <c r="G69" s="1622" t="s">
        <v>80</v>
      </c>
      <c r="H69" s="652" t="s">
        <v>1388</v>
      </c>
      <c r="I69" s="2046">
        <v>315</v>
      </c>
      <c r="J69" s="1749">
        <v>0</v>
      </c>
      <c r="K69" s="1750"/>
      <c r="L69" s="1751">
        <v>325</v>
      </c>
      <c r="M69" s="1758">
        <v>714166680</v>
      </c>
      <c r="N69" s="1682">
        <v>486</v>
      </c>
      <c r="O69" s="1703">
        <v>696315481</v>
      </c>
      <c r="P69" s="1754">
        <v>329</v>
      </c>
      <c r="Q69" s="688"/>
      <c r="R69" s="507"/>
      <c r="S69" s="507"/>
      <c r="T69" s="507"/>
      <c r="U69" s="114"/>
      <c r="V69" s="507">
        <v>208894644</v>
      </c>
      <c r="W69" s="507">
        <v>14576348</v>
      </c>
      <c r="X69" s="507">
        <v>110259635</v>
      </c>
      <c r="Y69" s="507">
        <v>113218262</v>
      </c>
      <c r="Z69" s="507"/>
      <c r="AA69" s="507"/>
      <c r="AB69" s="702"/>
      <c r="AC69" s="690">
        <f>SUM(Q69:AB69)</f>
        <v>446948889</v>
      </c>
      <c r="AD69" s="689">
        <f t="shared" ref="AD69:AD74" si="33">O69-AC69</f>
        <v>249366592</v>
      </c>
      <c r="AF69" s="903">
        <v>315</v>
      </c>
      <c r="AG69" s="1362" t="s">
        <v>492</v>
      </c>
      <c r="AH69" s="1124" t="s">
        <v>1040</v>
      </c>
      <c r="AI69" s="1113">
        <f t="shared" ref="AI69:AI74" si="34">P69</f>
        <v>329</v>
      </c>
      <c r="AJ69" s="904">
        <f>714166680</f>
        <v>714166680</v>
      </c>
      <c r="AK69" s="906">
        <f t="shared" ref="AK69:AK74" si="35">AJ69-O69</f>
        <v>17851199</v>
      </c>
      <c r="AL69" s="899"/>
      <c r="AM69" s="1604">
        <f>AJ69-M69</f>
        <v>0</v>
      </c>
    </row>
    <row r="70" spans="1:39" s="687" customFormat="1">
      <c r="A70" s="820" t="s">
        <v>893</v>
      </c>
      <c r="B70" s="275">
        <f t="shared" si="32"/>
        <v>24904286</v>
      </c>
      <c r="C70" s="95" t="s">
        <v>36</v>
      </c>
      <c r="D70" s="96" t="s">
        <v>865</v>
      </c>
      <c r="E70" s="96" t="s">
        <v>183</v>
      </c>
      <c r="F70" s="96" t="s">
        <v>868</v>
      </c>
      <c r="G70" s="1622" t="s">
        <v>80</v>
      </c>
      <c r="H70" s="652" t="s">
        <v>1388</v>
      </c>
      <c r="I70" s="2046" t="s">
        <v>349</v>
      </c>
      <c r="J70" s="1749">
        <v>597</v>
      </c>
      <c r="K70" s="1750">
        <v>24904286</v>
      </c>
      <c r="L70" s="1751">
        <v>678</v>
      </c>
      <c r="M70" s="1750">
        <v>24904286</v>
      </c>
      <c r="N70" s="1682">
        <v>832</v>
      </c>
      <c r="O70" s="1703">
        <v>24904286</v>
      </c>
      <c r="P70" s="1754">
        <v>329</v>
      </c>
      <c r="Q70" s="688"/>
      <c r="R70" s="507"/>
      <c r="S70" s="507"/>
      <c r="T70" s="507"/>
      <c r="U70" s="114"/>
      <c r="V70" s="507"/>
      <c r="W70" s="507"/>
      <c r="X70" s="507"/>
      <c r="Y70" s="507"/>
      <c r="Z70" s="507"/>
      <c r="AA70" s="507"/>
      <c r="AB70" s="702"/>
      <c r="AC70" s="690">
        <f t="shared" ref="AC70:AC71" si="36">SUM(Q70:AB70)</f>
        <v>0</v>
      </c>
      <c r="AD70" s="689">
        <f t="shared" si="33"/>
        <v>24904286</v>
      </c>
      <c r="AF70" s="903" t="s">
        <v>349</v>
      </c>
      <c r="AG70" s="1362" t="s">
        <v>1315</v>
      </c>
      <c r="AH70" s="1124" t="s">
        <v>1308</v>
      </c>
      <c r="AI70" s="1113">
        <f t="shared" si="34"/>
        <v>329</v>
      </c>
      <c r="AJ70" s="904">
        <v>24904286</v>
      </c>
      <c r="AK70" s="906">
        <f t="shared" si="35"/>
        <v>0</v>
      </c>
      <c r="AL70" s="899"/>
      <c r="AM70" s="1604"/>
    </row>
    <row r="71" spans="1:39" s="687" customFormat="1">
      <c r="A71" s="820" t="s">
        <v>893</v>
      </c>
      <c r="B71" s="275">
        <f t="shared" si="32"/>
        <v>2724127</v>
      </c>
      <c r="C71" s="95" t="s">
        <v>36</v>
      </c>
      <c r="D71" s="96" t="s">
        <v>865</v>
      </c>
      <c r="E71" s="96" t="s">
        <v>147</v>
      </c>
      <c r="F71" s="96" t="s">
        <v>868</v>
      </c>
      <c r="G71" s="1622" t="s">
        <v>80</v>
      </c>
      <c r="H71" s="652" t="s">
        <v>1388</v>
      </c>
      <c r="I71" s="2046" t="s">
        <v>150</v>
      </c>
      <c r="J71" s="1749">
        <v>0</v>
      </c>
      <c r="K71" s="1750"/>
      <c r="L71" s="1751" t="s">
        <v>1165</v>
      </c>
      <c r="M71" s="1758">
        <f>985458+1738669</f>
        <v>2724127</v>
      </c>
      <c r="N71" s="1682" t="s">
        <v>1185</v>
      </c>
      <c r="O71" s="1703">
        <f>985458+1738669</f>
        <v>2724127</v>
      </c>
      <c r="P71" s="1773" t="s">
        <v>1186</v>
      </c>
      <c r="Q71" s="688" t="s">
        <v>178</v>
      </c>
      <c r="R71" s="507"/>
      <c r="S71" s="507">
        <v>985458</v>
      </c>
      <c r="T71" s="507"/>
      <c r="U71" s="507"/>
      <c r="V71" s="507"/>
      <c r="W71" s="507">
        <v>1738669</v>
      </c>
      <c r="X71" s="507"/>
      <c r="Y71" s="507"/>
      <c r="Z71" s="507"/>
      <c r="AA71" s="507"/>
      <c r="AB71" s="702"/>
      <c r="AC71" s="690">
        <f t="shared" si="36"/>
        <v>2724127</v>
      </c>
      <c r="AD71" s="689">
        <f t="shared" si="33"/>
        <v>0</v>
      </c>
      <c r="AF71" s="903" t="s">
        <v>150</v>
      </c>
      <c r="AG71" s="1362" t="s">
        <v>493</v>
      </c>
      <c r="AH71" s="1124" t="s">
        <v>833</v>
      </c>
      <c r="AI71" s="1113" t="str">
        <f t="shared" si="34"/>
        <v>Factura-18032 -20208</v>
      </c>
      <c r="AJ71" s="904">
        <v>3000000</v>
      </c>
      <c r="AK71" s="906">
        <f t="shared" si="35"/>
        <v>275873</v>
      </c>
      <c r="AL71" s="899"/>
      <c r="AM71" s="1604">
        <f>AJ71-M71</f>
        <v>275873</v>
      </c>
    </row>
    <row r="72" spans="1:39" s="687" customFormat="1">
      <c r="A72" s="820" t="s">
        <v>893</v>
      </c>
      <c r="B72" s="275">
        <f t="shared" si="32"/>
        <v>142833320</v>
      </c>
      <c r="C72" s="95" t="s">
        <v>36</v>
      </c>
      <c r="D72" s="96" t="s">
        <v>865</v>
      </c>
      <c r="E72" s="96" t="s">
        <v>147</v>
      </c>
      <c r="F72" s="96" t="s">
        <v>868</v>
      </c>
      <c r="G72" s="1622" t="s">
        <v>80</v>
      </c>
      <c r="H72" s="652" t="s">
        <v>1388</v>
      </c>
      <c r="I72" s="2046">
        <v>316</v>
      </c>
      <c r="J72" s="1749">
        <v>0</v>
      </c>
      <c r="K72" s="1750"/>
      <c r="L72" s="1751">
        <v>387</v>
      </c>
      <c r="M72" s="1758">
        <v>142833320</v>
      </c>
      <c r="N72" s="1682">
        <v>487</v>
      </c>
      <c r="O72" s="1703">
        <v>142179165</v>
      </c>
      <c r="P72" s="1754">
        <v>336</v>
      </c>
      <c r="Q72" s="688"/>
      <c r="R72" s="507"/>
      <c r="S72" s="507"/>
      <c r="T72" s="507"/>
      <c r="U72" s="507"/>
      <c r="V72" s="507"/>
      <c r="W72" s="507">
        <v>11013199</v>
      </c>
      <c r="X72" s="507">
        <v>27810244</v>
      </c>
      <c r="Y72" s="507">
        <v>28322090</v>
      </c>
      <c r="Z72" s="507"/>
      <c r="AA72" s="507"/>
      <c r="AB72" s="702"/>
      <c r="AC72" s="690">
        <f t="shared" ref="AC72:AC74" si="37">SUM(Q72:AB72)</f>
        <v>67145533</v>
      </c>
      <c r="AD72" s="689">
        <f t="shared" si="33"/>
        <v>75033632</v>
      </c>
      <c r="AF72" s="903">
        <v>316</v>
      </c>
      <c r="AG72" s="1362" t="s">
        <v>494</v>
      </c>
      <c r="AH72" s="1124" t="s">
        <v>1039</v>
      </c>
      <c r="AI72" s="1113">
        <f t="shared" si="34"/>
        <v>336</v>
      </c>
      <c r="AJ72" s="904">
        <v>142833320</v>
      </c>
      <c r="AK72" s="906">
        <f t="shared" si="35"/>
        <v>654155</v>
      </c>
      <c r="AL72" s="899"/>
      <c r="AM72" s="1604">
        <f>AJ72-M72</f>
        <v>0</v>
      </c>
    </row>
    <row r="73" spans="1:39" s="687" customFormat="1" ht="15">
      <c r="A73" s="820" t="s">
        <v>893</v>
      </c>
      <c r="B73" s="275">
        <f t="shared" si="32"/>
        <v>0</v>
      </c>
      <c r="C73" s="95" t="s">
        <v>36</v>
      </c>
      <c r="D73" s="96" t="s">
        <v>865</v>
      </c>
      <c r="E73" s="96" t="s">
        <v>147</v>
      </c>
      <c r="F73" s="96" t="s">
        <v>868</v>
      </c>
      <c r="G73" s="1622" t="s">
        <v>80</v>
      </c>
      <c r="H73" s="652" t="s">
        <v>1388</v>
      </c>
      <c r="I73" s="1755" t="s">
        <v>178</v>
      </c>
      <c r="J73" s="1749">
        <v>0</v>
      </c>
      <c r="K73" s="1750"/>
      <c r="L73" s="1756"/>
      <c r="M73" s="1752"/>
      <c r="N73" s="1685"/>
      <c r="O73" s="1753"/>
      <c r="P73" s="1754"/>
      <c r="Q73" s="688"/>
      <c r="R73" s="507"/>
      <c r="S73" s="507"/>
      <c r="T73" s="507"/>
      <c r="U73" s="507"/>
      <c r="V73" s="507"/>
      <c r="W73" s="507"/>
      <c r="X73" s="507"/>
      <c r="Y73" s="507"/>
      <c r="Z73" s="507"/>
      <c r="AA73" s="507"/>
      <c r="AB73" s="702"/>
      <c r="AC73" s="690">
        <f t="shared" si="37"/>
        <v>0</v>
      </c>
      <c r="AD73" s="689">
        <f t="shared" si="33"/>
        <v>0</v>
      </c>
      <c r="AF73" s="903"/>
      <c r="AG73" s="1362"/>
      <c r="AH73" s="1125" t="s">
        <v>178</v>
      </c>
      <c r="AI73" s="1113">
        <f t="shared" si="34"/>
        <v>0</v>
      </c>
      <c r="AJ73" s="904"/>
      <c r="AK73" s="906">
        <f t="shared" si="35"/>
        <v>0</v>
      </c>
      <c r="AL73" s="899"/>
      <c r="AM73" s="1604">
        <f>AJ73-M73</f>
        <v>0</v>
      </c>
    </row>
    <row r="74" spans="1:39" s="656" customFormat="1" ht="15">
      <c r="A74" s="820" t="s">
        <v>893</v>
      </c>
      <c r="B74" s="275">
        <f t="shared" si="32"/>
        <v>0</v>
      </c>
      <c r="C74" s="95" t="s">
        <v>36</v>
      </c>
      <c r="D74" s="96" t="s">
        <v>865</v>
      </c>
      <c r="E74" s="96" t="s">
        <v>147</v>
      </c>
      <c r="F74" s="96" t="s">
        <v>868</v>
      </c>
      <c r="G74" s="1622" t="s">
        <v>80</v>
      </c>
      <c r="H74" s="652" t="s">
        <v>1388</v>
      </c>
      <c r="I74" s="1755" t="s">
        <v>178</v>
      </c>
      <c r="J74" s="1749">
        <v>0</v>
      </c>
      <c r="K74" s="1750"/>
      <c r="L74" s="1757"/>
      <c r="M74" s="1758"/>
      <c r="N74" s="1685"/>
      <c r="O74" s="1703"/>
      <c r="P74" s="1754"/>
      <c r="Q74" s="688"/>
      <c r="R74" s="507"/>
      <c r="S74" s="507"/>
      <c r="T74" s="507"/>
      <c r="U74" s="507"/>
      <c r="V74" s="507"/>
      <c r="W74" s="507"/>
      <c r="X74" s="507"/>
      <c r="Y74" s="507"/>
      <c r="Z74" s="507"/>
      <c r="AA74" s="507"/>
      <c r="AB74" s="702"/>
      <c r="AC74" s="690">
        <f t="shared" si="37"/>
        <v>0</v>
      </c>
      <c r="AD74" s="689">
        <f t="shared" si="33"/>
        <v>0</v>
      </c>
      <c r="AF74" s="903" t="s">
        <v>349</v>
      </c>
      <c r="AG74" s="1362" t="s">
        <v>520</v>
      </c>
      <c r="AH74" s="1125" t="s">
        <v>178</v>
      </c>
      <c r="AI74" s="1113">
        <f t="shared" si="34"/>
        <v>0</v>
      </c>
      <c r="AJ74" s="904">
        <v>95714</v>
      </c>
      <c r="AK74" s="906">
        <f t="shared" si="35"/>
        <v>95714</v>
      </c>
      <c r="AL74" s="899"/>
      <c r="AM74" s="1604">
        <f>AJ74-M74</f>
        <v>95714</v>
      </c>
    </row>
    <row r="75" spans="1:39" s="656" customFormat="1" ht="15">
      <c r="A75" s="691" t="s">
        <v>81</v>
      </c>
      <c r="B75" s="692">
        <f>B68-SUM(B69:B74)</f>
        <v>371587</v>
      </c>
      <c r="C75" s="693"/>
      <c r="D75" s="693"/>
      <c r="E75" s="693"/>
      <c r="F75" s="693"/>
      <c r="G75" s="2030"/>
      <c r="H75" s="2052"/>
      <c r="I75" s="1759"/>
      <c r="J75" s="1760"/>
      <c r="K75" s="1761"/>
      <c r="L75" s="1688"/>
      <c r="M75" s="1762">
        <f>SUM(M69:M74)</f>
        <v>884628413</v>
      </c>
      <c r="N75" s="1688"/>
      <c r="O75" s="1762">
        <f>SUM(O69:O74)</f>
        <v>866123059</v>
      </c>
      <c r="P75" s="1763"/>
      <c r="Q75" s="14">
        <f>SUM(Q69:Q74)</f>
        <v>0</v>
      </c>
      <c r="R75" s="14">
        <f t="shared" ref="R75:AD75" si="38">SUM(R69:R74)</f>
        <v>0</v>
      </c>
      <c r="S75" s="14">
        <f t="shared" si="38"/>
        <v>985458</v>
      </c>
      <c r="T75" s="14">
        <f t="shared" si="38"/>
        <v>0</v>
      </c>
      <c r="U75" s="14">
        <f t="shared" si="38"/>
        <v>0</v>
      </c>
      <c r="V75" s="14">
        <f t="shared" si="38"/>
        <v>208894644</v>
      </c>
      <c r="W75" s="14">
        <f t="shared" si="38"/>
        <v>27328216</v>
      </c>
      <c r="X75" s="14">
        <f t="shared" si="38"/>
        <v>138069879</v>
      </c>
      <c r="Y75" s="14">
        <f t="shared" si="38"/>
        <v>141540352</v>
      </c>
      <c r="Z75" s="14">
        <f t="shared" si="38"/>
        <v>0</v>
      </c>
      <c r="AA75" s="14">
        <f t="shared" si="38"/>
        <v>0</v>
      </c>
      <c r="AB75" s="14">
        <f t="shared" si="38"/>
        <v>0</v>
      </c>
      <c r="AC75" s="14">
        <f t="shared" si="38"/>
        <v>516818549</v>
      </c>
      <c r="AD75" s="14">
        <f t="shared" si="38"/>
        <v>349304510</v>
      </c>
      <c r="AF75" s="907"/>
      <c r="AG75" s="14">
        <f t="shared" ref="AG75:AJ75" si="39">SUM(AG69:AG74)</f>
        <v>0</v>
      </c>
      <c r="AH75" s="14">
        <f t="shared" si="39"/>
        <v>0</v>
      </c>
      <c r="AI75" s="1117">
        <f t="shared" si="39"/>
        <v>994</v>
      </c>
      <c r="AJ75" s="14">
        <f t="shared" si="39"/>
        <v>885000000</v>
      </c>
      <c r="AK75" s="182">
        <f>SUM(AK69:AK74)</f>
        <v>18876941</v>
      </c>
      <c r="AL75" s="899">
        <f>B68-AJ75</f>
        <v>0</v>
      </c>
    </row>
    <row r="76" spans="1:39" s="687" customFormat="1" ht="31.5" customHeight="1">
      <c r="A76" s="1350" t="s">
        <v>892</v>
      </c>
      <c r="B76" s="819">
        <f>400000000+30000000</f>
        <v>430000000</v>
      </c>
      <c r="C76" s="1346" t="s">
        <v>36</v>
      </c>
      <c r="D76" s="1347" t="s">
        <v>865</v>
      </c>
      <c r="E76" s="1347" t="s">
        <v>147</v>
      </c>
      <c r="F76" s="1347" t="s">
        <v>868</v>
      </c>
      <c r="G76" s="1445" t="s">
        <v>80</v>
      </c>
      <c r="H76" s="2053" t="s">
        <v>1388</v>
      </c>
      <c r="I76" s="1743"/>
      <c r="J76" s="1744">
        <v>0</v>
      </c>
      <c r="K76" s="1745"/>
      <c r="L76" s="1746"/>
      <c r="M76" s="1747"/>
      <c r="N76" s="1746"/>
      <c r="O76" s="1748"/>
      <c r="P76" s="1742"/>
      <c r="Q76" s="683"/>
      <c r="R76" s="684"/>
      <c r="S76" s="684"/>
      <c r="T76" s="684"/>
      <c r="U76" s="684"/>
      <c r="V76" s="684"/>
      <c r="W76" s="684"/>
      <c r="X76" s="684"/>
      <c r="Y76" s="684"/>
      <c r="Z76" s="684"/>
      <c r="AA76" s="684"/>
      <c r="AB76" s="685"/>
      <c r="AC76" s="683"/>
      <c r="AD76" s="685"/>
      <c r="AF76" s="1249"/>
      <c r="AG76" s="684"/>
      <c r="AH76" s="684"/>
      <c r="AI76" s="684"/>
      <c r="AJ76" s="684"/>
      <c r="AK76" s="685"/>
      <c r="AL76" s="899"/>
      <c r="AM76" s="1603"/>
    </row>
    <row r="77" spans="1:39" s="687" customFormat="1">
      <c r="A77" s="820" t="s">
        <v>892</v>
      </c>
      <c r="B77" s="275">
        <f t="shared" ref="B77:B83" si="40">M77</f>
        <v>329854712</v>
      </c>
      <c r="C77" s="95" t="s">
        <v>36</v>
      </c>
      <c r="D77" s="96" t="s">
        <v>865</v>
      </c>
      <c r="E77" s="96" t="s">
        <v>147</v>
      </c>
      <c r="F77" s="96" t="s">
        <v>868</v>
      </c>
      <c r="G77" s="1622" t="s">
        <v>80</v>
      </c>
      <c r="H77" s="652" t="s">
        <v>1388</v>
      </c>
      <c r="I77" s="2046">
        <v>322</v>
      </c>
      <c r="J77" s="1749">
        <v>0</v>
      </c>
      <c r="K77" s="1750"/>
      <c r="L77" s="1751">
        <v>508</v>
      </c>
      <c r="M77" s="1758">
        <v>329854712</v>
      </c>
      <c r="N77" s="1682">
        <v>547</v>
      </c>
      <c r="O77" s="1703">
        <v>329854712</v>
      </c>
      <c r="P77" s="1790" t="s">
        <v>1001</v>
      </c>
      <c r="Q77" s="688"/>
      <c r="R77" s="507"/>
      <c r="S77" s="507"/>
      <c r="T77" s="507"/>
      <c r="U77" s="507"/>
      <c r="V77" s="507"/>
      <c r="W77" s="507">
        <v>139732241</v>
      </c>
      <c r="X77" s="507">
        <v>101251071</v>
      </c>
      <c r="Y77" s="507">
        <v>88871400</v>
      </c>
      <c r="Z77" s="507"/>
      <c r="AA77" s="507"/>
      <c r="AB77" s="702"/>
      <c r="AC77" s="690">
        <f t="shared" ref="AC77" si="41">SUM(Q77:AB77)</f>
        <v>329854712</v>
      </c>
      <c r="AD77" s="689">
        <f t="shared" ref="AD77:AD83" si="42">O77-AC77</f>
        <v>0</v>
      </c>
      <c r="AF77" s="903">
        <v>322</v>
      </c>
      <c r="AG77" s="1362" t="s">
        <v>1000</v>
      </c>
      <c r="AH77" s="1124" t="s">
        <v>1072</v>
      </c>
      <c r="AI77" s="1113" t="str">
        <f t="shared" ref="AI77:AI83" si="43">P77</f>
        <v>474/2018</v>
      </c>
      <c r="AJ77" s="904">
        <f>330900000-1045288</f>
        <v>329854712</v>
      </c>
      <c r="AK77" s="906">
        <f t="shared" ref="AK77:AK83" si="44">AJ77-O77</f>
        <v>0</v>
      </c>
      <c r="AL77" s="899"/>
      <c r="AM77" s="1604">
        <f t="shared" ref="AM77:AM83" si="45">AJ77-M77</f>
        <v>0</v>
      </c>
    </row>
    <row r="78" spans="1:39" s="687" customFormat="1">
      <c r="A78" s="820" t="s">
        <v>892</v>
      </c>
      <c r="B78" s="275">
        <f t="shared" si="40"/>
        <v>23402072</v>
      </c>
      <c r="C78" s="95" t="s">
        <v>36</v>
      </c>
      <c r="D78" s="96" t="s">
        <v>865</v>
      </c>
      <c r="E78" s="96" t="s">
        <v>183</v>
      </c>
      <c r="F78" s="96" t="s">
        <v>868</v>
      </c>
      <c r="G78" s="1622" t="s">
        <v>80</v>
      </c>
      <c r="H78" s="652" t="s">
        <v>1388</v>
      </c>
      <c r="I78" s="2046" t="s">
        <v>178</v>
      </c>
      <c r="J78" s="1749"/>
      <c r="K78" s="1750"/>
      <c r="L78" s="1751">
        <v>643</v>
      </c>
      <c r="M78" s="1758">
        <v>23402072</v>
      </c>
      <c r="N78" s="1682">
        <v>787</v>
      </c>
      <c r="O78" s="1703">
        <v>23402072</v>
      </c>
      <c r="P78" s="1791" t="s">
        <v>1001</v>
      </c>
      <c r="Q78" s="688"/>
      <c r="R78" s="507"/>
      <c r="S78" s="507"/>
      <c r="T78" s="507"/>
      <c r="U78" s="507"/>
      <c r="V78" s="507"/>
      <c r="W78" s="507"/>
      <c r="X78" s="507"/>
      <c r="Y78" s="507">
        <v>23402072</v>
      </c>
      <c r="Z78" s="507"/>
      <c r="AA78" s="507"/>
      <c r="AB78" s="702"/>
      <c r="AC78" s="690">
        <f t="shared" ref="AC78:AC83" si="46">SUM(Q78:AB78)</f>
        <v>23402072</v>
      </c>
      <c r="AD78" s="689">
        <f t="shared" si="42"/>
        <v>0</v>
      </c>
      <c r="AF78" s="903" t="s">
        <v>349</v>
      </c>
      <c r="AG78" s="1362" t="s">
        <v>1244</v>
      </c>
      <c r="AH78" s="1124" t="s">
        <v>1072</v>
      </c>
      <c r="AI78" s="1113" t="str">
        <f t="shared" ref="AI78" si="47">P78</f>
        <v>474/2018</v>
      </c>
      <c r="AJ78" s="904">
        <v>30000000</v>
      </c>
      <c r="AK78" s="906">
        <f t="shared" si="44"/>
        <v>6597928</v>
      </c>
      <c r="AL78" s="899"/>
      <c r="AM78" s="1604">
        <f t="shared" si="45"/>
        <v>6597928</v>
      </c>
    </row>
    <row r="79" spans="1:39" s="687" customFormat="1">
      <c r="A79" s="820" t="s">
        <v>892</v>
      </c>
      <c r="B79" s="275">
        <f t="shared" si="40"/>
        <v>985458</v>
      </c>
      <c r="C79" s="95" t="s">
        <v>36</v>
      </c>
      <c r="D79" s="96" t="s">
        <v>865</v>
      </c>
      <c r="E79" s="96" t="s">
        <v>147</v>
      </c>
      <c r="F79" s="96" t="s">
        <v>868</v>
      </c>
      <c r="G79" s="1622" t="s">
        <v>80</v>
      </c>
      <c r="H79" s="652" t="s">
        <v>1388</v>
      </c>
      <c r="I79" s="2046" t="s">
        <v>150</v>
      </c>
      <c r="J79" s="1749">
        <v>0</v>
      </c>
      <c r="K79" s="1750"/>
      <c r="L79" s="1751">
        <v>309</v>
      </c>
      <c r="M79" s="1540">
        <v>985458</v>
      </c>
      <c r="N79" s="1692">
        <v>296</v>
      </c>
      <c r="O79" s="1703">
        <v>985458</v>
      </c>
      <c r="P79" s="1754" t="s">
        <v>772</v>
      </c>
      <c r="Q79" s="688" t="s">
        <v>178</v>
      </c>
      <c r="R79" s="507"/>
      <c r="S79" s="507">
        <f>VLOOKUP(N79,[9]Hoja2!N$2:T$77,7,0)</f>
        <v>985458</v>
      </c>
      <c r="T79" s="507"/>
      <c r="U79" s="507"/>
      <c r="V79" s="507"/>
      <c r="W79" s="507"/>
      <c r="X79" s="507"/>
      <c r="Y79" s="507"/>
      <c r="Z79" s="507"/>
      <c r="AA79" s="507"/>
      <c r="AB79" s="702"/>
      <c r="AC79" s="690">
        <f t="shared" si="46"/>
        <v>985458</v>
      </c>
      <c r="AD79" s="689">
        <f t="shared" si="42"/>
        <v>0</v>
      </c>
      <c r="AF79" s="903" t="s">
        <v>150</v>
      </c>
      <c r="AG79" s="1362" t="s">
        <v>491</v>
      </c>
      <c r="AH79" s="1124" t="s">
        <v>773</v>
      </c>
      <c r="AI79" s="1113" t="str">
        <f t="shared" si="43"/>
        <v>Oficio-16493</v>
      </c>
      <c r="AJ79" s="904">
        <f>3000000-2014542</f>
        <v>985458</v>
      </c>
      <c r="AK79" s="906">
        <f t="shared" si="44"/>
        <v>0</v>
      </c>
      <c r="AL79" s="899"/>
      <c r="AM79" s="1604">
        <f t="shared" si="45"/>
        <v>0</v>
      </c>
    </row>
    <row r="80" spans="1:39" s="687" customFormat="1">
      <c r="A80" s="820" t="s">
        <v>892</v>
      </c>
      <c r="B80" s="275">
        <f t="shared" si="40"/>
        <v>69159830</v>
      </c>
      <c r="C80" s="95" t="s">
        <v>36</v>
      </c>
      <c r="D80" s="96" t="s">
        <v>865</v>
      </c>
      <c r="E80" s="96" t="s">
        <v>147</v>
      </c>
      <c r="F80" s="96" t="s">
        <v>868</v>
      </c>
      <c r="G80" s="1622" t="s">
        <v>80</v>
      </c>
      <c r="H80" s="652" t="s">
        <v>1388</v>
      </c>
      <c r="I80" s="2046">
        <v>323</v>
      </c>
      <c r="J80" s="1749">
        <v>0</v>
      </c>
      <c r="K80" s="1750"/>
      <c r="L80" s="1751">
        <v>510</v>
      </c>
      <c r="M80" s="1758">
        <v>69159830</v>
      </c>
      <c r="N80" s="1682">
        <v>548</v>
      </c>
      <c r="O80" s="1703">
        <v>69159830</v>
      </c>
      <c r="P80" s="1790" t="s">
        <v>1003</v>
      </c>
      <c r="Q80" s="688"/>
      <c r="R80" s="507"/>
      <c r="S80" s="507"/>
      <c r="T80" s="507"/>
      <c r="U80" s="507"/>
      <c r="V80" s="507"/>
      <c r="W80" s="507">
        <v>5980270</v>
      </c>
      <c r="X80" s="507">
        <v>17822002</v>
      </c>
      <c r="Y80" s="507">
        <v>23934879</v>
      </c>
      <c r="Z80" s="507"/>
      <c r="AA80" s="507"/>
      <c r="AB80" s="702"/>
      <c r="AC80" s="690">
        <f t="shared" si="46"/>
        <v>47737151</v>
      </c>
      <c r="AD80" s="689">
        <f t="shared" si="42"/>
        <v>21422679</v>
      </c>
      <c r="AF80" s="903">
        <v>323</v>
      </c>
      <c r="AG80" s="1362" t="s">
        <v>1002</v>
      </c>
      <c r="AH80" s="1124" t="s">
        <v>1073</v>
      </c>
      <c r="AI80" s="1113" t="str">
        <f t="shared" si="43"/>
        <v>469/2018</v>
      </c>
      <c r="AJ80" s="904">
        <f>66100000+3059830</f>
        <v>69159830</v>
      </c>
      <c r="AK80" s="906">
        <f t="shared" si="44"/>
        <v>0</v>
      </c>
      <c r="AL80" s="899"/>
      <c r="AM80" s="1604">
        <f t="shared" si="45"/>
        <v>0</v>
      </c>
    </row>
    <row r="81" spans="1:39" s="687" customFormat="1" ht="15">
      <c r="A81" s="820" t="s">
        <v>892</v>
      </c>
      <c r="B81" s="275">
        <f t="shared" si="40"/>
        <v>0</v>
      </c>
      <c r="C81" s="95" t="s">
        <v>36</v>
      </c>
      <c r="D81" s="96" t="s">
        <v>865</v>
      </c>
      <c r="E81" s="96" t="s">
        <v>147</v>
      </c>
      <c r="F81" s="96" t="s">
        <v>868</v>
      </c>
      <c r="G81" s="1622" t="s">
        <v>80</v>
      </c>
      <c r="H81" s="652" t="s">
        <v>1388</v>
      </c>
      <c r="I81" s="1755" t="s">
        <v>178</v>
      </c>
      <c r="J81" s="1749">
        <v>0</v>
      </c>
      <c r="K81" s="1750"/>
      <c r="L81" s="1756"/>
      <c r="M81" s="1752"/>
      <c r="N81" s="1682"/>
      <c r="O81" s="1703"/>
      <c r="P81" s="1754"/>
      <c r="Q81" s="688"/>
      <c r="R81" s="507"/>
      <c r="S81" s="507"/>
      <c r="T81" s="507"/>
      <c r="U81" s="507"/>
      <c r="V81" s="507"/>
      <c r="W81" s="507"/>
      <c r="X81" s="507"/>
      <c r="Y81" s="507"/>
      <c r="Z81" s="507"/>
      <c r="AA81" s="507"/>
      <c r="AB81" s="702"/>
      <c r="AC81" s="690">
        <f t="shared" si="46"/>
        <v>0</v>
      </c>
      <c r="AD81" s="689">
        <f t="shared" si="42"/>
        <v>0</v>
      </c>
      <c r="AF81" s="903"/>
      <c r="AG81" s="1362" t="s">
        <v>491</v>
      </c>
      <c r="AH81" s="1125" t="s">
        <v>178</v>
      </c>
      <c r="AI81" s="1113">
        <f t="shared" si="43"/>
        <v>0</v>
      </c>
      <c r="AJ81" s="904"/>
      <c r="AK81" s="906">
        <f t="shared" si="44"/>
        <v>0</v>
      </c>
      <c r="AL81" s="899"/>
      <c r="AM81" s="1604">
        <f t="shared" si="45"/>
        <v>0</v>
      </c>
    </row>
    <row r="82" spans="1:39" s="687" customFormat="1" ht="15">
      <c r="A82" s="820" t="s">
        <v>892</v>
      </c>
      <c r="B82" s="275">
        <f t="shared" si="40"/>
        <v>0</v>
      </c>
      <c r="C82" s="95" t="s">
        <v>36</v>
      </c>
      <c r="D82" s="96" t="s">
        <v>865</v>
      </c>
      <c r="E82" s="96" t="s">
        <v>147</v>
      </c>
      <c r="F82" s="96" t="s">
        <v>868</v>
      </c>
      <c r="G82" s="1622" t="s">
        <v>80</v>
      </c>
      <c r="H82" s="652" t="s">
        <v>1388</v>
      </c>
      <c r="I82" s="1755" t="s">
        <v>178</v>
      </c>
      <c r="J82" s="1749">
        <v>0</v>
      </c>
      <c r="K82" s="1750"/>
      <c r="L82" s="1756"/>
      <c r="M82" s="1752"/>
      <c r="N82" s="1682"/>
      <c r="O82" s="1703"/>
      <c r="P82" s="1791"/>
      <c r="Q82" s="688"/>
      <c r="R82" s="507"/>
      <c r="S82" s="507"/>
      <c r="T82" s="507"/>
      <c r="U82" s="507"/>
      <c r="V82" s="507"/>
      <c r="W82" s="507"/>
      <c r="X82" s="507"/>
      <c r="Y82" s="507"/>
      <c r="Z82" s="507"/>
      <c r="AA82" s="507"/>
      <c r="AB82" s="702"/>
      <c r="AC82" s="690">
        <f t="shared" si="46"/>
        <v>0</v>
      </c>
      <c r="AD82" s="689">
        <f t="shared" si="42"/>
        <v>0</v>
      </c>
      <c r="AF82" s="903"/>
      <c r="AG82" s="1362"/>
      <c r="AH82" s="1125"/>
      <c r="AI82" s="1113">
        <f t="shared" si="43"/>
        <v>0</v>
      </c>
      <c r="AJ82" s="904"/>
      <c r="AK82" s="906">
        <f t="shared" si="44"/>
        <v>0</v>
      </c>
      <c r="AL82" s="899"/>
      <c r="AM82" s="1604">
        <f t="shared" si="45"/>
        <v>0</v>
      </c>
    </row>
    <row r="83" spans="1:39" s="656" customFormat="1" ht="15">
      <c r="A83" s="820" t="s">
        <v>163</v>
      </c>
      <c r="B83" s="275">
        <f t="shared" si="40"/>
        <v>0</v>
      </c>
      <c r="C83" s="95" t="s">
        <v>36</v>
      </c>
      <c r="D83" s="96" t="s">
        <v>865</v>
      </c>
      <c r="E83" s="96" t="s">
        <v>147</v>
      </c>
      <c r="F83" s="96" t="s">
        <v>868</v>
      </c>
      <c r="G83" s="1622" t="s">
        <v>80</v>
      </c>
      <c r="H83" s="652" t="s">
        <v>1388</v>
      </c>
      <c r="I83" s="1755" t="s">
        <v>178</v>
      </c>
      <c r="J83" s="1749">
        <v>0</v>
      </c>
      <c r="K83" s="1750"/>
      <c r="L83" s="1757"/>
      <c r="M83" s="1758"/>
      <c r="N83" s="1682"/>
      <c r="O83" s="1703"/>
      <c r="P83" s="1754"/>
      <c r="Q83" s="688"/>
      <c r="R83" s="507"/>
      <c r="S83" s="507"/>
      <c r="T83" s="507"/>
      <c r="U83" s="507"/>
      <c r="V83" s="507"/>
      <c r="W83" s="507"/>
      <c r="X83" s="507"/>
      <c r="Y83" s="507"/>
      <c r="Z83" s="507"/>
      <c r="AA83" s="507"/>
      <c r="AB83" s="702"/>
      <c r="AC83" s="690">
        <f t="shared" si="46"/>
        <v>0</v>
      </c>
      <c r="AD83" s="689">
        <f t="shared" si="42"/>
        <v>0</v>
      </c>
      <c r="AF83" s="903"/>
      <c r="AG83" s="1362"/>
      <c r="AH83" s="1125" t="s">
        <v>178</v>
      </c>
      <c r="AI83" s="1113">
        <f t="shared" si="43"/>
        <v>0</v>
      </c>
      <c r="AJ83" s="904"/>
      <c r="AK83" s="906">
        <f t="shared" si="44"/>
        <v>0</v>
      </c>
      <c r="AL83" s="899"/>
      <c r="AM83" s="1604">
        <f t="shared" si="45"/>
        <v>0</v>
      </c>
    </row>
    <row r="84" spans="1:39" s="656" customFormat="1" ht="15">
      <c r="A84" s="691" t="s">
        <v>81</v>
      </c>
      <c r="B84" s="692">
        <f>B76-SUM(B77:B83)</f>
        <v>6597928</v>
      </c>
      <c r="C84" s="693"/>
      <c r="D84" s="693"/>
      <c r="E84" s="693"/>
      <c r="F84" s="693"/>
      <c r="G84" s="2030"/>
      <c r="H84" s="2052"/>
      <c r="I84" s="1759"/>
      <c r="J84" s="1760"/>
      <c r="K84" s="1761"/>
      <c r="L84" s="1688"/>
      <c r="M84" s="1762">
        <f>SUM(M77:M83)</f>
        <v>423402072</v>
      </c>
      <c r="N84" s="1688"/>
      <c r="O84" s="1762">
        <f>SUM(O77:O83)</f>
        <v>423402072</v>
      </c>
      <c r="P84" s="1763"/>
      <c r="Q84" s="14">
        <f>SUM(Q77:Q83)</f>
        <v>0</v>
      </c>
      <c r="R84" s="14">
        <f t="shared" ref="R84:AD84" si="48">SUM(R77:R83)</f>
        <v>0</v>
      </c>
      <c r="S84" s="14">
        <f t="shared" si="48"/>
        <v>985458</v>
      </c>
      <c r="T84" s="14">
        <f t="shared" si="48"/>
        <v>0</v>
      </c>
      <c r="U84" s="14">
        <f t="shared" si="48"/>
        <v>0</v>
      </c>
      <c r="V84" s="14">
        <f t="shared" si="48"/>
        <v>0</v>
      </c>
      <c r="W84" s="14">
        <f t="shared" si="48"/>
        <v>145712511</v>
      </c>
      <c r="X84" s="14">
        <f t="shared" si="48"/>
        <v>119073073</v>
      </c>
      <c r="Y84" s="14">
        <f t="shared" si="48"/>
        <v>136208351</v>
      </c>
      <c r="Z84" s="14">
        <f t="shared" si="48"/>
        <v>0</v>
      </c>
      <c r="AA84" s="14">
        <f t="shared" si="48"/>
        <v>0</v>
      </c>
      <c r="AB84" s="182">
        <f t="shared" si="48"/>
        <v>0</v>
      </c>
      <c r="AC84" s="251">
        <f t="shared" si="48"/>
        <v>401979393</v>
      </c>
      <c r="AD84" s="14">
        <f t="shared" si="48"/>
        <v>21422679</v>
      </c>
      <c r="AF84" s="907"/>
      <c r="AG84" s="14">
        <f t="shared" ref="AG84:AJ84" si="49">SUM(AG77:AG83)</f>
        <v>0</v>
      </c>
      <c r="AH84" s="14">
        <f t="shared" si="49"/>
        <v>0</v>
      </c>
      <c r="AI84" s="1117">
        <f t="shared" si="49"/>
        <v>0</v>
      </c>
      <c r="AJ84" s="14">
        <f t="shared" si="49"/>
        <v>430000000</v>
      </c>
      <c r="AK84" s="182">
        <f>SUM(AK77:AK83)</f>
        <v>6597928</v>
      </c>
      <c r="AL84" s="899">
        <f>B76-AJ84</f>
        <v>0</v>
      </c>
    </row>
    <row r="85" spans="1:39" s="687" customFormat="1" ht="26.25" customHeight="1">
      <c r="A85" s="1350" t="s">
        <v>907</v>
      </c>
      <c r="B85" s="819">
        <f>350000000-24750000-79592836-88721000</f>
        <v>156936164</v>
      </c>
      <c r="C85" s="1346" t="s">
        <v>36</v>
      </c>
      <c r="D85" s="1347" t="s">
        <v>865</v>
      </c>
      <c r="E85" s="1347" t="s">
        <v>147</v>
      </c>
      <c r="F85" s="1347" t="s">
        <v>868</v>
      </c>
      <c r="G85" s="1445" t="s">
        <v>80</v>
      </c>
      <c r="H85" s="2053" t="s">
        <v>1388</v>
      </c>
      <c r="I85" s="1743"/>
      <c r="J85" s="1744">
        <v>0</v>
      </c>
      <c r="K85" s="1745"/>
      <c r="L85" s="1746"/>
      <c r="M85" s="1747"/>
      <c r="N85" s="1746"/>
      <c r="O85" s="1748"/>
      <c r="P85" s="1742"/>
      <c r="Q85" s="683"/>
      <c r="R85" s="684"/>
      <c r="S85" s="684"/>
      <c r="T85" s="684"/>
      <c r="U85" s="684"/>
      <c r="V85" s="684"/>
      <c r="W85" s="684"/>
      <c r="X85" s="684"/>
      <c r="Y85" s="684"/>
      <c r="Z85" s="684"/>
      <c r="AA85" s="684"/>
      <c r="AB85" s="685"/>
      <c r="AC85" s="683"/>
      <c r="AD85" s="685"/>
      <c r="AF85" s="1249"/>
      <c r="AG85" s="684"/>
      <c r="AH85" s="684"/>
      <c r="AI85" s="684"/>
      <c r="AJ85" s="684"/>
      <c r="AK85" s="685"/>
      <c r="AL85" s="899"/>
      <c r="AM85" s="1603"/>
    </row>
    <row r="86" spans="1:39" s="656" customFormat="1" ht="15">
      <c r="A86" s="820" t="s">
        <v>907</v>
      </c>
      <c r="B86" s="275">
        <f>M86</f>
        <v>0</v>
      </c>
      <c r="C86" s="95" t="s">
        <v>36</v>
      </c>
      <c r="D86" s="96" t="s">
        <v>865</v>
      </c>
      <c r="E86" s="96" t="s">
        <v>147</v>
      </c>
      <c r="F86" s="96" t="s">
        <v>868</v>
      </c>
      <c r="G86" s="1622" t="s">
        <v>80</v>
      </c>
      <c r="H86" s="652" t="s">
        <v>1388</v>
      </c>
      <c r="I86" s="2046">
        <v>325</v>
      </c>
      <c r="J86" s="1749">
        <v>0</v>
      </c>
      <c r="K86" s="1750"/>
      <c r="L86" s="1757"/>
      <c r="M86" s="1758"/>
      <c r="N86" s="1685"/>
      <c r="O86" s="1703"/>
      <c r="P86" s="1754"/>
      <c r="Q86" s="688"/>
      <c r="R86" s="507"/>
      <c r="S86" s="507"/>
      <c r="T86" s="507"/>
      <c r="U86" s="507"/>
      <c r="V86" s="507"/>
      <c r="W86" s="507"/>
      <c r="X86" s="507"/>
      <c r="Y86" s="507"/>
      <c r="Z86" s="507"/>
      <c r="AA86" s="507"/>
      <c r="AB86" s="702"/>
      <c r="AC86" s="690">
        <f>SUM(Q86:AB86)</f>
        <v>0</v>
      </c>
      <c r="AD86" s="689">
        <f>O86-AC86</f>
        <v>0</v>
      </c>
      <c r="AF86" s="903">
        <v>325</v>
      </c>
      <c r="AG86" s="1362" t="s">
        <v>485</v>
      </c>
      <c r="AH86" s="1124" t="s">
        <v>178</v>
      </c>
      <c r="AI86" s="1113">
        <f>P86</f>
        <v>0</v>
      </c>
      <c r="AJ86" s="904">
        <f>350000000-24750000-79592836-25000000-63721000</f>
        <v>156936164</v>
      </c>
      <c r="AK86" s="906">
        <f>AJ86-O86</f>
        <v>156936164</v>
      </c>
      <c r="AL86" s="899"/>
      <c r="AM86" s="1604">
        <f>AJ86-M86</f>
        <v>156936164</v>
      </c>
    </row>
    <row r="87" spans="1:39" s="656" customFormat="1" ht="15">
      <c r="A87" s="820" t="s">
        <v>907</v>
      </c>
      <c r="B87" s="275">
        <f t="shared" ref="B87:B88" si="50">M87</f>
        <v>0</v>
      </c>
      <c r="C87" s="95" t="s">
        <v>36</v>
      </c>
      <c r="D87" s="96" t="s">
        <v>865</v>
      </c>
      <c r="E87" s="96" t="s">
        <v>183</v>
      </c>
      <c r="F87" s="96" t="s">
        <v>868</v>
      </c>
      <c r="G87" s="1622" t="s">
        <v>80</v>
      </c>
      <c r="H87" s="652" t="s">
        <v>1388</v>
      </c>
      <c r="I87" s="1450" t="s">
        <v>178</v>
      </c>
      <c r="J87" s="1749"/>
      <c r="K87" s="1750"/>
      <c r="L87" s="1757"/>
      <c r="M87" s="1758"/>
      <c r="N87" s="1685"/>
      <c r="O87" s="1703"/>
      <c r="P87" s="1754"/>
      <c r="Q87" s="688"/>
      <c r="R87" s="507"/>
      <c r="S87" s="507"/>
      <c r="T87" s="507"/>
      <c r="U87" s="507"/>
      <c r="V87" s="507"/>
      <c r="W87" s="507"/>
      <c r="X87" s="507"/>
      <c r="Y87" s="507"/>
      <c r="Z87" s="507"/>
      <c r="AA87" s="507"/>
      <c r="AB87" s="702"/>
      <c r="AC87" s="690">
        <f t="shared" ref="AC87:AC88" si="51">SUM(Q87:AB87)</f>
        <v>0</v>
      </c>
      <c r="AD87" s="689">
        <f>O87-AC87</f>
        <v>0</v>
      </c>
      <c r="AF87" s="903"/>
      <c r="AG87" s="1362"/>
      <c r="AH87" s="1124"/>
      <c r="AI87" s="1113">
        <f t="shared" ref="AI87:AI88" si="52">P87</f>
        <v>0</v>
      </c>
      <c r="AJ87" s="904"/>
      <c r="AK87" s="906">
        <f>AJ87-O87</f>
        <v>0</v>
      </c>
      <c r="AL87" s="899"/>
      <c r="AM87" s="1604">
        <f>AJ87-M87</f>
        <v>0</v>
      </c>
    </row>
    <row r="88" spans="1:39" s="656" customFormat="1" ht="15">
      <c r="A88" s="820" t="s">
        <v>907</v>
      </c>
      <c r="B88" s="275">
        <f t="shared" si="50"/>
        <v>0</v>
      </c>
      <c r="C88" s="95" t="s">
        <v>36</v>
      </c>
      <c r="D88" s="96" t="s">
        <v>865</v>
      </c>
      <c r="E88" s="96" t="s">
        <v>184</v>
      </c>
      <c r="F88" s="96" t="s">
        <v>868</v>
      </c>
      <c r="G88" s="1622" t="s">
        <v>80</v>
      </c>
      <c r="H88" s="652" t="s">
        <v>1388</v>
      </c>
      <c r="I88" s="1450" t="s">
        <v>178</v>
      </c>
      <c r="J88" s="1749"/>
      <c r="K88" s="1750"/>
      <c r="L88" s="1757"/>
      <c r="M88" s="1758"/>
      <c r="N88" s="1685"/>
      <c r="O88" s="1703"/>
      <c r="P88" s="1754"/>
      <c r="Q88" s="688"/>
      <c r="R88" s="507"/>
      <c r="S88" s="507"/>
      <c r="T88" s="507"/>
      <c r="U88" s="507"/>
      <c r="V88" s="507"/>
      <c r="W88" s="507"/>
      <c r="X88" s="507"/>
      <c r="Y88" s="507"/>
      <c r="Z88" s="507"/>
      <c r="AA88" s="507"/>
      <c r="AB88" s="702"/>
      <c r="AC88" s="690">
        <f t="shared" si="51"/>
        <v>0</v>
      </c>
      <c r="AD88" s="689">
        <f>O88-AC88</f>
        <v>0</v>
      </c>
      <c r="AF88" s="903"/>
      <c r="AG88" s="1362"/>
      <c r="AH88" s="1124"/>
      <c r="AI88" s="1113">
        <f t="shared" si="52"/>
        <v>0</v>
      </c>
      <c r="AJ88" s="904"/>
      <c r="AK88" s="906">
        <f>AJ88-O88</f>
        <v>0</v>
      </c>
      <c r="AL88" s="899"/>
      <c r="AM88" s="1604">
        <f>AJ88-M88</f>
        <v>0</v>
      </c>
    </row>
    <row r="89" spans="1:39" s="656" customFormat="1" ht="15">
      <c r="A89" s="691" t="s">
        <v>81</v>
      </c>
      <c r="B89" s="692">
        <f>B85-SUM(B86:B88)</f>
        <v>156936164</v>
      </c>
      <c r="C89" s="693"/>
      <c r="D89" s="693"/>
      <c r="E89" s="693"/>
      <c r="F89" s="693"/>
      <c r="G89" s="2030"/>
      <c r="H89" s="2052"/>
      <c r="I89" s="1759"/>
      <c r="J89" s="1760"/>
      <c r="K89" s="1761"/>
      <c r="L89" s="1688"/>
      <c r="M89" s="1762">
        <f>SUM(M86:M88)</f>
        <v>0</v>
      </c>
      <c r="N89" s="1688"/>
      <c r="O89" s="1762">
        <f>SUM(O86:O88)</f>
        <v>0</v>
      </c>
      <c r="P89" s="1763"/>
      <c r="Q89" s="14">
        <f>SUM(Q86:Q88)</f>
        <v>0</v>
      </c>
      <c r="R89" s="14">
        <f t="shared" ref="R89:AD89" si="53">SUM(R86:R88)</f>
        <v>0</v>
      </c>
      <c r="S89" s="14">
        <f t="shared" si="53"/>
        <v>0</v>
      </c>
      <c r="T89" s="14">
        <f t="shared" si="53"/>
        <v>0</v>
      </c>
      <c r="U89" s="14">
        <f t="shared" si="53"/>
        <v>0</v>
      </c>
      <c r="V89" s="14">
        <f t="shared" si="53"/>
        <v>0</v>
      </c>
      <c r="W89" s="14">
        <f t="shared" si="53"/>
        <v>0</v>
      </c>
      <c r="X89" s="14">
        <f t="shared" si="53"/>
        <v>0</v>
      </c>
      <c r="Y89" s="14">
        <f t="shared" si="53"/>
        <v>0</v>
      </c>
      <c r="Z89" s="14">
        <f t="shared" si="53"/>
        <v>0</v>
      </c>
      <c r="AA89" s="14">
        <f t="shared" si="53"/>
        <v>0</v>
      </c>
      <c r="AB89" s="182">
        <f t="shared" si="53"/>
        <v>0</v>
      </c>
      <c r="AC89" s="251">
        <f t="shared" si="53"/>
        <v>0</v>
      </c>
      <c r="AD89" s="14">
        <f t="shared" si="53"/>
        <v>0</v>
      </c>
      <c r="AF89" s="907"/>
      <c r="AG89" s="14">
        <f>SUM(AG86:AG86)</f>
        <v>0</v>
      </c>
      <c r="AH89" s="14">
        <f>SUM(AH86:AH86)</f>
        <v>0</v>
      </c>
      <c r="AI89" s="1117">
        <f>SUM(AI86:AI86)</f>
        <v>0</v>
      </c>
      <c r="AJ89" s="14">
        <f>SUM(AJ86:AJ88)</f>
        <v>156936164</v>
      </c>
      <c r="AK89" s="14">
        <f t="shared" ref="AK89" si="54">SUM(AK86:AK88)</f>
        <v>156936164</v>
      </c>
      <c r="AL89" s="899">
        <f>B85-AJ89</f>
        <v>0</v>
      </c>
    </row>
    <row r="90" spans="1:39" s="656" customFormat="1" ht="36.75" customHeight="1">
      <c r="A90" s="1350" t="s">
        <v>1188</v>
      </c>
      <c r="B90" s="819">
        <v>79592836</v>
      </c>
      <c r="C90" s="1346" t="s">
        <v>36</v>
      </c>
      <c r="D90" s="1347" t="s">
        <v>865</v>
      </c>
      <c r="E90" s="1347" t="s">
        <v>147</v>
      </c>
      <c r="F90" s="1347" t="s">
        <v>868</v>
      </c>
      <c r="G90" s="1445" t="s">
        <v>80</v>
      </c>
      <c r="H90" s="2053" t="s">
        <v>1388</v>
      </c>
      <c r="I90" s="1743"/>
      <c r="J90" s="1744"/>
      <c r="K90" s="1745"/>
      <c r="L90" s="1746"/>
      <c r="M90" s="1747"/>
      <c r="N90" s="1746"/>
      <c r="O90" s="1748"/>
      <c r="P90" s="1742"/>
      <c r="Q90" s="683"/>
      <c r="R90" s="684"/>
      <c r="S90" s="684"/>
      <c r="T90" s="684"/>
      <c r="U90" s="684"/>
      <c r="V90" s="684"/>
      <c r="W90" s="684"/>
      <c r="X90" s="684"/>
      <c r="Y90" s="684"/>
      <c r="Z90" s="684"/>
      <c r="AA90" s="684"/>
      <c r="AB90" s="685"/>
      <c r="AC90" s="683"/>
      <c r="AD90" s="685"/>
      <c r="AF90" s="1249"/>
      <c r="AG90" s="684"/>
      <c r="AH90" s="684"/>
      <c r="AI90" s="684"/>
      <c r="AJ90" s="684"/>
      <c r="AK90" s="685"/>
      <c r="AL90" s="899"/>
    </row>
    <row r="91" spans="1:39" s="656" customFormat="1" ht="15">
      <c r="A91" s="1382" t="s">
        <v>1188</v>
      </c>
      <c r="B91" s="695">
        <f>M91</f>
        <v>68029011</v>
      </c>
      <c r="C91" s="95" t="s">
        <v>36</v>
      </c>
      <c r="D91" s="96" t="s">
        <v>865</v>
      </c>
      <c r="E91" s="96" t="s">
        <v>147</v>
      </c>
      <c r="F91" s="96" t="s">
        <v>868</v>
      </c>
      <c r="G91" s="1622" t="s">
        <v>80</v>
      </c>
      <c r="H91" s="652" t="s">
        <v>1388</v>
      </c>
      <c r="I91" s="1765" t="s">
        <v>178</v>
      </c>
      <c r="J91" s="1766"/>
      <c r="K91" s="1787"/>
      <c r="L91" s="1682">
        <v>618</v>
      </c>
      <c r="M91" s="1540">
        <v>68029011</v>
      </c>
      <c r="N91" s="1682">
        <v>721</v>
      </c>
      <c r="O91" s="1540">
        <v>68029011</v>
      </c>
      <c r="P91" s="1767" t="s">
        <v>1191</v>
      </c>
      <c r="Q91" s="252"/>
      <c r="R91" s="7"/>
      <c r="S91" s="7"/>
      <c r="T91" s="7"/>
      <c r="U91" s="7"/>
      <c r="V91" s="7"/>
      <c r="W91" s="7"/>
      <c r="X91" s="507"/>
      <c r="Y91" s="507">
        <v>68029011</v>
      </c>
      <c r="Z91" s="7"/>
      <c r="AA91" s="7"/>
      <c r="AB91" s="184"/>
      <c r="AC91" s="690">
        <f t="shared" ref="AC91:AC93" si="55">SUM(Q91:AB91)</f>
        <v>68029011</v>
      </c>
      <c r="AD91" s="689">
        <f>O91-AC91</f>
        <v>0</v>
      </c>
      <c r="AF91" s="1539" t="s">
        <v>349</v>
      </c>
      <c r="AG91" s="1493" t="s">
        <v>1189</v>
      </c>
      <c r="AH91" s="7"/>
      <c r="AI91" s="1113" t="str">
        <f t="shared" ref="AI91:AI93" si="56">P91</f>
        <v>361-2018</v>
      </c>
      <c r="AJ91" s="1540">
        <v>68029011</v>
      </c>
      <c r="AK91" s="906">
        <f>AJ91-O91</f>
        <v>0</v>
      </c>
      <c r="AL91" s="899"/>
      <c r="AM91" s="1604">
        <f>AJ91-M91</f>
        <v>0</v>
      </c>
    </row>
    <row r="92" spans="1:39" s="656" customFormat="1" ht="15">
      <c r="A92" s="1382" t="s">
        <v>1188</v>
      </c>
      <c r="B92" s="695">
        <f t="shared" ref="B92:B93" si="57">M92</f>
        <v>11563825</v>
      </c>
      <c r="C92" s="95" t="s">
        <v>36</v>
      </c>
      <c r="D92" s="96" t="s">
        <v>865</v>
      </c>
      <c r="E92" s="96" t="s">
        <v>183</v>
      </c>
      <c r="F92" s="96" t="s">
        <v>868</v>
      </c>
      <c r="G92" s="1622" t="s">
        <v>80</v>
      </c>
      <c r="H92" s="652" t="s">
        <v>1388</v>
      </c>
      <c r="I92" s="1765" t="s">
        <v>178</v>
      </c>
      <c r="J92" s="1766"/>
      <c r="K92" s="1787"/>
      <c r="L92" s="1682">
        <v>619</v>
      </c>
      <c r="M92" s="1540">
        <v>11563825</v>
      </c>
      <c r="N92" s="1682">
        <v>722</v>
      </c>
      <c r="O92" s="1540">
        <v>11563825</v>
      </c>
      <c r="P92" s="1767" t="s">
        <v>1192</v>
      </c>
      <c r="Q92" s="252"/>
      <c r="R92" s="7"/>
      <c r="S92" s="7"/>
      <c r="T92" s="7"/>
      <c r="U92" s="7"/>
      <c r="V92" s="7"/>
      <c r="W92" s="7"/>
      <c r="X92" s="507"/>
      <c r="Y92" s="507"/>
      <c r="Z92" s="7"/>
      <c r="AA92" s="7"/>
      <c r="AB92" s="184"/>
      <c r="AC92" s="690">
        <f t="shared" si="55"/>
        <v>0</v>
      </c>
      <c r="AD92" s="689">
        <f>O92-AC92</f>
        <v>11563825</v>
      </c>
      <c r="AF92" s="1539" t="s">
        <v>349</v>
      </c>
      <c r="AG92" s="1493" t="s">
        <v>1190</v>
      </c>
      <c r="AH92" s="7"/>
      <c r="AI92" s="1113" t="str">
        <f t="shared" si="56"/>
        <v>433-2018</v>
      </c>
      <c r="AJ92" s="1540">
        <v>11563825</v>
      </c>
      <c r="AK92" s="906">
        <f>AJ92-O92</f>
        <v>0</v>
      </c>
      <c r="AL92" s="899"/>
      <c r="AM92" s="1604">
        <f>AJ92-M92</f>
        <v>0</v>
      </c>
    </row>
    <row r="93" spans="1:39" s="656" customFormat="1" ht="15">
      <c r="A93" s="1382" t="s">
        <v>1188</v>
      </c>
      <c r="B93" s="695">
        <f t="shared" si="57"/>
        <v>0</v>
      </c>
      <c r="C93" s="95" t="s">
        <v>36</v>
      </c>
      <c r="D93" s="96" t="s">
        <v>865</v>
      </c>
      <c r="E93" s="96" t="s">
        <v>184</v>
      </c>
      <c r="F93" s="96" t="s">
        <v>868</v>
      </c>
      <c r="G93" s="1622" t="s">
        <v>80</v>
      </c>
      <c r="H93" s="652" t="s">
        <v>1388</v>
      </c>
      <c r="I93" s="1765" t="s">
        <v>178</v>
      </c>
      <c r="J93" s="1766"/>
      <c r="K93" s="1787"/>
      <c r="L93" s="1682"/>
      <c r="M93" s="1788"/>
      <c r="N93" s="1682"/>
      <c r="O93" s="1540"/>
      <c r="P93" s="1767"/>
      <c r="Q93" s="252"/>
      <c r="R93" s="7"/>
      <c r="S93" s="7"/>
      <c r="T93" s="7"/>
      <c r="U93" s="7"/>
      <c r="V93" s="7"/>
      <c r="W93" s="7"/>
      <c r="X93" s="7"/>
      <c r="Y93" s="7"/>
      <c r="Z93" s="7"/>
      <c r="AA93" s="7"/>
      <c r="AB93" s="184"/>
      <c r="AC93" s="690">
        <f t="shared" si="55"/>
        <v>0</v>
      </c>
      <c r="AD93" s="689">
        <f>O93-AC93</f>
        <v>0</v>
      </c>
      <c r="AF93" s="945"/>
      <c r="AG93" s="7"/>
      <c r="AH93" s="7"/>
      <c r="AI93" s="1113">
        <f t="shared" si="56"/>
        <v>0</v>
      </c>
      <c r="AJ93" s="7"/>
      <c r="AK93" s="906">
        <f>AJ93-O93</f>
        <v>0</v>
      </c>
      <c r="AL93" s="899"/>
      <c r="AM93" s="1604">
        <f>AJ93-M93</f>
        <v>0</v>
      </c>
    </row>
    <row r="94" spans="1:39" s="656" customFormat="1" ht="15">
      <c r="A94" s="691" t="s">
        <v>81</v>
      </c>
      <c r="B94" s="692">
        <f>B90-SUM(B91:B93)</f>
        <v>0</v>
      </c>
      <c r="C94" s="693"/>
      <c r="D94" s="694"/>
      <c r="E94" s="694"/>
      <c r="F94" s="694"/>
      <c r="G94" s="1313"/>
      <c r="H94" s="2054"/>
      <c r="I94" s="1769"/>
      <c r="J94" s="1760"/>
      <c r="K94" s="1761"/>
      <c r="L94" s="1688"/>
      <c r="M94" s="1762">
        <f>SUM(M91:M93)</f>
        <v>79592836</v>
      </c>
      <c r="N94" s="1688"/>
      <c r="O94" s="1762">
        <f>SUM(O91:O93)</f>
        <v>79592836</v>
      </c>
      <c r="P94" s="1763"/>
      <c r="Q94" s="14">
        <f>SUM(Q91:Q93)</f>
        <v>0</v>
      </c>
      <c r="R94" s="14">
        <f t="shared" ref="R94:AD94" si="58">SUM(R91:R93)</f>
        <v>0</v>
      </c>
      <c r="S94" s="14">
        <f t="shared" si="58"/>
        <v>0</v>
      </c>
      <c r="T94" s="14">
        <f t="shared" si="58"/>
        <v>0</v>
      </c>
      <c r="U94" s="14">
        <f t="shared" si="58"/>
        <v>0</v>
      </c>
      <c r="V94" s="14">
        <f t="shared" si="58"/>
        <v>0</v>
      </c>
      <c r="W94" s="14">
        <f t="shared" si="58"/>
        <v>0</v>
      </c>
      <c r="X94" s="14">
        <f t="shared" si="58"/>
        <v>0</v>
      </c>
      <c r="Y94" s="14">
        <f t="shared" si="58"/>
        <v>68029011</v>
      </c>
      <c r="Z94" s="14">
        <f t="shared" si="58"/>
        <v>0</v>
      </c>
      <c r="AA94" s="14">
        <f t="shared" si="58"/>
        <v>0</v>
      </c>
      <c r="AB94" s="182">
        <f t="shared" si="58"/>
        <v>0</v>
      </c>
      <c r="AC94" s="251">
        <f>SUM(AC91:AC93)</f>
        <v>68029011</v>
      </c>
      <c r="AD94" s="14">
        <f t="shared" si="58"/>
        <v>11563825</v>
      </c>
      <c r="AF94" s="907"/>
      <c r="AG94" s="14"/>
      <c r="AH94" s="14"/>
      <c r="AI94" s="1117"/>
      <c r="AJ94" s="14">
        <f t="shared" ref="AJ94:AK94" si="59">SUM(AJ91:AJ93)</f>
        <v>79592836</v>
      </c>
      <c r="AK94" s="14">
        <f t="shared" si="59"/>
        <v>0</v>
      </c>
      <c r="AL94" s="899">
        <f>B90-AJ94</f>
        <v>0</v>
      </c>
    </row>
    <row r="95" spans="1:39" s="687" customFormat="1" ht="23.25" customHeight="1">
      <c r="A95" s="1350" t="s">
        <v>871</v>
      </c>
      <c r="B95" s="819">
        <f>4810000+1686000</f>
        <v>6496000</v>
      </c>
      <c r="C95" s="1346" t="s">
        <v>36</v>
      </c>
      <c r="D95" s="1347" t="s">
        <v>865</v>
      </c>
      <c r="E95" s="1347" t="s">
        <v>147</v>
      </c>
      <c r="F95" s="1347" t="s">
        <v>868</v>
      </c>
      <c r="G95" s="1445" t="s">
        <v>80</v>
      </c>
      <c r="H95" s="2053" t="s">
        <v>1388</v>
      </c>
      <c r="I95" s="1743"/>
      <c r="J95" s="1792">
        <v>0</v>
      </c>
      <c r="K95" s="1793"/>
      <c r="L95" s="1746"/>
      <c r="M95" s="1747"/>
      <c r="N95" s="1746"/>
      <c r="O95" s="1748"/>
      <c r="P95" s="1742"/>
      <c r="Q95" s="683"/>
      <c r="R95" s="684"/>
      <c r="S95" s="684"/>
      <c r="T95" s="684"/>
      <c r="U95" s="684"/>
      <c r="V95" s="684"/>
      <c r="W95" s="684"/>
      <c r="X95" s="684"/>
      <c r="Y95" s="684"/>
      <c r="Z95" s="684"/>
      <c r="AA95" s="684"/>
      <c r="AB95" s="685"/>
      <c r="AC95" s="683"/>
      <c r="AD95" s="685"/>
      <c r="AF95" s="1249"/>
      <c r="AG95" s="684"/>
      <c r="AH95" s="684"/>
      <c r="AI95" s="684"/>
      <c r="AJ95" s="684"/>
      <c r="AK95" s="685"/>
      <c r="AL95" s="899"/>
      <c r="AM95" s="1603"/>
    </row>
    <row r="96" spans="1:39" s="656" customFormat="1">
      <c r="A96" s="820" t="s">
        <v>871</v>
      </c>
      <c r="B96" s="275">
        <f>M96</f>
        <v>5150500</v>
      </c>
      <c r="C96" s="95" t="s">
        <v>36</v>
      </c>
      <c r="D96" s="96" t="s">
        <v>865</v>
      </c>
      <c r="E96" s="96" t="s">
        <v>147</v>
      </c>
      <c r="F96" s="96" t="s">
        <v>868</v>
      </c>
      <c r="G96" s="1622" t="s">
        <v>80</v>
      </c>
      <c r="H96" s="652" t="s">
        <v>1388</v>
      </c>
      <c r="I96" s="2046" t="s">
        <v>774</v>
      </c>
      <c r="J96" s="1384" t="s">
        <v>1339</v>
      </c>
      <c r="K96" s="1709">
        <f>166100+476200+665600+673700+535200+559800+980300+1093600</f>
        <v>5150500</v>
      </c>
      <c r="L96" s="1757" t="s">
        <v>1352</v>
      </c>
      <c r="M96" s="1709">
        <f>166100+476200+665600+673700+535200+559800+980300+1093600</f>
        <v>5150500</v>
      </c>
      <c r="N96" s="1772" t="s">
        <v>1351</v>
      </c>
      <c r="O96" s="1758">
        <f>166100+476200+665600+673700+535200+559800+980300+1093600</f>
        <v>5150500</v>
      </c>
      <c r="P96" s="1754" t="s">
        <v>774</v>
      </c>
      <c r="Q96" s="688"/>
      <c r="R96" s="197">
        <v>166100</v>
      </c>
      <c r="S96" s="507">
        <v>476200</v>
      </c>
      <c r="T96" s="507">
        <v>665600</v>
      </c>
      <c r="U96" s="507">
        <v>673700</v>
      </c>
      <c r="V96" s="507">
        <v>535200</v>
      </c>
      <c r="W96" s="507">
        <v>559800</v>
      </c>
      <c r="X96" s="507">
        <v>980300</v>
      </c>
      <c r="Y96" s="507">
        <v>1093600</v>
      </c>
      <c r="Z96" s="507"/>
      <c r="AA96" s="507"/>
      <c r="AB96" s="702"/>
      <c r="AC96" s="690">
        <f>SUM(Q96:AB96)</f>
        <v>5150500</v>
      </c>
      <c r="AD96" s="689">
        <f>O96-AC96</f>
        <v>0</v>
      </c>
      <c r="AF96" s="903" t="s">
        <v>349</v>
      </c>
      <c r="AG96" s="1362" t="s">
        <v>187</v>
      </c>
      <c r="AH96" s="1124" t="s">
        <v>178</v>
      </c>
      <c r="AI96" s="1113" t="str">
        <f>P96</f>
        <v>ARL</v>
      </c>
      <c r="AJ96" s="904">
        <f>4810000+1686000</f>
        <v>6496000</v>
      </c>
      <c r="AK96" s="906">
        <f>AJ96-O96</f>
        <v>1345500</v>
      </c>
      <c r="AL96" s="899"/>
      <c r="AM96" s="1604">
        <f>AJ96-M96</f>
        <v>1345500</v>
      </c>
    </row>
    <row r="97" spans="1:39" s="656" customFormat="1" ht="15">
      <c r="A97" s="691" t="s">
        <v>81</v>
      </c>
      <c r="B97" s="692">
        <f>B95-SUM(B96:B96)</f>
        <v>1345500</v>
      </c>
      <c r="C97" s="693"/>
      <c r="D97" s="693"/>
      <c r="E97" s="693"/>
      <c r="F97" s="693"/>
      <c r="G97" s="2030"/>
      <c r="H97" s="2056"/>
      <c r="I97" s="1794"/>
      <c r="J97" s="1795"/>
      <c r="K97" s="1796"/>
      <c r="L97" s="1688"/>
      <c r="M97" s="1762">
        <f>SUM(M96:M96)</f>
        <v>5150500</v>
      </c>
      <c r="N97" s="1688"/>
      <c r="O97" s="1762">
        <f>SUM(O96:O96)</f>
        <v>5150500</v>
      </c>
      <c r="P97" s="1763"/>
      <c r="Q97" s="251">
        <f t="shared" ref="Q97:AD97" si="60">SUM(Q96:Q96)</f>
        <v>0</v>
      </c>
      <c r="R97" s="14">
        <f t="shared" si="60"/>
        <v>166100</v>
      </c>
      <c r="S97" s="14">
        <f t="shared" si="60"/>
        <v>476200</v>
      </c>
      <c r="T97" s="14">
        <f t="shared" si="60"/>
        <v>665600</v>
      </c>
      <c r="U97" s="14">
        <f t="shared" si="60"/>
        <v>673700</v>
      </c>
      <c r="V97" s="14">
        <f t="shared" si="60"/>
        <v>535200</v>
      </c>
      <c r="W97" s="14">
        <f t="shared" si="60"/>
        <v>559800</v>
      </c>
      <c r="X97" s="14">
        <f t="shared" si="60"/>
        <v>980300</v>
      </c>
      <c r="Y97" s="14">
        <f t="shared" si="60"/>
        <v>1093600</v>
      </c>
      <c r="Z97" s="14">
        <f t="shared" si="60"/>
        <v>0</v>
      </c>
      <c r="AA97" s="14">
        <f t="shared" si="60"/>
        <v>0</v>
      </c>
      <c r="AB97" s="182">
        <f t="shared" si="60"/>
        <v>0</v>
      </c>
      <c r="AC97" s="251">
        <f t="shared" si="60"/>
        <v>5150500</v>
      </c>
      <c r="AD97" s="182">
        <f t="shared" si="60"/>
        <v>0</v>
      </c>
      <c r="AF97" s="907"/>
      <c r="AG97" s="14">
        <f t="shared" ref="AG97:AJ97" si="61">SUM(AG96:AG96)</f>
        <v>0</v>
      </c>
      <c r="AH97" s="14">
        <f t="shared" si="61"/>
        <v>0</v>
      </c>
      <c r="AI97" s="1117">
        <f t="shared" si="61"/>
        <v>0</v>
      </c>
      <c r="AJ97" s="14">
        <f t="shared" si="61"/>
        <v>6496000</v>
      </c>
      <c r="AK97" s="182">
        <f>SUM(AK96:AK96)</f>
        <v>1345500</v>
      </c>
      <c r="AL97" s="899">
        <f>B95-AJ97</f>
        <v>0</v>
      </c>
    </row>
    <row r="98" spans="1:39" s="656" customFormat="1" ht="24.75" customHeight="1">
      <c r="A98" s="1350" t="s">
        <v>870</v>
      </c>
      <c r="B98" s="682">
        <v>3211907757</v>
      </c>
      <c r="C98" s="1346" t="s">
        <v>39</v>
      </c>
      <c r="D98" s="1349" t="s">
        <v>865</v>
      </c>
      <c r="E98" s="1347" t="s">
        <v>147</v>
      </c>
      <c r="F98" s="1347" t="s">
        <v>868</v>
      </c>
      <c r="G98" s="1445" t="s">
        <v>80</v>
      </c>
      <c r="H98" s="2053" t="s">
        <v>1388</v>
      </c>
      <c r="I98" s="1797" t="s">
        <v>178</v>
      </c>
      <c r="J98" s="1798"/>
      <c r="K98" s="1799"/>
      <c r="L98" s="1800"/>
      <c r="M98" s="1801"/>
      <c r="N98" s="1800"/>
      <c r="O98" s="1801"/>
      <c r="P98" s="1802"/>
      <c r="Q98" s="1308"/>
      <c r="R98" s="1309"/>
      <c r="S98" s="1309"/>
      <c r="T98" s="1309"/>
      <c r="U98" s="1309"/>
      <c r="V98" s="1309"/>
      <c r="W98" s="1309"/>
      <c r="X98" s="1309"/>
      <c r="Y98" s="1309"/>
      <c r="Z98" s="1309"/>
      <c r="AA98" s="1309"/>
      <c r="AB98" s="1310"/>
      <c r="AC98" s="1308"/>
      <c r="AD98" s="1310"/>
      <c r="AF98" s="1311"/>
      <c r="AG98" s="1309"/>
      <c r="AH98" s="1309"/>
      <c r="AI98" s="1312"/>
      <c r="AJ98" s="1309"/>
      <c r="AK98" s="1310"/>
      <c r="AL98" s="899"/>
    </row>
    <row r="99" spans="1:39" s="656" customFormat="1" ht="15">
      <c r="A99" s="820" t="s">
        <v>870</v>
      </c>
      <c r="B99" s="1307">
        <f>M99</f>
        <v>2846221827</v>
      </c>
      <c r="C99" s="95" t="s">
        <v>39</v>
      </c>
      <c r="D99" s="96" t="s">
        <v>865</v>
      </c>
      <c r="E99" s="96" t="s">
        <v>147</v>
      </c>
      <c r="F99" s="96" t="s">
        <v>868</v>
      </c>
      <c r="G99" s="1622" t="s">
        <v>80</v>
      </c>
      <c r="H99" s="652" t="s">
        <v>1388</v>
      </c>
      <c r="I99" s="1613">
        <v>461</v>
      </c>
      <c r="J99" s="1766"/>
      <c r="K99" s="1787"/>
      <c r="L99" s="1682">
        <v>423</v>
      </c>
      <c r="M99" s="1540">
        <v>2846221827</v>
      </c>
      <c r="N99" s="1682">
        <v>736</v>
      </c>
      <c r="O99" s="1540">
        <v>2792400276</v>
      </c>
      <c r="P99" s="1803">
        <v>426</v>
      </c>
      <c r="Q99" s="252"/>
      <c r="R99" s="7"/>
      <c r="S99" s="7"/>
      <c r="T99" s="7"/>
      <c r="U99" s="7"/>
      <c r="V99" s="7"/>
      <c r="W99" s="7"/>
      <c r="X99" s="507">
        <v>1396200138</v>
      </c>
      <c r="Y99" s="507">
        <v>195468019</v>
      </c>
      <c r="Z99" s="7"/>
      <c r="AA99" s="7"/>
      <c r="AB99" s="184"/>
      <c r="AC99" s="690">
        <f t="shared" ref="AC99:AC101" si="62">SUM(Q99:AB99)</f>
        <v>1591668157</v>
      </c>
      <c r="AD99" s="689">
        <f>O99-AC99</f>
        <v>1200732119</v>
      </c>
      <c r="AF99" s="946">
        <v>461</v>
      </c>
      <c r="AG99" s="1357" t="s">
        <v>897</v>
      </c>
      <c r="AH99" s="1357" t="s">
        <v>1264</v>
      </c>
      <c r="AI99" s="1113">
        <f>P99</f>
        <v>426</v>
      </c>
      <c r="AJ99" s="105">
        <v>2846221827</v>
      </c>
      <c r="AK99" s="906">
        <f>AJ99-O99</f>
        <v>53821551</v>
      </c>
      <c r="AL99" s="899"/>
      <c r="AM99" s="1604">
        <f>AJ99-M99</f>
        <v>0</v>
      </c>
    </row>
    <row r="100" spans="1:39" s="656" customFormat="1" ht="15">
      <c r="A100" s="820" t="s">
        <v>870</v>
      </c>
      <c r="B100" s="1307">
        <f t="shared" ref="B100:B101" si="63">M100</f>
        <v>365685930</v>
      </c>
      <c r="C100" s="95" t="s">
        <v>39</v>
      </c>
      <c r="D100" s="96" t="s">
        <v>865</v>
      </c>
      <c r="E100" s="96" t="s">
        <v>147</v>
      </c>
      <c r="F100" s="96" t="s">
        <v>868</v>
      </c>
      <c r="G100" s="1622" t="s">
        <v>80</v>
      </c>
      <c r="H100" s="652" t="s">
        <v>1388</v>
      </c>
      <c r="I100" s="1613">
        <v>462</v>
      </c>
      <c r="J100" s="1766"/>
      <c r="K100" s="1787"/>
      <c r="L100" s="1682">
        <v>518</v>
      </c>
      <c r="M100" s="1540">
        <v>365685930</v>
      </c>
      <c r="N100" s="1682">
        <v>737</v>
      </c>
      <c r="O100" s="1540">
        <v>365672187</v>
      </c>
      <c r="P100" s="1803">
        <v>430</v>
      </c>
      <c r="Q100" s="252"/>
      <c r="R100" s="7"/>
      <c r="S100" s="7"/>
      <c r="T100" s="7"/>
      <c r="U100" s="7"/>
      <c r="V100" s="7"/>
      <c r="W100" s="7"/>
      <c r="X100" s="507"/>
      <c r="Y100" s="507">
        <v>54119483</v>
      </c>
      <c r="Z100" s="7"/>
      <c r="AA100" s="7"/>
      <c r="AB100" s="184"/>
      <c r="AC100" s="690">
        <f t="shared" si="62"/>
        <v>54119483</v>
      </c>
      <c r="AD100" s="689">
        <f>O100-AC100</f>
        <v>311552704</v>
      </c>
      <c r="AF100" s="946">
        <v>462</v>
      </c>
      <c r="AG100" s="1357" t="s">
        <v>978</v>
      </c>
      <c r="AH100" s="1357" t="s">
        <v>1265</v>
      </c>
      <c r="AI100" s="1113">
        <f>P100</f>
        <v>430</v>
      </c>
      <c r="AJ100" s="105">
        <v>365685930</v>
      </c>
      <c r="AK100" s="906">
        <f>AJ100-O100</f>
        <v>13743</v>
      </c>
      <c r="AL100" s="899"/>
      <c r="AM100" s="1604">
        <f>AJ100-M100</f>
        <v>0</v>
      </c>
    </row>
    <row r="101" spans="1:39" s="656" customFormat="1" ht="15">
      <c r="A101" s="820" t="s">
        <v>870</v>
      </c>
      <c r="B101" s="1307">
        <f t="shared" si="63"/>
        <v>0</v>
      </c>
      <c r="C101" s="95" t="s">
        <v>39</v>
      </c>
      <c r="D101" s="96" t="s">
        <v>865</v>
      </c>
      <c r="E101" s="96" t="s">
        <v>147</v>
      </c>
      <c r="F101" s="96" t="s">
        <v>868</v>
      </c>
      <c r="G101" s="1622" t="s">
        <v>80</v>
      </c>
      <c r="H101" s="652" t="s">
        <v>1388</v>
      </c>
      <c r="I101" s="1613" t="s">
        <v>178</v>
      </c>
      <c r="J101" s="1766"/>
      <c r="K101" s="1787"/>
      <c r="L101" s="1682"/>
      <c r="M101" s="1540"/>
      <c r="N101" s="1682"/>
      <c r="O101" s="1540"/>
      <c r="P101" s="1803"/>
      <c r="Q101" s="252"/>
      <c r="R101" s="7"/>
      <c r="S101" s="7"/>
      <c r="T101" s="7"/>
      <c r="U101" s="7"/>
      <c r="V101" s="7"/>
      <c r="W101" s="7"/>
      <c r="X101" s="7"/>
      <c r="Y101" s="7"/>
      <c r="Z101" s="7"/>
      <c r="AA101" s="7"/>
      <c r="AB101" s="184"/>
      <c r="AC101" s="690">
        <f t="shared" si="62"/>
        <v>0</v>
      </c>
      <c r="AD101" s="689">
        <f>O101-AC101</f>
        <v>0</v>
      </c>
      <c r="AF101" s="945"/>
      <c r="AG101" s="7"/>
      <c r="AH101" s="1447" t="s">
        <v>178</v>
      </c>
      <c r="AI101" s="1113">
        <f>P101</f>
        <v>0</v>
      </c>
      <c r="AJ101" s="7"/>
      <c r="AK101" s="906">
        <f>AJ101-O101</f>
        <v>0</v>
      </c>
      <c r="AL101" s="899"/>
    </row>
    <row r="102" spans="1:39" s="656" customFormat="1" ht="15">
      <c r="A102" s="691" t="s">
        <v>81</v>
      </c>
      <c r="B102" s="692">
        <f>B98-SUM(B99:B101)</f>
        <v>0</v>
      </c>
      <c r="C102" s="693"/>
      <c r="D102" s="693"/>
      <c r="E102" s="693"/>
      <c r="F102" s="693"/>
      <c r="G102" s="2030"/>
      <c r="H102" s="2054"/>
      <c r="I102" s="1769" t="s">
        <v>178</v>
      </c>
      <c r="J102" s="1760"/>
      <c r="K102" s="1761"/>
      <c r="L102" s="1688"/>
      <c r="M102" s="1762">
        <f>SUM(M99:M101)</f>
        <v>3211907757</v>
      </c>
      <c r="N102" s="1688"/>
      <c r="O102" s="1762">
        <f>SUM(O99:O101)</f>
        <v>3158072463</v>
      </c>
      <c r="P102" s="1763"/>
      <c r="Q102" s="14">
        <f>SUM(Q99:Q101)</f>
        <v>0</v>
      </c>
      <c r="R102" s="14">
        <f t="shared" ref="R102:AD102" si="64">SUM(R99:R101)</f>
        <v>0</v>
      </c>
      <c r="S102" s="14">
        <f t="shared" si="64"/>
        <v>0</v>
      </c>
      <c r="T102" s="14">
        <f t="shared" si="64"/>
        <v>0</v>
      </c>
      <c r="U102" s="14">
        <f t="shared" si="64"/>
        <v>0</v>
      </c>
      <c r="V102" s="14">
        <f t="shared" si="64"/>
        <v>0</v>
      </c>
      <c r="W102" s="14">
        <f t="shared" si="64"/>
        <v>0</v>
      </c>
      <c r="X102" s="14">
        <f t="shared" si="64"/>
        <v>1396200138</v>
      </c>
      <c r="Y102" s="14">
        <f t="shared" si="64"/>
        <v>249587502</v>
      </c>
      <c r="Z102" s="14">
        <f t="shared" si="64"/>
        <v>0</v>
      </c>
      <c r="AA102" s="14">
        <f t="shared" si="64"/>
        <v>0</v>
      </c>
      <c r="AB102" s="182">
        <f t="shared" si="64"/>
        <v>0</v>
      </c>
      <c r="AC102" s="14">
        <f t="shared" si="64"/>
        <v>1645787640</v>
      </c>
      <c r="AD102" s="182">
        <f t="shared" si="64"/>
        <v>1512284823</v>
      </c>
      <c r="AF102" s="907"/>
      <c r="AG102" s="14"/>
      <c r="AH102" s="14"/>
      <c r="AI102" s="1117"/>
      <c r="AJ102" s="14">
        <f t="shared" ref="AJ102" si="65">SUM(AJ99:AJ101)</f>
        <v>3211907757</v>
      </c>
      <c r="AK102" s="14">
        <f>SUM(AK99:AK101)</f>
        <v>53835294</v>
      </c>
      <c r="AL102" s="899">
        <f>B98-AJ102</f>
        <v>0</v>
      </c>
    </row>
    <row r="103" spans="1:39" s="656" customFormat="1" ht="23.25" customHeight="1">
      <c r="A103" s="1350" t="s">
        <v>873</v>
      </c>
      <c r="B103" s="682">
        <v>60366878</v>
      </c>
      <c r="C103" s="1346" t="s">
        <v>872</v>
      </c>
      <c r="D103" s="96" t="s">
        <v>865</v>
      </c>
      <c r="E103" s="1347" t="s">
        <v>147</v>
      </c>
      <c r="F103" s="1347" t="s">
        <v>868</v>
      </c>
      <c r="G103" s="1445" t="s">
        <v>80</v>
      </c>
      <c r="H103" s="2053" t="s">
        <v>1388</v>
      </c>
      <c r="I103" s="1797" t="s">
        <v>178</v>
      </c>
      <c r="J103" s="1798"/>
      <c r="K103" s="1799"/>
      <c r="L103" s="1800"/>
      <c r="M103" s="1801"/>
      <c r="N103" s="1800"/>
      <c r="O103" s="1801"/>
      <c r="P103" s="1802"/>
      <c r="Q103" s="1308"/>
      <c r="R103" s="1309"/>
      <c r="S103" s="1309"/>
      <c r="T103" s="1309"/>
      <c r="U103" s="1309"/>
      <c r="V103" s="1309"/>
      <c r="W103" s="1309"/>
      <c r="X103" s="1309"/>
      <c r="Y103" s="1309"/>
      <c r="Z103" s="1309"/>
      <c r="AA103" s="1309"/>
      <c r="AB103" s="1310"/>
      <c r="AC103" s="1308"/>
      <c r="AD103" s="1310"/>
      <c r="AF103" s="1311"/>
      <c r="AG103" s="1309"/>
      <c r="AH103" s="1309"/>
      <c r="AI103" s="1312"/>
      <c r="AJ103" s="1309"/>
      <c r="AK103" s="1315"/>
      <c r="AL103" s="899"/>
    </row>
    <row r="104" spans="1:39" s="656" customFormat="1" ht="15">
      <c r="A104" s="95" t="s">
        <v>873</v>
      </c>
      <c r="B104" s="1314">
        <f>M104</f>
        <v>43032122</v>
      </c>
      <c r="C104" s="95" t="s">
        <v>872</v>
      </c>
      <c r="D104" s="96" t="s">
        <v>865</v>
      </c>
      <c r="E104" s="96" t="s">
        <v>147</v>
      </c>
      <c r="F104" s="96" t="s">
        <v>868</v>
      </c>
      <c r="G104" s="1622" t="s">
        <v>80</v>
      </c>
      <c r="H104" s="652" t="s">
        <v>1388</v>
      </c>
      <c r="I104" s="1765" t="s">
        <v>178</v>
      </c>
      <c r="J104" s="1766"/>
      <c r="K104" s="1787"/>
      <c r="L104" s="1682">
        <v>572</v>
      </c>
      <c r="M104" s="1540">
        <v>43032122</v>
      </c>
      <c r="N104" s="1682">
        <v>640</v>
      </c>
      <c r="O104" s="1540">
        <v>43032122</v>
      </c>
      <c r="P104" s="1767" t="s">
        <v>1148</v>
      </c>
      <c r="Q104" s="252"/>
      <c r="R104" s="7"/>
      <c r="S104" s="7"/>
      <c r="T104" s="7"/>
      <c r="U104" s="7"/>
      <c r="V104" s="7"/>
      <c r="W104" s="507"/>
      <c r="X104" s="507">
        <v>43032122</v>
      </c>
      <c r="Y104" s="507"/>
      <c r="Z104" s="7"/>
      <c r="AA104" s="7"/>
      <c r="AB104" s="184"/>
      <c r="AC104" s="690">
        <f t="shared" ref="AC104:AC106" si="66">SUM(Q104:AB104)</f>
        <v>43032122</v>
      </c>
      <c r="AD104" s="689">
        <f>O104-AC104</f>
        <v>0</v>
      </c>
      <c r="AF104" s="946" t="s">
        <v>349</v>
      </c>
      <c r="AG104" s="1357" t="s">
        <v>898</v>
      </c>
      <c r="AH104" s="1357" t="s">
        <v>1158</v>
      </c>
      <c r="AI104" s="1113" t="str">
        <f>P104</f>
        <v>411/2017</v>
      </c>
      <c r="AJ104" s="105">
        <v>43032122</v>
      </c>
      <c r="AK104" s="906">
        <f>AJ104-O104</f>
        <v>0</v>
      </c>
      <c r="AL104" s="899"/>
      <c r="AM104" s="1604">
        <f>AJ104-M104</f>
        <v>0</v>
      </c>
    </row>
    <row r="105" spans="1:39" s="656" customFormat="1" ht="15">
      <c r="A105" s="95" t="s">
        <v>873</v>
      </c>
      <c r="B105" s="1314">
        <f t="shared" ref="B105:B106" si="67">M105</f>
        <v>17334756</v>
      </c>
      <c r="C105" s="95" t="s">
        <v>872</v>
      </c>
      <c r="D105" s="96" t="s">
        <v>865</v>
      </c>
      <c r="E105" s="96" t="s">
        <v>147</v>
      </c>
      <c r="F105" s="96" t="s">
        <v>868</v>
      </c>
      <c r="G105" s="1622" t="s">
        <v>80</v>
      </c>
      <c r="H105" s="652" t="s">
        <v>1388</v>
      </c>
      <c r="I105" s="1765" t="s">
        <v>178</v>
      </c>
      <c r="J105" s="1766"/>
      <c r="K105" s="1787"/>
      <c r="L105" s="1682">
        <v>573</v>
      </c>
      <c r="M105" s="1540">
        <v>17334756</v>
      </c>
      <c r="N105" s="1682">
        <v>641</v>
      </c>
      <c r="O105" s="1540">
        <v>17334756</v>
      </c>
      <c r="P105" s="1767" t="s">
        <v>1149</v>
      </c>
      <c r="Q105" s="252"/>
      <c r="R105" s="7"/>
      <c r="S105" s="7"/>
      <c r="T105" s="7"/>
      <c r="U105" s="7"/>
      <c r="V105" s="7"/>
      <c r="W105" s="507"/>
      <c r="X105" s="507"/>
      <c r="Y105" s="507"/>
      <c r="Z105" s="7"/>
      <c r="AA105" s="7"/>
      <c r="AB105" s="184"/>
      <c r="AC105" s="690">
        <f t="shared" si="66"/>
        <v>0</v>
      </c>
      <c r="AD105" s="689">
        <f>O105-AC105</f>
        <v>17334756</v>
      </c>
      <c r="AF105" s="946" t="s">
        <v>349</v>
      </c>
      <c r="AG105" s="1357" t="s">
        <v>899</v>
      </c>
      <c r="AH105" s="1357" t="s">
        <v>1159</v>
      </c>
      <c r="AI105" s="1113" t="str">
        <f>P105</f>
        <v>416/2017</v>
      </c>
      <c r="AJ105" s="105">
        <v>17334756.017857146</v>
      </c>
      <c r="AK105" s="906">
        <f>AJ105-O105</f>
        <v>1.7857145518064499E-2</v>
      </c>
      <c r="AL105" s="899"/>
      <c r="AM105" s="1604">
        <f>AJ105-M105</f>
        <v>1.7857145518064499E-2</v>
      </c>
    </row>
    <row r="106" spans="1:39" s="656" customFormat="1" ht="15">
      <c r="A106" s="95" t="s">
        <v>873</v>
      </c>
      <c r="B106" s="1314">
        <f t="shared" si="67"/>
        <v>0</v>
      </c>
      <c r="C106" s="95" t="s">
        <v>872</v>
      </c>
      <c r="D106" s="96" t="s">
        <v>865</v>
      </c>
      <c r="E106" s="96" t="s">
        <v>147</v>
      </c>
      <c r="F106" s="96" t="s">
        <v>868</v>
      </c>
      <c r="G106" s="1622" t="s">
        <v>80</v>
      </c>
      <c r="H106" s="652" t="s">
        <v>1388</v>
      </c>
      <c r="I106" s="1765" t="s">
        <v>178</v>
      </c>
      <c r="J106" s="1766"/>
      <c r="K106" s="1787"/>
      <c r="L106" s="1706"/>
      <c r="M106" s="1788"/>
      <c r="N106" s="1682"/>
      <c r="O106" s="1540"/>
      <c r="P106" s="1767"/>
      <c r="Q106" s="252"/>
      <c r="R106" s="7"/>
      <c r="S106" s="7"/>
      <c r="T106" s="7"/>
      <c r="U106" s="7"/>
      <c r="V106" s="7"/>
      <c r="W106" s="7"/>
      <c r="X106" s="7"/>
      <c r="Y106" s="7"/>
      <c r="Z106" s="7"/>
      <c r="AA106" s="7"/>
      <c r="AB106" s="184"/>
      <c r="AC106" s="690">
        <f t="shared" si="66"/>
        <v>0</v>
      </c>
      <c r="AD106" s="689">
        <f>O106-AC106</f>
        <v>0</v>
      </c>
      <c r="AF106" s="945"/>
      <c r="AG106" s="7"/>
      <c r="AH106" s="1447" t="s">
        <v>178</v>
      </c>
      <c r="AI106" s="1113">
        <f>P106</f>
        <v>0</v>
      </c>
      <c r="AJ106" s="7"/>
      <c r="AK106" s="906">
        <f>AJ106-O106</f>
        <v>0</v>
      </c>
      <c r="AL106" s="899"/>
    </row>
    <row r="107" spans="1:39" s="656" customFormat="1" ht="15">
      <c r="A107" s="691" t="s">
        <v>81</v>
      </c>
      <c r="B107" s="692">
        <f>B103-SUM(B104:B106)</f>
        <v>0</v>
      </c>
      <c r="C107" s="693"/>
      <c r="D107" s="694"/>
      <c r="E107" s="694"/>
      <c r="F107" s="694"/>
      <c r="G107" s="1313"/>
      <c r="H107" s="2054"/>
      <c r="I107" s="1769"/>
      <c r="J107" s="1760"/>
      <c r="K107" s="1761"/>
      <c r="L107" s="1688"/>
      <c r="M107" s="1762">
        <f>SUM(M104:M106)</f>
        <v>60366878</v>
      </c>
      <c r="N107" s="1688"/>
      <c r="O107" s="1762">
        <f>SUM(O104:O106)</f>
        <v>60366878</v>
      </c>
      <c r="P107" s="1763"/>
      <c r="Q107" s="14">
        <f>SUM(Q104:Q106)</f>
        <v>0</v>
      </c>
      <c r="R107" s="14">
        <f t="shared" ref="R107:AD107" si="68">SUM(R104:R106)</f>
        <v>0</v>
      </c>
      <c r="S107" s="14">
        <f t="shared" si="68"/>
        <v>0</v>
      </c>
      <c r="T107" s="14">
        <f t="shared" si="68"/>
        <v>0</v>
      </c>
      <c r="U107" s="14">
        <f t="shared" si="68"/>
        <v>0</v>
      </c>
      <c r="V107" s="14">
        <f t="shared" si="68"/>
        <v>0</v>
      </c>
      <c r="W107" s="14">
        <f t="shared" si="68"/>
        <v>0</v>
      </c>
      <c r="X107" s="14">
        <f t="shared" si="68"/>
        <v>43032122</v>
      </c>
      <c r="Y107" s="14">
        <f t="shared" si="68"/>
        <v>0</v>
      </c>
      <c r="Z107" s="14">
        <f t="shared" si="68"/>
        <v>0</v>
      </c>
      <c r="AA107" s="14">
        <f t="shared" si="68"/>
        <v>0</v>
      </c>
      <c r="AB107" s="182">
        <f t="shared" si="68"/>
        <v>0</v>
      </c>
      <c r="AC107" s="14">
        <f t="shared" si="68"/>
        <v>43032122</v>
      </c>
      <c r="AD107" s="182">
        <f t="shared" si="68"/>
        <v>17334756</v>
      </c>
      <c r="AF107" s="907"/>
      <c r="AG107" s="14"/>
      <c r="AH107" s="14"/>
      <c r="AI107" s="1117"/>
      <c r="AJ107" s="14">
        <f t="shared" ref="AJ107" si="69">SUM(AJ104:AJ106)</f>
        <v>60366878.017857149</v>
      </c>
      <c r="AK107" s="14">
        <f>SUM(AK104:AK106)</f>
        <v>1.7857145518064499E-2</v>
      </c>
      <c r="AL107" s="899">
        <f>B103-AJ107</f>
        <v>-1.7857149243354797E-2</v>
      </c>
    </row>
    <row r="108" spans="1:39" s="656" customFormat="1" ht="21.75" customHeight="1">
      <c r="A108" s="1350" t="s">
        <v>890</v>
      </c>
      <c r="B108" s="682">
        <v>189021929</v>
      </c>
      <c r="C108" s="280" t="s">
        <v>872</v>
      </c>
      <c r="D108" s="96" t="s">
        <v>865</v>
      </c>
      <c r="E108" s="1347" t="s">
        <v>147</v>
      </c>
      <c r="F108" s="1347" t="s">
        <v>868</v>
      </c>
      <c r="G108" s="1445" t="s">
        <v>80</v>
      </c>
      <c r="H108" s="2053" t="s">
        <v>1388</v>
      </c>
      <c r="I108" s="1797" t="s">
        <v>178</v>
      </c>
      <c r="J108" s="1798"/>
      <c r="K108" s="1799"/>
      <c r="L108" s="1800"/>
      <c r="M108" s="1801"/>
      <c r="N108" s="1800"/>
      <c r="O108" s="1801"/>
      <c r="P108" s="1802"/>
      <c r="Q108" s="1308"/>
      <c r="R108" s="1309"/>
      <c r="S108" s="1309"/>
      <c r="T108" s="1309"/>
      <c r="U108" s="1309"/>
      <c r="V108" s="1309"/>
      <c r="W108" s="1309"/>
      <c r="X108" s="1309"/>
      <c r="Y108" s="1309"/>
      <c r="Z108" s="1309"/>
      <c r="AA108" s="1309"/>
      <c r="AB108" s="1310"/>
      <c r="AC108" s="1308"/>
      <c r="AD108" s="1310"/>
      <c r="AF108" s="1311"/>
      <c r="AG108" s="1309"/>
      <c r="AH108" s="1309"/>
      <c r="AI108" s="1312"/>
      <c r="AJ108" s="1309"/>
      <c r="AK108" s="1315"/>
      <c r="AL108" s="899"/>
    </row>
    <row r="109" spans="1:39" s="656" customFormat="1" ht="15">
      <c r="A109" s="820" t="s">
        <v>890</v>
      </c>
      <c r="B109" s="1314">
        <f>M109</f>
        <v>132421929</v>
      </c>
      <c r="C109" s="95" t="s">
        <v>872</v>
      </c>
      <c r="D109" s="96" t="s">
        <v>865</v>
      </c>
      <c r="E109" s="96" t="s">
        <v>147</v>
      </c>
      <c r="F109" s="96" t="s">
        <v>868</v>
      </c>
      <c r="G109" s="1622" t="s">
        <v>80</v>
      </c>
      <c r="H109" s="652" t="s">
        <v>1388</v>
      </c>
      <c r="I109" s="1613">
        <v>458</v>
      </c>
      <c r="J109" s="1766"/>
      <c r="K109" s="1787"/>
      <c r="L109" s="1682">
        <v>441</v>
      </c>
      <c r="M109" s="1540">
        <v>132421929</v>
      </c>
      <c r="N109" s="1682"/>
      <c r="O109" s="1540"/>
      <c r="P109" s="1789"/>
      <c r="Q109" s="252"/>
      <c r="R109" s="7"/>
      <c r="S109" s="7"/>
      <c r="T109" s="7"/>
      <c r="U109" s="507"/>
      <c r="V109" s="7"/>
      <c r="W109" s="7"/>
      <c r="X109" s="7"/>
      <c r="Y109" s="7"/>
      <c r="Z109" s="7"/>
      <c r="AA109" s="7"/>
      <c r="AB109" s="184"/>
      <c r="AC109" s="690">
        <f t="shared" ref="AC109:AC111" si="70">SUM(Q109:AB109)</f>
        <v>0</v>
      </c>
      <c r="AD109" s="689">
        <f>O109-AC109</f>
        <v>0</v>
      </c>
      <c r="AF109" s="946">
        <v>458</v>
      </c>
      <c r="AG109" s="1357" t="s">
        <v>894</v>
      </c>
      <c r="AH109" s="1447" t="s">
        <v>178</v>
      </c>
      <c r="AI109" s="1113">
        <f>P109</f>
        <v>0</v>
      </c>
      <c r="AJ109" s="105">
        <f>132421929-8607429</f>
        <v>123814500</v>
      </c>
      <c r="AK109" s="906">
        <f>AJ109-O109</f>
        <v>123814500</v>
      </c>
      <c r="AL109" s="899"/>
      <c r="AM109" s="1604">
        <f>AJ109-M109</f>
        <v>-8607429</v>
      </c>
    </row>
    <row r="110" spans="1:39" s="656" customFormat="1" ht="15">
      <c r="A110" s="820" t="s">
        <v>890</v>
      </c>
      <c r="B110" s="1314">
        <f t="shared" ref="B110:B113" si="71">M110</f>
        <v>34100000</v>
      </c>
      <c r="C110" s="95" t="s">
        <v>872</v>
      </c>
      <c r="D110" s="96" t="s">
        <v>865</v>
      </c>
      <c r="E110" s="96" t="s">
        <v>147</v>
      </c>
      <c r="F110" s="96" t="s">
        <v>868</v>
      </c>
      <c r="G110" s="1622" t="s">
        <v>80</v>
      </c>
      <c r="H110" s="652" t="s">
        <v>1388</v>
      </c>
      <c r="I110" s="1613">
        <v>459</v>
      </c>
      <c r="J110" s="1766"/>
      <c r="K110" s="1787"/>
      <c r="L110" s="1682">
        <v>463</v>
      </c>
      <c r="M110" s="1540">
        <v>34100000</v>
      </c>
      <c r="N110" s="1682"/>
      <c r="O110" s="1540"/>
      <c r="P110" s="1789"/>
      <c r="Q110" s="252"/>
      <c r="R110" s="7"/>
      <c r="S110" s="7"/>
      <c r="T110" s="7"/>
      <c r="U110" s="507"/>
      <c r="V110" s="7"/>
      <c r="W110" s="7"/>
      <c r="X110" s="7"/>
      <c r="Y110" s="7"/>
      <c r="Z110" s="7"/>
      <c r="AA110" s="7"/>
      <c r="AB110" s="184"/>
      <c r="AC110" s="690">
        <f t="shared" si="70"/>
        <v>0</v>
      </c>
      <c r="AD110" s="689">
        <f>O110-AC110</f>
        <v>0</v>
      </c>
      <c r="AF110" s="946">
        <v>459</v>
      </c>
      <c r="AG110" s="1357" t="s">
        <v>895</v>
      </c>
      <c r="AH110" s="1447" t="s">
        <v>178</v>
      </c>
      <c r="AI110" s="1113">
        <f>P110</f>
        <v>0</v>
      </c>
      <c r="AJ110" s="105">
        <f>34100000-100000</f>
        <v>34000000</v>
      </c>
      <c r="AK110" s="906">
        <f>AJ110-O110</f>
        <v>34000000</v>
      </c>
      <c r="AL110" s="899"/>
      <c r="AM110" s="1604">
        <f>AJ110-M110</f>
        <v>-100000</v>
      </c>
    </row>
    <row r="111" spans="1:39" s="656" customFormat="1">
      <c r="A111" s="820" t="s">
        <v>890</v>
      </c>
      <c r="B111" s="1314">
        <f t="shared" si="71"/>
        <v>15333333</v>
      </c>
      <c r="C111" s="95" t="s">
        <v>872</v>
      </c>
      <c r="D111" s="96" t="s">
        <v>865</v>
      </c>
      <c r="E111" s="96" t="s">
        <v>147</v>
      </c>
      <c r="F111" s="96" t="s">
        <v>868</v>
      </c>
      <c r="G111" s="1622" t="s">
        <v>80</v>
      </c>
      <c r="H111" s="652" t="s">
        <v>1388</v>
      </c>
      <c r="I111" s="1613">
        <v>460</v>
      </c>
      <c r="J111" s="1786">
        <v>568</v>
      </c>
      <c r="K111" s="1660">
        <v>15333333</v>
      </c>
      <c r="L111" s="1682">
        <v>653</v>
      </c>
      <c r="M111" s="1660">
        <v>15333333</v>
      </c>
      <c r="N111" s="1682">
        <v>794</v>
      </c>
      <c r="O111" s="1660">
        <v>15333333</v>
      </c>
      <c r="P111" s="1803">
        <v>453</v>
      </c>
      <c r="Q111" s="252"/>
      <c r="R111" s="7"/>
      <c r="S111" s="7"/>
      <c r="T111" s="7"/>
      <c r="U111" s="7"/>
      <c r="V111" s="7"/>
      <c r="W111" s="7"/>
      <c r="X111" s="7"/>
      <c r="Y111" s="507"/>
      <c r="Z111" s="7"/>
      <c r="AA111" s="7"/>
      <c r="AB111" s="184"/>
      <c r="AC111" s="690">
        <f t="shared" si="70"/>
        <v>0</v>
      </c>
      <c r="AD111" s="689">
        <f>O111-AC111</f>
        <v>15333333</v>
      </c>
      <c r="AF111" s="946">
        <v>460</v>
      </c>
      <c r="AG111" s="1357" t="s">
        <v>896</v>
      </c>
      <c r="AH111" s="1357" t="s">
        <v>1292</v>
      </c>
      <c r="AI111" s="1113">
        <f>P111</f>
        <v>453</v>
      </c>
      <c r="AJ111" s="105">
        <v>22500000</v>
      </c>
      <c r="AK111" s="906">
        <f>AJ111-O111</f>
        <v>7166667</v>
      </c>
      <c r="AL111" s="899"/>
      <c r="AM111" s="1604">
        <f>AJ111-M111</f>
        <v>7166667</v>
      </c>
    </row>
    <row r="112" spans="1:39" s="656" customFormat="1" ht="15">
      <c r="A112" s="820" t="s">
        <v>890</v>
      </c>
      <c r="B112" s="1314">
        <f t="shared" si="71"/>
        <v>0</v>
      </c>
      <c r="C112" s="95" t="s">
        <v>157</v>
      </c>
      <c r="D112" s="96" t="s">
        <v>865</v>
      </c>
      <c r="E112" s="96" t="s">
        <v>183</v>
      </c>
      <c r="F112" s="96" t="s">
        <v>868</v>
      </c>
      <c r="G112" s="1622" t="s">
        <v>80</v>
      </c>
      <c r="H112" s="652" t="s">
        <v>1388</v>
      </c>
      <c r="I112" s="1613" t="s">
        <v>178</v>
      </c>
      <c r="J112" s="1786"/>
      <c r="K112" s="1660"/>
      <c r="L112" s="1682"/>
      <c r="M112" s="1540"/>
      <c r="N112" s="1682"/>
      <c r="O112" s="1540"/>
      <c r="P112" s="1789"/>
      <c r="Q112" s="252"/>
      <c r="R112" s="7"/>
      <c r="S112" s="7"/>
      <c r="T112" s="7"/>
      <c r="U112" s="7"/>
      <c r="V112" s="7"/>
      <c r="W112" s="7"/>
      <c r="X112" s="7"/>
      <c r="Y112" s="7"/>
      <c r="Z112" s="7"/>
      <c r="AA112" s="7"/>
      <c r="AB112" s="184"/>
      <c r="AC112" s="690">
        <f t="shared" ref="AC112:AC113" si="72">SUM(Q112:AB112)</f>
        <v>0</v>
      </c>
      <c r="AD112" s="689">
        <f>O112-AC112</f>
        <v>0</v>
      </c>
      <c r="AF112" s="946" t="s">
        <v>349</v>
      </c>
      <c r="AG112" s="1357" t="s">
        <v>1145</v>
      </c>
      <c r="AH112" s="1447" t="s">
        <v>178</v>
      </c>
      <c r="AI112" s="1113">
        <f>P112</f>
        <v>0</v>
      </c>
      <c r="AJ112" s="105">
        <v>1500000</v>
      </c>
      <c r="AK112" s="906">
        <f>AJ112-O112</f>
        <v>1500000</v>
      </c>
      <c r="AL112" s="899"/>
      <c r="AM112" s="1604">
        <f>AJ112-M112</f>
        <v>1500000</v>
      </c>
    </row>
    <row r="113" spans="1:39" s="656" customFormat="1" ht="15">
      <c r="A113" s="820" t="s">
        <v>890</v>
      </c>
      <c r="B113" s="1314">
        <f t="shared" si="71"/>
        <v>0</v>
      </c>
      <c r="C113" s="95" t="s">
        <v>157</v>
      </c>
      <c r="D113" s="96" t="s">
        <v>865</v>
      </c>
      <c r="E113" s="96" t="s">
        <v>184</v>
      </c>
      <c r="F113" s="96" t="s">
        <v>868</v>
      </c>
      <c r="G113" s="1622" t="s">
        <v>80</v>
      </c>
      <c r="H113" s="652" t="s">
        <v>1388</v>
      </c>
      <c r="I113" s="1613" t="s">
        <v>178</v>
      </c>
      <c r="J113" s="1786"/>
      <c r="K113" s="1660"/>
      <c r="L113" s="1682"/>
      <c r="M113" s="1540"/>
      <c r="N113" s="1682"/>
      <c r="O113" s="1540"/>
      <c r="P113" s="1789"/>
      <c r="Q113" s="252"/>
      <c r="R113" s="7"/>
      <c r="S113" s="7"/>
      <c r="T113" s="7"/>
      <c r="U113" s="7"/>
      <c r="V113" s="7"/>
      <c r="W113" s="7"/>
      <c r="X113" s="7"/>
      <c r="Y113" s="7"/>
      <c r="Z113" s="7"/>
      <c r="AA113" s="7"/>
      <c r="AB113" s="184"/>
      <c r="AC113" s="690">
        <f t="shared" si="72"/>
        <v>0</v>
      </c>
      <c r="AD113" s="689">
        <f>O113-AC113</f>
        <v>0</v>
      </c>
      <c r="AF113" s="946" t="s">
        <v>349</v>
      </c>
      <c r="AG113" s="1357" t="s">
        <v>520</v>
      </c>
      <c r="AH113" s="1447" t="s">
        <v>178</v>
      </c>
      <c r="AI113" s="1113">
        <f>P113</f>
        <v>0</v>
      </c>
      <c r="AJ113" s="105">
        <v>7207429</v>
      </c>
      <c r="AK113" s="906">
        <f>AJ113-O113</f>
        <v>7207429</v>
      </c>
      <c r="AL113" s="899"/>
      <c r="AM113" s="1604">
        <f>AJ113-M113</f>
        <v>7207429</v>
      </c>
    </row>
    <row r="114" spans="1:39" s="656" customFormat="1" ht="15">
      <c r="A114" s="691"/>
      <c r="B114" s="692">
        <f>B108-SUM(B109:B113)</f>
        <v>7166667</v>
      </c>
      <c r="C114" s="693"/>
      <c r="D114" s="694"/>
      <c r="E114" s="694"/>
      <c r="F114" s="694"/>
      <c r="G114" s="1313"/>
      <c r="H114" s="2054"/>
      <c r="I114" s="1769"/>
      <c r="J114" s="1760"/>
      <c r="K114" s="1761"/>
      <c r="L114" s="1688"/>
      <c r="M114" s="1762">
        <f>SUM(M109:M113)</f>
        <v>181855262</v>
      </c>
      <c r="N114" s="1688"/>
      <c r="O114" s="1762">
        <f>SUM(O109:O113)</f>
        <v>15333333</v>
      </c>
      <c r="P114" s="1763"/>
      <c r="Q114" s="14">
        <f>SUM(Q109:Q113)</f>
        <v>0</v>
      </c>
      <c r="R114" s="14">
        <f t="shared" ref="R114:AD114" si="73">SUM(R109:R113)</f>
        <v>0</v>
      </c>
      <c r="S114" s="14">
        <f t="shared" si="73"/>
        <v>0</v>
      </c>
      <c r="T114" s="14">
        <f t="shared" si="73"/>
        <v>0</v>
      </c>
      <c r="U114" s="14">
        <f t="shared" si="73"/>
        <v>0</v>
      </c>
      <c r="V114" s="14">
        <f t="shared" si="73"/>
        <v>0</v>
      </c>
      <c r="W114" s="14">
        <f t="shared" si="73"/>
        <v>0</v>
      </c>
      <c r="X114" s="14">
        <f t="shared" si="73"/>
        <v>0</v>
      </c>
      <c r="Y114" s="14">
        <f t="shared" si="73"/>
        <v>0</v>
      </c>
      <c r="Z114" s="14">
        <f t="shared" si="73"/>
        <v>0</v>
      </c>
      <c r="AA114" s="14">
        <f t="shared" si="73"/>
        <v>0</v>
      </c>
      <c r="AB114" s="182">
        <f t="shared" si="73"/>
        <v>0</v>
      </c>
      <c r="AC114" s="251">
        <f t="shared" si="73"/>
        <v>0</v>
      </c>
      <c r="AD114" s="14">
        <f t="shared" si="73"/>
        <v>15333333</v>
      </c>
      <c r="AF114" s="907"/>
      <c r="AG114" s="14"/>
      <c r="AH114" s="14"/>
      <c r="AI114" s="1117"/>
      <c r="AJ114" s="14">
        <f>SUM(AJ109:AJ113)</f>
        <v>189021929</v>
      </c>
      <c r="AK114" s="14">
        <f>SUM(AK109:AK113)</f>
        <v>173688596</v>
      </c>
      <c r="AL114" s="899">
        <f>B108-AJ114</f>
        <v>0</v>
      </c>
    </row>
    <row r="115" spans="1:39" s="808" customFormat="1" ht="26.25" customHeight="1">
      <c r="A115" s="681" t="s">
        <v>120</v>
      </c>
      <c r="B115" s="682">
        <f>1445190000+24750000</f>
        <v>1469940000</v>
      </c>
      <c r="C115" s="1346" t="s">
        <v>36</v>
      </c>
      <c r="D115" s="1347" t="s">
        <v>865</v>
      </c>
      <c r="E115" s="1347" t="s">
        <v>147</v>
      </c>
      <c r="F115" s="1347" t="s">
        <v>868</v>
      </c>
      <c r="G115" s="1445" t="s">
        <v>80</v>
      </c>
      <c r="H115" s="2053" t="s">
        <v>1388</v>
      </c>
      <c r="I115" s="1743"/>
      <c r="J115" s="1744">
        <v>0</v>
      </c>
      <c r="K115" s="1745"/>
      <c r="L115" s="1746"/>
      <c r="M115" s="1747"/>
      <c r="N115" s="1746"/>
      <c r="O115" s="1748"/>
      <c r="P115" s="1742"/>
      <c r="Q115" s="683"/>
      <c r="R115" s="684"/>
      <c r="S115" s="684"/>
      <c r="T115" s="684"/>
      <c r="U115" s="684"/>
      <c r="V115" s="684"/>
      <c r="W115" s="684"/>
      <c r="X115" s="684"/>
      <c r="Y115" s="684"/>
      <c r="Z115" s="684"/>
      <c r="AA115" s="684"/>
      <c r="AB115" s="685"/>
      <c r="AC115" s="683"/>
      <c r="AD115" s="685"/>
      <c r="AF115" s="1249"/>
      <c r="AG115" s="684"/>
      <c r="AH115" s="684"/>
      <c r="AI115" s="684"/>
      <c r="AJ115" s="684"/>
      <c r="AK115" s="685"/>
      <c r="AL115" s="872"/>
      <c r="AM115" s="118"/>
    </row>
    <row r="116" spans="1:39" s="808" customFormat="1">
      <c r="A116" s="1541" t="s">
        <v>120</v>
      </c>
      <c r="B116" s="516">
        <f>M116</f>
        <v>38280000</v>
      </c>
      <c r="C116" s="95" t="s">
        <v>36</v>
      </c>
      <c r="D116" s="96" t="s">
        <v>865</v>
      </c>
      <c r="E116" s="96" t="s">
        <v>147</v>
      </c>
      <c r="F116" s="96" t="s">
        <v>868</v>
      </c>
      <c r="G116" s="1622" t="s">
        <v>80</v>
      </c>
      <c r="H116" s="652" t="s">
        <v>1388</v>
      </c>
      <c r="I116" s="2046">
        <v>368</v>
      </c>
      <c r="J116" s="1749">
        <v>0</v>
      </c>
      <c r="K116" s="1750"/>
      <c r="L116" s="1751">
        <v>35</v>
      </c>
      <c r="M116" s="1758">
        <v>38280000</v>
      </c>
      <c r="N116" s="1692">
        <v>27</v>
      </c>
      <c r="O116" s="1703">
        <v>38280000</v>
      </c>
      <c r="P116" s="1754">
        <v>19</v>
      </c>
      <c r="Q116" s="688"/>
      <c r="R116" s="507">
        <v>1624000</v>
      </c>
      <c r="S116" s="507">
        <f>VLOOKUP(N116,[9]Hoja2!N$2:T$77,7,0)</f>
        <v>3480000</v>
      </c>
      <c r="T116" s="507">
        <v>3480000</v>
      </c>
      <c r="U116" s="507">
        <v>3480000</v>
      </c>
      <c r="V116" s="507">
        <v>3480000</v>
      </c>
      <c r="W116" s="507">
        <v>3480000</v>
      </c>
      <c r="X116" s="507">
        <v>3480000</v>
      </c>
      <c r="Y116" s="507">
        <v>3480000</v>
      </c>
      <c r="Z116" s="507"/>
      <c r="AA116" s="507"/>
      <c r="AB116" s="702"/>
      <c r="AC116" s="690">
        <f t="shared" ref="AC116" si="74">SUM(Q116:AB116)</f>
        <v>25984000</v>
      </c>
      <c r="AD116" s="689">
        <f t="shared" ref="AD116:AD151" si="75">O116-AC116</f>
        <v>12296000</v>
      </c>
      <c r="AF116" s="903">
        <v>368</v>
      </c>
      <c r="AG116" s="1362" t="s">
        <v>223</v>
      </c>
      <c r="AH116" s="1124" t="s">
        <v>581</v>
      </c>
      <c r="AI116" s="1113">
        <f t="shared" ref="AI116:AI149" si="76">P116</f>
        <v>19</v>
      </c>
      <c r="AJ116" s="904">
        <v>38280000</v>
      </c>
      <c r="AK116" s="906">
        <f t="shared" ref="AK116:AK151" si="77">AJ116-O116</f>
        <v>0</v>
      </c>
      <c r="AL116" s="872"/>
      <c r="AM116" s="1604">
        <f t="shared" ref="AM116:AM151" si="78">AJ116-M116</f>
        <v>0</v>
      </c>
    </row>
    <row r="117" spans="1:39" s="808" customFormat="1">
      <c r="A117" s="1541" t="s">
        <v>120</v>
      </c>
      <c r="B117" s="516">
        <f t="shared" ref="B117:B151" si="79">M117</f>
        <v>35150000</v>
      </c>
      <c r="C117" s="95" t="s">
        <v>36</v>
      </c>
      <c r="D117" s="96" t="s">
        <v>865</v>
      </c>
      <c r="E117" s="96" t="s">
        <v>147</v>
      </c>
      <c r="F117" s="96" t="s">
        <v>868</v>
      </c>
      <c r="G117" s="1622" t="s">
        <v>80</v>
      </c>
      <c r="H117" s="652" t="s">
        <v>1388</v>
      </c>
      <c r="I117" s="2046">
        <v>369</v>
      </c>
      <c r="J117" s="1749">
        <v>0</v>
      </c>
      <c r="K117" s="1750"/>
      <c r="L117" s="1751">
        <v>356</v>
      </c>
      <c r="M117" s="1758">
        <v>35150000</v>
      </c>
      <c r="N117" s="1804">
        <v>362</v>
      </c>
      <c r="O117" s="1703">
        <v>35150000</v>
      </c>
      <c r="P117" s="1805">
        <v>287</v>
      </c>
      <c r="Q117" s="688"/>
      <c r="R117" s="507"/>
      <c r="S117" s="507"/>
      <c r="T117" s="507">
        <v>2096667</v>
      </c>
      <c r="U117" s="507">
        <v>3700000</v>
      </c>
      <c r="V117" s="507">
        <v>3700000</v>
      </c>
      <c r="W117" s="507">
        <v>3700000</v>
      </c>
      <c r="X117" s="507">
        <v>3700000</v>
      </c>
      <c r="Y117" s="507">
        <v>3700000</v>
      </c>
      <c r="Z117" s="507"/>
      <c r="AA117" s="507"/>
      <c r="AB117" s="702"/>
      <c r="AC117" s="690">
        <f t="shared" ref="AC117:AC151" si="80">SUM(Q117:AB117)</f>
        <v>20596667</v>
      </c>
      <c r="AD117" s="689">
        <f t="shared" si="75"/>
        <v>14553333</v>
      </c>
      <c r="AF117" s="903">
        <v>369</v>
      </c>
      <c r="AG117" s="1362" t="s">
        <v>792</v>
      </c>
      <c r="AH117" s="1124" t="s">
        <v>840</v>
      </c>
      <c r="AI117" s="1113">
        <f t="shared" si="76"/>
        <v>287</v>
      </c>
      <c r="AJ117" s="904">
        <f>53300000+1660000-19810000</f>
        <v>35150000</v>
      </c>
      <c r="AK117" s="906">
        <f t="shared" si="77"/>
        <v>0</v>
      </c>
      <c r="AL117" s="872"/>
      <c r="AM117" s="1604">
        <f t="shared" si="78"/>
        <v>0</v>
      </c>
    </row>
    <row r="118" spans="1:39" s="808" customFormat="1">
      <c r="A118" s="1541" t="s">
        <v>120</v>
      </c>
      <c r="B118" s="516">
        <f t="shared" si="79"/>
        <v>38280000</v>
      </c>
      <c r="C118" s="95" t="s">
        <v>36</v>
      </c>
      <c r="D118" s="96" t="s">
        <v>865</v>
      </c>
      <c r="E118" s="96" t="s">
        <v>147</v>
      </c>
      <c r="F118" s="96" t="s">
        <v>868</v>
      </c>
      <c r="G118" s="1622" t="s">
        <v>80</v>
      </c>
      <c r="H118" s="652" t="s">
        <v>1388</v>
      </c>
      <c r="I118" s="2046">
        <v>370</v>
      </c>
      <c r="J118" s="1749">
        <v>0</v>
      </c>
      <c r="K118" s="1750"/>
      <c r="L118" s="1751">
        <v>137</v>
      </c>
      <c r="M118" s="1758">
        <v>38280000</v>
      </c>
      <c r="N118" s="1692">
        <v>117</v>
      </c>
      <c r="O118" s="1703">
        <v>38280000</v>
      </c>
      <c r="P118" s="1754">
        <v>116</v>
      </c>
      <c r="Q118" s="688"/>
      <c r="R118" s="507">
        <v>928000</v>
      </c>
      <c r="S118" s="507">
        <f>VLOOKUP(N118,[9]Hoja2!N$2:T$77,7,0)</f>
        <v>3480000</v>
      </c>
      <c r="T118" s="507">
        <v>3480000</v>
      </c>
      <c r="U118" s="507">
        <v>3480000</v>
      </c>
      <c r="V118" s="507">
        <v>3480000</v>
      </c>
      <c r="W118" s="507">
        <v>3480000</v>
      </c>
      <c r="X118" s="507">
        <v>3480000</v>
      </c>
      <c r="Y118" s="507">
        <v>3480000</v>
      </c>
      <c r="Z118" s="507"/>
      <c r="AA118" s="507"/>
      <c r="AB118" s="702"/>
      <c r="AC118" s="690">
        <f t="shared" si="80"/>
        <v>25288000</v>
      </c>
      <c r="AD118" s="689">
        <f t="shared" si="75"/>
        <v>12992000</v>
      </c>
      <c r="AF118" s="903">
        <v>370</v>
      </c>
      <c r="AG118" s="1362" t="s">
        <v>224</v>
      </c>
      <c r="AH118" s="1124" t="s">
        <v>582</v>
      </c>
      <c r="AI118" s="1113">
        <f t="shared" si="76"/>
        <v>116</v>
      </c>
      <c r="AJ118" s="904">
        <v>38280000</v>
      </c>
      <c r="AK118" s="906">
        <f t="shared" si="77"/>
        <v>0</v>
      </c>
      <c r="AL118" s="872"/>
      <c r="AM118" s="1604">
        <f t="shared" si="78"/>
        <v>0</v>
      </c>
    </row>
    <row r="119" spans="1:39" s="808" customFormat="1">
      <c r="A119" s="1541" t="s">
        <v>120</v>
      </c>
      <c r="B119" s="516">
        <f t="shared" si="79"/>
        <v>34100000</v>
      </c>
      <c r="C119" s="95" t="s">
        <v>36</v>
      </c>
      <c r="D119" s="96" t="s">
        <v>865</v>
      </c>
      <c r="E119" s="96" t="s">
        <v>147</v>
      </c>
      <c r="F119" s="96" t="s">
        <v>868</v>
      </c>
      <c r="G119" s="1622" t="s">
        <v>80</v>
      </c>
      <c r="H119" s="652" t="s">
        <v>1388</v>
      </c>
      <c r="I119" s="2046">
        <v>371</v>
      </c>
      <c r="J119" s="1749">
        <v>0</v>
      </c>
      <c r="K119" s="1750"/>
      <c r="L119" s="1751">
        <v>121</v>
      </c>
      <c r="M119" s="1758">
        <v>34100000</v>
      </c>
      <c r="N119" s="1692">
        <v>113</v>
      </c>
      <c r="O119" s="1703">
        <v>34100000</v>
      </c>
      <c r="P119" s="1754">
        <v>96</v>
      </c>
      <c r="Q119" s="688"/>
      <c r="R119" s="507">
        <v>930000</v>
      </c>
      <c r="S119" s="507">
        <f>VLOOKUP(N119,[9]Hoja2!N$2:T$77,7,0)</f>
        <v>3100000</v>
      </c>
      <c r="T119" s="507">
        <v>3100000</v>
      </c>
      <c r="U119" s="507">
        <v>3100000</v>
      </c>
      <c r="V119" s="507">
        <v>3100000</v>
      </c>
      <c r="W119" s="507">
        <v>3100000</v>
      </c>
      <c r="X119" s="507">
        <v>3100000</v>
      </c>
      <c r="Y119" s="507">
        <v>3100000</v>
      </c>
      <c r="Z119" s="507"/>
      <c r="AA119" s="507"/>
      <c r="AB119" s="702"/>
      <c r="AC119" s="690">
        <f t="shared" si="80"/>
        <v>22630000</v>
      </c>
      <c r="AD119" s="689">
        <f t="shared" si="75"/>
        <v>11470000</v>
      </c>
      <c r="AF119" s="903">
        <v>371</v>
      </c>
      <c r="AG119" s="1362" t="s">
        <v>225</v>
      </c>
      <c r="AH119" s="1124" t="s">
        <v>583</v>
      </c>
      <c r="AI119" s="1113">
        <f t="shared" si="76"/>
        <v>96</v>
      </c>
      <c r="AJ119" s="904">
        <v>34100000</v>
      </c>
      <c r="AK119" s="906">
        <f t="shared" si="77"/>
        <v>0</v>
      </c>
      <c r="AL119" s="872"/>
      <c r="AM119" s="1604">
        <f t="shared" si="78"/>
        <v>0</v>
      </c>
    </row>
    <row r="120" spans="1:39" s="808" customFormat="1">
      <c r="A120" s="1541" t="s">
        <v>120</v>
      </c>
      <c r="B120" s="516">
        <f t="shared" si="79"/>
        <v>22800000</v>
      </c>
      <c r="C120" s="95" t="s">
        <v>36</v>
      </c>
      <c r="D120" s="96" t="s">
        <v>865</v>
      </c>
      <c r="E120" s="96" t="s">
        <v>147</v>
      </c>
      <c r="F120" s="96" t="s">
        <v>868</v>
      </c>
      <c r="G120" s="1622" t="s">
        <v>80</v>
      </c>
      <c r="H120" s="652" t="s">
        <v>1388</v>
      </c>
      <c r="I120" s="2046">
        <v>372</v>
      </c>
      <c r="J120" s="1749">
        <v>0</v>
      </c>
      <c r="K120" s="1750"/>
      <c r="L120" s="1751">
        <v>319</v>
      </c>
      <c r="M120" s="1758">
        <v>22800000</v>
      </c>
      <c r="N120" s="1804">
        <v>338</v>
      </c>
      <c r="O120" s="1703">
        <v>22800000</v>
      </c>
      <c r="P120" s="1754">
        <v>276</v>
      </c>
      <c r="Q120" s="688"/>
      <c r="R120" s="507"/>
      <c r="S120" s="507"/>
      <c r="T120" s="507">
        <v>2470000</v>
      </c>
      <c r="U120" s="507">
        <v>2850000</v>
      </c>
      <c r="V120" s="507">
        <v>2850000</v>
      </c>
      <c r="W120" s="507">
        <v>2850000</v>
      </c>
      <c r="X120" s="507">
        <v>2850000</v>
      </c>
      <c r="Y120" s="507">
        <v>2850000</v>
      </c>
      <c r="Z120" s="507"/>
      <c r="AA120" s="507"/>
      <c r="AB120" s="702"/>
      <c r="AC120" s="690">
        <f t="shared" si="80"/>
        <v>16720000</v>
      </c>
      <c r="AD120" s="689">
        <f t="shared" si="75"/>
        <v>6080000</v>
      </c>
      <c r="AF120" s="903">
        <v>372</v>
      </c>
      <c r="AG120" s="1362" t="s">
        <v>226</v>
      </c>
      <c r="AH120" s="1124" t="s">
        <v>828</v>
      </c>
      <c r="AI120" s="1113">
        <f t="shared" si="76"/>
        <v>276</v>
      </c>
      <c r="AJ120" s="904">
        <v>22800000</v>
      </c>
      <c r="AK120" s="906">
        <f t="shared" si="77"/>
        <v>0</v>
      </c>
      <c r="AL120" s="872"/>
      <c r="AM120" s="1604">
        <f t="shared" si="78"/>
        <v>0</v>
      </c>
    </row>
    <row r="121" spans="1:39" s="808" customFormat="1">
      <c r="A121" s="1541" t="s">
        <v>120</v>
      </c>
      <c r="B121" s="516">
        <f t="shared" si="79"/>
        <v>36000000</v>
      </c>
      <c r="C121" s="95" t="s">
        <v>36</v>
      </c>
      <c r="D121" s="96" t="s">
        <v>865</v>
      </c>
      <c r="E121" s="96" t="s">
        <v>147</v>
      </c>
      <c r="F121" s="96" t="s">
        <v>868</v>
      </c>
      <c r="G121" s="1622" t="s">
        <v>80</v>
      </c>
      <c r="H121" s="652" t="s">
        <v>1388</v>
      </c>
      <c r="I121" s="2046">
        <v>373</v>
      </c>
      <c r="J121" s="1749">
        <v>0</v>
      </c>
      <c r="K121" s="1750"/>
      <c r="L121" s="1751">
        <v>37</v>
      </c>
      <c r="M121" s="1758">
        <v>36000000</v>
      </c>
      <c r="N121" s="1692">
        <v>28</v>
      </c>
      <c r="O121" s="1703">
        <v>36000000</v>
      </c>
      <c r="P121" s="1754">
        <v>17</v>
      </c>
      <c r="Q121" s="688"/>
      <c r="R121" s="507">
        <v>1680000</v>
      </c>
      <c r="S121" s="507">
        <f>VLOOKUP(N121,[9]Hoja2!N$2:T$77,7,0)</f>
        <v>3600000</v>
      </c>
      <c r="T121" s="507">
        <v>3600000</v>
      </c>
      <c r="U121" s="507">
        <v>3600000</v>
      </c>
      <c r="V121" s="507">
        <v>3600000</v>
      </c>
      <c r="W121" s="507">
        <v>3600000</v>
      </c>
      <c r="X121" s="507">
        <v>3600000</v>
      </c>
      <c r="Y121" s="507">
        <v>3600000</v>
      </c>
      <c r="Z121" s="507"/>
      <c r="AA121" s="507"/>
      <c r="AB121" s="702"/>
      <c r="AC121" s="690">
        <f t="shared" si="80"/>
        <v>26880000</v>
      </c>
      <c r="AD121" s="689">
        <f t="shared" si="75"/>
        <v>9120000</v>
      </c>
      <c r="AF121" s="903">
        <v>373</v>
      </c>
      <c r="AG121" s="1362" t="s">
        <v>227</v>
      </c>
      <c r="AH121" s="1124" t="s">
        <v>584</v>
      </c>
      <c r="AI121" s="1113">
        <f t="shared" si="76"/>
        <v>17</v>
      </c>
      <c r="AJ121" s="904">
        <f>38170000-2170000</f>
        <v>36000000</v>
      </c>
      <c r="AK121" s="906">
        <f t="shared" si="77"/>
        <v>0</v>
      </c>
      <c r="AL121" s="872"/>
      <c r="AM121" s="1604">
        <f t="shared" si="78"/>
        <v>0</v>
      </c>
    </row>
    <row r="122" spans="1:39" s="808" customFormat="1">
      <c r="A122" s="1541" t="s">
        <v>120</v>
      </c>
      <c r="B122" s="516">
        <f t="shared" si="79"/>
        <v>72000000</v>
      </c>
      <c r="C122" s="95" t="s">
        <v>36</v>
      </c>
      <c r="D122" s="96" t="s">
        <v>865</v>
      </c>
      <c r="E122" s="96" t="s">
        <v>147</v>
      </c>
      <c r="F122" s="96" t="s">
        <v>868</v>
      </c>
      <c r="G122" s="1622" t="s">
        <v>80</v>
      </c>
      <c r="H122" s="652" t="s">
        <v>1388</v>
      </c>
      <c r="I122" s="2046">
        <v>374</v>
      </c>
      <c r="J122" s="1749">
        <v>0</v>
      </c>
      <c r="K122" s="1750"/>
      <c r="L122" s="1751">
        <v>376</v>
      </c>
      <c r="M122" s="1758">
        <f>75200000-3200000</f>
        <v>72000000</v>
      </c>
      <c r="N122" s="1804">
        <v>384</v>
      </c>
      <c r="O122" s="1703">
        <v>72000000</v>
      </c>
      <c r="P122" s="1805">
        <v>300</v>
      </c>
      <c r="Q122" s="688"/>
      <c r="R122" s="507"/>
      <c r="S122" s="507"/>
      <c r="T122" s="507">
        <v>2666667</v>
      </c>
      <c r="U122" s="507">
        <v>8000000</v>
      </c>
      <c r="V122" s="507">
        <v>8000000</v>
      </c>
      <c r="W122" s="507">
        <v>8000000</v>
      </c>
      <c r="X122" s="507">
        <v>8000000</v>
      </c>
      <c r="Y122" s="507">
        <v>8000000</v>
      </c>
      <c r="Z122" s="507"/>
      <c r="AA122" s="507"/>
      <c r="AB122" s="702"/>
      <c r="AC122" s="690">
        <f t="shared" si="80"/>
        <v>42666667</v>
      </c>
      <c r="AD122" s="689">
        <f t="shared" si="75"/>
        <v>29333333</v>
      </c>
      <c r="AF122" s="903">
        <v>374</v>
      </c>
      <c r="AG122" s="1362" t="s">
        <v>228</v>
      </c>
      <c r="AH122" s="1124" t="s">
        <v>850</v>
      </c>
      <c r="AI122" s="1113">
        <f t="shared" si="76"/>
        <v>300</v>
      </c>
      <c r="AJ122" s="904">
        <f>61160000+18840000-8000000</f>
        <v>72000000</v>
      </c>
      <c r="AK122" s="906">
        <f t="shared" si="77"/>
        <v>0</v>
      </c>
      <c r="AL122" s="872"/>
      <c r="AM122" s="1604">
        <f t="shared" si="78"/>
        <v>0</v>
      </c>
    </row>
    <row r="123" spans="1:39" s="808" customFormat="1">
      <c r="A123" s="1541" t="s">
        <v>120</v>
      </c>
      <c r="B123" s="516">
        <f t="shared" si="79"/>
        <v>59580000</v>
      </c>
      <c r="C123" s="95" t="s">
        <v>36</v>
      </c>
      <c r="D123" s="96" t="s">
        <v>865</v>
      </c>
      <c r="E123" s="96" t="s">
        <v>147</v>
      </c>
      <c r="F123" s="96" t="s">
        <v>868</v>
      </c>
      <c r="G123" s="1622" t="s">
        <v>80</v>
      </c>
      <c r="H123" s="652" t="s">
        <v>1388</v>
      </c>
      <c r="I123" s="2046">
        <v>375</v>
      </c>
      <c r="J123" s="1749">
        <v>0</v>
      </c>
      <c r="K123" s="1750"/>
      <c r="L123" s="1751">
        <v>211</v>
      </c>
      <c r="M123" s="1758">
        <v>59580000</v>
      </c>
      <c r="N123" s="1692">
        <v>248</v>
      </c>
      <c r="O123" s="1703">
        <v>59580000</v>
      </c>
      <c r="P123" s="1754">
        <v>219</v>
      </c>
      <c r="Q123" s="688"/>
      <c r="R123" s="507"/>
      <c r="S123" s="507">
        <f>VLOOKUP(N123,[9]Hoja2!N$2:T$77,7,0)</f>
        <v>5075333</v>
      </c>
      <c r="T123" s="507">
        <v>6620000</v>
      </c>
      <c r="U123" s="507">
        <v>6620000</v>
      </c>
      <c r="V123" s="507">
        <v>6620000</v>
      </c>
      <c r="W123" s="507">
        <v>6620000</v>
      </c>
      <c r="X123" s="507">
        <v>6620000</v>
      </c>
      <c r="Y123" s="507">
        <v>6620000</v>
      </c>
      <c r="Z123" s="507"/>
      <c r="AA123" s="507"/>
      <c r="AB123" s="702"/>
      <c r="AC123" s="690">
        <f t="shared" si="80"/>
        <v>44795333</v>
      </c>
      <c r="AD123" s="689">
        <f t="shared" si="75"/>
        <v>14784667</v>
      </c>
      <c r="AF123" s="903">
        <v>375</v>
      </c>
      <c r="AG123" s="1362" t="s">
        <v>229</v>
      </c>
      <c r="AH123" s="1124" t="s">
        <v>767</v>
      </c>
      <c r="AI123" s="1113">
        <f t="shared" si="76"/>
        <v>219</v>
      </c>
      <c r="AJ123" s="904">
        <v>59580000</v>
      </c>
      <c r="AK123" s="906">
        <f t="shared" si="77"/>
        <v>0</v>
      </c>
      <c r="AL123" s="872"/>
      <c r="AM123" s="1604">
        <f t="shared" si="78"/>
        <v>0</v>
      </c>
    </row>
    <row r="124" spans="1:39" s="808" customFormat="1">
      <c r="A124" s="1541" t="s">
        <v>120</v>
      </c>
      <c r="B124" s="516">
        <f t="shared" si="79"/>
        <v>53010000</v>
      </c>
      <c r="C124" s="95" t="s">
        <v>36</v>
      </c>
      <c r="D124" s="96" t="s">
        <v>865</v>
      </c>
      <c r="E124" s="96" t="s">
        <v>147</v>
      </c>
      <c r="F124" s="96" t="s">
        <v>868</v>
      </c>
      <c r="G124" s="1622" t="s">
        <v>80</v>
      </c>
      <c r="H124" s="652" t="s">
        <v>1388</v>
      </c>
      <c r="I124" s="2046">
        <v>376</v>
      </c>
      <c r="J124" s="1749">
        <v>0</v>
      </c>
      <c r="K124" s="1750"/>
      <c r="L124" s="1751">
        <v>212</v>
      </c>
      <c r="M124" s="1758">
        <v>53010000</v>
      </c>
      <c r="N124" s="1692">
        <v>250</v>
      </c>
      <c r="O124" s="1703">
        <v>53010000</v>
      </c>
      <c r="P124" s="1754">
        <v>223</v>
      </c>
      <c r="Q124" s="688"/>
      <c r="R124" s="507"/>
      <c r="S124" s="507">
        <f>VLOOKUP(N124,[9]Hoja2!N$2:T$77,7,0)</f>
        <v>4515667</v>
      </c>
      <c r="T124" s="507">
        <v>5890000</v>
      </c>
      <c r="U124" s="507">
        <v>5890000</v>
      </c>
      <c r="V124" s="507">
        <v>5890000</v>
      </c>
      <c r="W124" s="507">
        <v>5890000</v>
      </c>
      <c r="X124" s="507">
        <v>5890000</v>
      </c>
      <c r="Y124" s="507">
        <v>5890000</v>
      </c>
      <c r="Z124" s="507"/>
      <c r="AA124" s="507"/>
      <c r="AB124" s="702"/>
      <c r="AC124" s="690">
        <f t="shared" si="80"/>
        <v>39855667</v>
      </c>
      <c r="AD124" s="689">
        <f t="shared" si="75"/>
        <v>13154333</v>
      </c>
      <c r="AF124" s="903">
        <v>376</v>
      </c>
      <c r="AG124" s="1362" t="s">
        <v>229</v>
      </c>
      <c r="AH124" s="1124" t="s">
        <v>768</v>
      </c>
      <c r="AI124" s="1113">
        <f t="shared" si="76"/>
        <v>223</v>
      </c>
      <c r="AJ124" s="904">
        <v>53010000</v>
      </c>
      <c r="AK124" s="906">
        <f t="shared" si="77"/>
        <v>0</v>
      </c>
      <c r="AL124" s="872"/>
      <c r="AM124" s="1604">
        <f t="shared" si="78"/>
        <v>0</v>
      </c>
    </row>
    <row r="125" spans="1:39" s="808" customFormat="1">
      <c r="A125" s="1541" t="s">
        <v>120</v>
      </c>
      <c r="B125" s="516">
        <f t="shared" si="79"/>
        <v>49500000</v>
      </c>
      <c r="C125" s="95" t="s">
        <v>36</v>
      </c>
      <c r="D125" s="96" t="s">
        <v>865</v>
      </c>
      <c r="E125" s="96" t="s">
        <v>147</v>
      </c>
      <c r="F125" s="96" t="s">
        <v>868</v>
      </c>
      <c r="G125" s="1622" t="s">
        <v>80</v>
      </c>
      <c r="H125" s="652" t="s">
        <v>1388</v>
      </c>
      <c r="I125" s="2046">
        <v>377</v>
      </c>
      <c r="J125" s="1749">
        <v>0</v>
      </c>
      <c r="K125" s="1750"/>
      <c r="L125" s="1751">
        <v>290</v>
      </c>
      <c r="M125" s="1758">
        <v>49500000</v>
      </c>
      <c r="N125" s="1751">
        <v>321</v>
      </c>
      <c r="O125" s="1758">
        <v>49500000</v>
      </c>
      <c r="P125" s="1754">
        <v>255</v>
      </c>
      <c r="Q125" s="688"/>
      <c r="R125" s="507"/>
      <c r="S125" s="507"/>
      <c r="T125" s="507">
        <v>6416667</v>
      </c>
      <c r="U125" s="507">
        <v>5500000</v>
      </c>
      <c r="V125" s="507">
        <v>5500000</v>
      </c>
      <c r="W125" s="507">
        <v>5500000</v>
      </c>
      <c r="X125" s="507">
        <v>5500000</v>
      </c>
      <c r="Y125" s="507">
        <v>5500000</v>
      </c>
      <c r="Z125" s="507"/>
      <c r="AA125" s="507"/>
      <c r="AB125" s="702"/>
      <c r="AC125" s="690">
        <f t="shared" si="80"/>
        <v>33916667</v>
      </c>
      <c r="AD125" s="689">
        <f t="shared" si="75"/>
        <v>15583333</v>
      </c>
      <c r="AF125" s="903">
        <v>377</v>
      </c>
      <c r="AG125" s="1362" t="s">
        <v>229</v>
      </c>
      <c r="AH125" s="1124" t="s">
        <v>809</v>
      </c>
      <c r="AI125" s="1113">
        <f t="shared" si="76"/>
        <v>255</v>
      </c>
      <c r="AJ125" s="904">
        <f>53010000-3510000</f>
        <v>49500000</v>
      </c>
      <c r="AK125" s="906">
        <f t="shared" si="77"/>
        <v>0</v>
      </c>
      <c r="AL125" s="872"/>
      <c r="AM125" s="1604">
        <f t="shared" si="78"/>
        <v>0</v>
      </c>
    </row>
    <row r="126" spans="1:39" s="808" customFormat="1">
      <c r="A126" s="1541" t="s">
        <v>120</v>
      </c>
      <c r="B126" s="516">
        <f t="shared" si="79"/>
        <v>46000000</v>
      </c>
      <c r="C126" s="95" t="s">
        <v>36</v>
      </c>
      <c r="D126" s="96" t="s">
        <v>865</v>
      </c>
      <c r="E126" s="96" t="s">
        <v>147</v>
      </c>
      <c r="F126" s="96" t="s">
        <v>868</v>
      </c>
      <c r="G126" s="1622" t="s">
        <v>80</v>
      </c>
      <c r="H126" s="652" t="s">
        <v>1388</v>
      </c>
      <c r="I126" s="2046">
        <v>378</v>
      </c>
      <c r="J126" s="1749">
        <v>0</v>
      </c>
      <c r="K126" s="1750"/>
      <c r="L126" s="1751">
        <v>234</v>
      </c>
      <c r="M126" s="1758">
        <v>46000000</v>
      </c>
      <c r="N126" s="1692">
        <v>216</v>
      </c>
      <c r="O126" s="1703">
        <v>46000000</v>
      </c>
      <c r="P126" s="1754">
        <v>210</v>
      </c>
      <c r="Q126" s="688"/>
      <c r="R126" s="507"/>
      <c r="S126" s="507">
        <f>VLOOKUP(N126,[9]Hoja2!N$2:T$77,7,0)</f>
        <v>4140000</v>
      </c>
      <c r="T126" s="507">
        <v>4600000</v>
      </c>
      <c r="U126" s="507">
        <v>4600000</v>
      </c>
      <c r="V126" s="507">
        <v>4600000</v>
      </c>
      <c r="W126" s="507">
        <v>5113333</v>
      </c>
      <c r="X126" s="507">
        <v>6000000</v>
      </c>
      <c r="Y126" s="507">
        <v>4600000</v>
      </c>
      <c r="Z126" s="507"/>
      <c r="AA126" s="507"/>
      <c r="AB126" s="702"/>
      <c r="AC126" s="690">
        <f t="shared" si="80"/>
        <v>33653333</v>
      </c>
      <c r="AD126" s="689">
        <f t="shared" si="75"/>
        <v>12346667</v>
      </c>
      <c r="AF126" s="903">
        <v>378</v>
      </c>
      <c r="AG126" s="1362" t="s">
        <v>230</v>
      </c>
      <c r="AH126" s="1124" t="s">
        <v>771</v>
      </c>
      <c r="AI126" s="1113">
        <f t="shared" si="76"/>
        <v>210</v>
      </c>
      <c r="AJ126" s="904">
        <f>58700000-12700000</f>
        <v>46000000</v>
      </c>
      <c r="AK126" s="906">
        <f t="shared" si="77"/>
        <v>0</v>
      </c>
      <c r="AL126" s="872"/>
      <c r="AM126" s="1604">
        <f t="shared" si="78"/>
        <v>0</v>
      </c>
    </row>
    <row r="127" spans="1:39" s="808" customFormat="1">
      <c r="A127" s="1541" t="s">
        <v>120</v>
      </c>
      <c r="B127" s="516">
        <f t="shared" si="79"/>
        <v>7793333</v>
      </c>
      <c r="C127" s="95" t="s">
        <v>36</v>
      </c>
      <c r="D127" s="96" t="s">
        <v>865</v>
      </c>
      <c r="E127" s="96" t="s">
        <v>183</v>
      </c>
      <c r="F127" s="96" t="s">
        <v>868</v>
      </c>
      <c r="G127" s="1622" t="s">
        <v>80</v>
      </c>
      <c r="H127" s="652" t="s">
        <v>1388</v>
      </c>
      <c r="I127" s="2046" t="s">
        <v>178</v>
      </c>
      <c r="J127" s="1749"/>
      <c r="K127" s="1750"/>
      <c r="L127" s="1751">
        <v>525</v>
      </c>
      <c r="M127" s="1758">
        <f>9940000-2146667</f>
        <v>7793333</v>
      </c>
      <c r="N127" s="1692">
        <v>627</v>
      </c>
      <c r="O127" s="1703">
        <v>7793333</v>
      </c>
      <c r="P127" s="1754">
        <v>210</v>
      </c>
      <c r="Q127" s="688"/>
      <c r="R127" s="507"/>
      <c r="S127" s="507"/>
      <c r="T127" s="507"/>
      <c r="U127" s="507"/>
      <c r="V127" s="507"/>
      <c r="W127" s="507"/>
      <c r="X127" s="507"/>
      <c r="Y127" s="507">
        <v>1400000</v>
      </c>
      <c r="Z127" s="507"/>
      <c r="AA127" s="507"/>
      <c r="AB127" s="702"/>
      <c r="AC127" s="690">
        <f t="shared" si="80"/>
        <v>1400000</v>
      </c>
      <c r="AD127" s="689">
        <f t="shared" si="75"/>
        <v>6393333</v>
      </c>
      <c r="AF127" s="903">
        <v>378</v>
      </c>
      <c r="AG127" s="1362" t="s">
        <v>1079</v>
      </c>
      <c r="AH127" s="1124" t="s">
        <v>771</v>
      </c>
      <c r="AI127" s="1113">
        <f t="shared" si="76"/>
        <v>210</v>
      </c>
      <c r="AJ127" s="904">
        <f>9940000</f>
        <v>9940000</v>
      </c>
      <c r="AK127" s="906">
        <f t="shared" si="77"/>
        <v>2146667</v>
      </c>
      <c r="AL127" s="872"/>
      <c r="AM127" s="1604">
        <f t="shared" si="78"/>
        <v>2146667</v>
      </c>
    </row>
    <row r="128" spans="1:39" s="808" customFormat="1">
      <c r="A128" s="1541" t="s">
        <v>120</v>
      </c>
      <c r="B128" s="516">
        <f t="shared" si="79"/>
        <v>54010000</v>
      </c>
      <c r="C128" s="95" t="s">
        <v>36</v>
      </c>
      <c r="D128" s="96" t="s">
        <v>865</v>
      </c>
      <c r="E128" s="96" t="s">
        <v>147</v>
      </c>
      <c r="F128" s="96" t="s">
        <v>868</v>
      </c>
      <c r="G128" s="1622" t="s">
        <v>80</v>
      </c>
      <c r="H128" s="652" t="s">
        <v>1388</v>
      </c>
      <c r="I128" s="2046">
        <v>379</v>
      </c>
      <c r="J128" s="1749">
        <v>0</v>
      </c>
      <c r="K128" s="1750"/>
      <c r="L128" s="1751">
        <v>122</v>
      </c>
      <c r="M128" s="1758">
        <v>54010000</v>
      </c>
      <c r="N128" s="1692">
        <v>87</v>
      </c>
      <c r="O128" s="1703">
        <v>54010000</v>
      </c>
      <c r="P128" s="1754">
        <v>94</v>
      </c>
      <c r="Q128" s="688"/>
      <c r="R128" s="507">
        <v>1309333</v>
      </c>
      <c r="S128" s="507">
        <f>VLOOKUP(N128,[9]Hoja2!N$2:T$77,7,0)</f>
        <v>4910000</v>
      </c>
      <c r="T128" s="507">
        <v>4910000</v>
      </c>
      <c r="U128" s="507">
        <v>4910000</v>
      </c>
      <c r="V128" s="507">
        <v>4910000</v>
      </c>
      <c r="W128" s="507">
        <v>4910000</v>
      </c>
      <c r="X128" s="507">
        <v>4910000</v>
      </c>
      <c r="Y128" s="507">
        <v>4910000</v>
      </c>
      <c r="Z128" s="507"/>
      <c r="AA128" s="507"/>
      <c r="AB128" s="702"/>
      <c r="AC128" s="690">
        <f t="shared" si="80"/>
        <v>35679333</v>
      </c>
      <c r="AD128" s="689">
        <f t="shared" si="75"/>
        <v>18330667</v>
      </c>
      <c r="AF128" s="903">
        <v>379</v>
      </c>
      <c r="AG128" s="1362" t="s">
        <v>231</v>
      </c>
      <c r="AH128" s="1124" t="s">
        <v>585</v>
      </c>
      <c r="AI128" s="1113">
        <f t="shared" si="76"/>
        <v>94</v>
      </c>
      <c r="AJ128" s="904">
        <v>54010000</v>
      </c>
      <c r="AK128" s="906">
        <f t="shared" si="77"/>
        <v>0</v>
      </c>
      <c r="AL128" s="872"/>
      <c r="AM128" s="1604">
        <f t="shared" si="78"/>
        <v>0</v>
      </c>
    </row>
    <row r="129" spans="1:39" s="808" customFormat="1">
      <c r="A129" s="1541" t="s">
        <v>120</v>
      </c>
      <c r="B129" s="516">
        <f t="shared" si="79"/>
        <v>29600000</v>
      </c>
      <c r="C129" s="95" t="s">
        <v>36</v>
      </c>
      <c r="D129" s="96" t="s">
        <v>865</v>
      </c>
      <c r="E129" s="96" t="s">
        <v>147</v>
      </c>
      <c r="F129" s="96" t="s">
        <v>868</v>
      </c>
      <c r="G129" s="1622" t="s">
        <v>80</v>
      </c>
      <c r="H129" s="652" t="s">
        <v>1388</v>
      </c>
      <c r="I129" s="2046">
        <v>380</v>
      </c>
      <c r="J129" s="1749">
        <v>0</v>
      </c>
      <c r="K129" s="1750"/>
      <c r="L129" s="1751">
        <v>416</v>
      </c>
      <c r="M129" s="1758">
        <v>29600000</v>
      </c>
      <c r="N129" s="1804">
        <v>437</v>
      </c>
      <c r="O129" s="1703">
        <v>29600000</v>
      </c>
      <c r="P129" s="1754">
        <v>318</v>
      </c>
      <c r="Q129" s="688"/>
      <c r="R129" s="507"/>
      <c r="S129" s="507"/>
      <c r="T129" s="507"/>
      <c r="U129" s="507"/>
      <c r="V129" s="507">
        <v>4810000</v>
      </c>
      <c r="W129" s="507">
        <v>3700000</v>
      </c>
      <c r="X129" s="507">
        <v>3700000</v>
      </c>
      <c r="Y129" s="507">
        <v>3700000</v>
      </c>
      <c r="Z129" s="507"/>
      <c r="AA129" s="507"/>
      <c r="AB129" s="702"/>
      <c r="AC129" s="690">
        <f t="shared" si="80"/>
        <v>15910000</v>
      </c>
      <c r="AD129" s="689">
        <f t="shared" si="75"/>
        <v>13690000</v>
      </c>
      <c r="AF129" s="903">
        <v>380</v>
      </c>
      <c r="AG129" s="1362" t="s">
        <v>232</v>
      </c>
      <c r="AH129" s="1124" t="s">
        <v>959</v>
      </c>
      <c r="AI129" s="1113">
        <f t="shared" si="76"/>
        <v>318</v>
      </c>
      <c r="AJ129" s="904">
        <f>55000000-55000000+55000000-25400000</f>
        <v>29600000</v>
      </c>
      <c r="AK129" s="906">
        <f t="shared" si="77"/>
        <v>0</v>
      </c>
      <c r="AL129" s="872"/>
      <c r="AM129" s="1604">
        <f t="shared" si="78"/>
        <v>0</v>
      </c>
    </row>
    <row r="130" spans="1:39" s="808" customFormat="1">
      <c r="A130" s="1541" t="s">
        <v>120</v>
      </c>
      <c r="B130" s="516">
        <f t="shared" si="79"/>
        <v>59580000</v>
      </c>
      <c r="C130" s="95" t="s">
        <v>36</v>
      </c>
      <c r="D130" s="96" t="s">
        <v>865</v>
      </c>
      <c r="E130" s="96" t="s">
        <v>147</v>
      </c>
      <c r="F130" s="96" t="s">
        <v>868</v>
      </c>
      <c r="G130" s="1622" t="s">
        <v>80</v>
      </c>
      <c r="H130" s="652" t="s">
        <v>1388</v>
      </c>
      <c r="I130" s="2046">
        <v>381</v>
      </c>
      <c r="J130" s="1749">
        <v>0</v>
      </c>
      <c r="K130" s="1750"/>
      <c r="L130" s="1751">
        <v>138</v>
      </c>
      <c r="M130" s="1758">
        <v>59580000</v>
      </c>
      <c r="N130" s="1692">
        <v>123</v>
      </c>
      <c r="O130" s="1703">
        <v>59580000</v>
      </c>
      <c r="P130" s="1754">
        <v>127</v>
      </c>
      <c r="Q130" s="688"/>
      <c r="R130" s="507">
        <v>1765333</v>
      </c>
      <c r="S130" s="507">
        <f>VLOOKUP(N130,[9]Hoja2!N$2:T$77,7,0)</f>
        <v>6620000</v>
      </c>
      <c r="T130" s="507">
        <v>6620000</v>
      </c>
      <c r="U130" s="507">
        <v>6620000</v>
      </c>
      <c r="V130" s="507">
        <v>6620000</v>
      </c>
      <c r="W130" s="507">
        <v>6620000</v>
      </c>
      <c r="X130" s="507">
        <v>6620000</v>
      </c>
      <c r="Y130" s="507">
        <v>6620000</v>
      </c>
      <c r="Z130" s="507"/>
      <c r="AA130" s="507"/>
      <c r="AB130" s="702"/>
      <c r="AC130" s="690">
        <f t="shared" si="80"/>
        <v>48105333</v>
      </c>
      <c r="AD130" s="689">
        <f t="shared" si="75"/>
        <v>11474667</v>
      </c>
      <c r="AF130" s="903">
        <v>381</v>
      </c>
      <c r="AG130" s="1362" t="s">
        <v>233</v>
      </c>
      <c r="AH130" s="1124" t="s">
        <v>586</v>
      </c>
      <c r="AI130" s="1113">
        <f t="shared" si="76"/>
        <v>127</v>
      </c>
      <c r="AJ130" s="904">
        <v>59580000</v>
      </c>
      <c r="AK130" s="906">
        <f t="shared" si="77"/>
        <v>0</v>
      </c>
      <c r="AL130" s="872"/>
      <c r="AM130" s="1604">
        <f t="shared" si="78"/>
        <v>0</v>
      </c>
    </row>
    <row r="131" spans="1:39" s="808" customFormat="1">
      <c r="A131" s="1541" t="s">
        <v>120</v>
      </c>
      <c r="B131" s="516">
        <f t="shared" si="79"/>
        <v>57200000</v>
      </c>
      <c r="C131" s="95" t="s">
        <v>36</v>
      </c>
      <c r="D131" s="96" t="s">
        <v>865</v>
      </c>
      <c r="E131" s="96" t="s">
        <v>147</v>
      </c>
      <c r="F131" s="96" t="s">
        <v>868</v>
      </c>
      <c r="G131" s="1622" t="s">
        <v>80</v>
      </c>
      <c r="H131" s="652" t="s">
        <v>1388</v>
      </c>
      <c r="I131" s="2046">
        <v>382</v>
      </c>
      <c r="J131" s="1749">
        <v>0</v>
      </c>
      <c r="K131" s="1750"/>
      <c r="L131" s="1751">
        <v>34</v>
      </c>
      <c r="M131" s="1758">
        <v>57200000</v>
      </c>
      <c r="N131" s="1692">
        <v>17</v>
      </c>
      <c r="O131" s="1703">
        <v>57200000</v>
      </c>
      <c r="P131" s="1754">
        <v>20</v>
      </c>
      <c r="Q131" s="688"/>
      <c r="R131" s="507">
        <v>2426667</v>
      </c>
      <c r="S131" s="507">
        <f>VLOOKUP(N131,[9]Hoja2!N$2:T$77,7,0)</f>
        <v>5200000</v>
      </c>
      <c r="T131" s="507">
        <v>5200000</v>
      </c>
      <c r="U131" s="507"/>
      <c r="V131" s="507"/>
      <c r="W131" s="507">
        <v>1906667</v>
      </c>
      <c r="X131" s="507"/>
      <c r="Y131" s="507"/>
      <c r="Z131" s="507"/>
      <c r="AA131" s="507"/>
      <c r="AB131" s="702"/>
      <c r="AC131" s="690">
        <f t="shared" si="80"/>
        <v>14733334</v>
      </c>
      <c r="AD131" s="689">
        <f t="shared" si="75"/>
        <v>42466666</v>
      </c>
      <c r="AF131" s="903">
        <v>382</v>
      </c>
      <c r="AG131" s="1362" t="s">
        <v>234</v>
      </c>
      <c r="AH131" s="1124" t="s">
        <v>587</v>
      </c>
      <c r="AI131" s="1113">
        <f t="shared" si="76"/>
        <v>20</v>
      </c>
      <c r="AJ131" s="904">
        <v>57200000</v>
      </c>
      <c r="AK131" s="906">
        <f t="shared" si="77"/>
        <v>0</v>
      </c>
      <c r="AL131" s="872"/>
      <c r="AM131" s="1604">
        <f t="shared" si="78"/>
        <v>0</v>
      </c>
    </row>
    <row r="132" spans="1:39" s="808" customFormat="1">
      <c r="A132" s="1541" t="s">
        <v>120</v>
      </c>
      <c r="B132" s="516">
        <f t="shared" si="79"/>
        <v>90640000</v>
      </c>
      <c r="C132" s="95" t="s">
        <v>36</v>
      </c>
      <c r="D132" s="96" t="s">
        <v>865</v>
      </c>
      <c r="E132" s="96" t="s">
        <v>147</v>
      </c>
      <c r="F132" s="96" t="s">
        <v>868</v>
      </c>
      <c r="G132" s="1622" t="s">
        <v>80</v>
      </c>
      <c r="H132" s="652" t="s">
        <v>1388</v>
      </c>
      <c r="I132" s="2046">
        <v>383</v>
      </c>
      <c r="J132" s="1749">
        <v>0</v>
      </c>
      <c r="K132" s="1750"/>
      <c r="L132" s="1751">
        <v>139</v>
      </c>
      <c r="M132" s="1758">
        <v>90640000</v>
      </c>
      <c r="N132" s="1692">
        <v>119</v>
      </c>
      <c r="O132" s="1703">
        <v>90640000</v>
      </c>
      <c r="P132" s="1754">
        <v>119</v>
      </c>
      <c r="Q132" s="688"/>
      <c r="R132" s="507">
        <v>2472000</v>
      </c>
      <c r="S132" s="507">
        <f>VLOOKUP(N132,[9]Hoja2!N$2:T$77,7,0)</f>
        <v>8240000</v>
      </c>
      <c r="T132" s="507">
        <v>8240000</v>
      </c>
      <c r="U132" s="507">
        <v>6317333</v>
      </c>
      <c r="V132" s="507">
        <v>2472000</v>
      </c>
      <c r="W132" s="507"/>
      <c r="X132" s="507"/>
      <c r="Y132" s="507"/>
      <c r="Z132" s="507"/>
      <c r="AA132" s="507"/>
      <c r="AB132" s="702"/>
      <c r="AC132" s="690">
        <f t="shared" si="80"/>
        <v>27741333</v>
      </c>
      <c r="AD132" s="689">
        <f t="shared" si="75"/>
        <v>62898667</v>
      </c>
      <c r="AF132" s="903">
        <v>383</v>
      </c>
      <c r="AG132" s="1362" t="s">
        <v>235</v>
      </c>
      <c r="AH132" s="1124" t="s">
        <v>588</v>
      </c>
      <c r="AI132" s="1113">
        <f t="shared" si="76"/>
        <v>119</v>
      </c>
      <c r="AJ132" s="904">
        <v>90640000</v>
      </c>
      <c r="AK132" s="906">
        <f t="shared" si="77"/>
        <v>0</v>
      </c>
      <c r="AL132" s="872"/>
      <c r="AM132" s="1604">
        <f t="shared" si="78"/>
        <v>0</v>
      </c>
    </row>
    <row r="133" spans="1:39" s="808" customFormat="1" ht="15">
      <c r="A133" s="1541" t="s">
        <v>120</v>
      </c>
      <c r="B133" s="516">
        <f t="shared" si="79"/>
        <v>0</v>
      </c>
      <c r="C133" s="95" t="s">
        <v>36</v>
      </c>
      <c r="D133" s="96" t="s">
        <v>865</v>
      </c>
      <c r="E133" s="96" t="s">
        <v>147</v>
      </c>
      <c r="F133" s="96" t="s">
        <v>868</v>
      </c>
      <c r="G133" s="1622" t="s">
        <v>80</v>
      </c>
      <c r="H133" s="652" t="s">
        <v>1388</v>
      </c>
      <c r="I133" s="2046">
        <v>384</v>
      </c>
      <c r="J133" s="1749">
        <v>0</v>
      </c>
      <c r="K133" s="1750"/>
      <c r="L133" s="1751"/>
      <c r="M133" s="1758"/>
      <c r="N133" s="1756"/>
      <c r="O133" s="1753"/>
      <c r="P133" s="1754"/>
      <c r="Q133" s="688"/>
      <c r="R133" s="507"/>
      <c r="S133" s="507"/>
      <c r="T133" s="507"/>
      <c r="U133" s="507"/>
      <c r="V133" s="507"/>
      <c r="W133" s="507"/>
      <c r="X133" s="507"/>
      <c r="Y133" s="507"/>
      <c r="Z133" s="507"/>
      <c r="AA133" s="507"/>
      <c r="AB133" s="702"/>
      <c r="AC133" s="690">
        <f t="shared" si="80"/>
        <v>0</v>
      </c>
      <c r="AD133" s="689">
        <f t="shared" si="75"/>
        <v>0</v>
      </c>
      <c r="AF133" s="903">
        <v>384</v>
      </c>
      <c r="AG133" s="1362" t="s">
        <v>236</v>
      </c>
      <c r="AH133" s="1125" t="s">
        <v>178</v>
      </c>
      <c r="AI133" s="1113">
        <f t="shared" si="76"/>
        <v>0</v>
      </c>
      <c r="AJ133" s="904">
        <f>54900000-54900000</f>
        <v>0</v>
      </c>
      <c r="AK133" s="906">
        <f t="shared" si="77"/>
        <v>0</v>
      </c>
      <c r="AL133" s="872"/>
      <c r="AM133" s="1604">
        <f t="shared" si="78"/>
        <v>0</v>
      </c>
    </row>
    <row r="134" spans="1:39" s="808" customFormat="1">
      <c r="A134" s="1541" t="s">
        <v>120</v>
      </c>
      <c r="B134" s="516">
        <f t="shared" si="79"/>
        <v>93500000</v>
      </c>
      <c r="C134" s="95" t="s">
        <v>36</v>
      </c>
      <c r="D134" s="96" t="s">
        <v>865</v>
      </c>
      <c r="E134" s="96" t="s">
        <v>147</v>
      </c>
      <c r="F134" s="96" t="s">
        <v>868</v>
      </c>
      <c r="G134" s="1622" t="s">
        <v>80</v>
      </c>
      <c r="H134" s="652" t="s">
        <v>1388</v>
      </c>
      <c r="I134" s="2046">
        <v>385</v>
      </c>
      <c r="J134" s="1749">
        <v>0</v>
      </c>
      <c r="K134" s="1750"/>
      <c r="L134" s="1751">
        <v>38</v>
      </c>
      <c r="M134" s="1758">
        <v>93500000</v>
      </c>
      <c r="N134" s="1692">
        <v>25</v>
      </c>
      <c r="O134" s="1703">
        <v>93500000</v>
      </c>
      <c r="P134" s="1754">
        <v>18</v>
      </c>
      <c r="Q134" s="688"/>
      <c r="R134" s="507">
        <v>3966667</v>
      </c>
      <c r="S134" s="507">
        <f>VLOOKUP(N134,[9]Hoja2!N$2:T$77,7,0)</f>
        <v>8500000</v>
      </c>
      <c r="T134" s="507">
        <v>8500000</v>
      </c>
      <c r="U134" s="507">
        <v>8500000</v>
      </c>
      <c r="V134" s="507">
        <v>8500000</v>
      </c>
      <c r="W134" s="507">
        <v>8500000</v>
      </c>
      <c r="X134" s="507">
        <v>8500000</v>
      </c>
      <c r="Y134" s="507">
        <v>8500000</v>
      </c>
      <c r="Z134" s="507"/>
      <c r="AA134" s="507"/>
      <c r="AB134" s="702"/>
      <c r="AC134" s="690">
        <f t="shared" si="80"/>
        <v>63466667</v>
      </c>
      <c r="AD134" s="689">
        <f t="shared" si="75"/>
        <v>30033333</v>
      </c>
      <c r="AF134" s="903">
        <v>385</v>
      </c>
      <c r="AG134" s="1362" t="s">
        <v>237</v>
      </c>
      <c r="AH134" s="1124" t="s">
        <v>589</v>
      </c>
      <c r="AI134" s="1113">
        <f t="shared" si="76"/>
        <v>18</v>
      </c>
      <c r="AJ134" s="904">
        <v>93500000</v>
      </c>
      <c r="AK134" s="906">
        <f t="shared" si="77"/>
        <v>0</v>
      </c>
      <c r="AL134" s="872"/>
      <c r="AM134" s="1604">
        <f t="shared" si="78"/>
        <v>0</v>
      </c>
    </row>
    <row r="135" spans="1:39" s="808" customFormat="1">
      <c r="A135" s="1541" t="s">
        <v>120</v>
      </c>
      <c r="B135" s="516">
        <f t="shared" si="79"/>
        <v>91740000</v>
      </c>
      <c r="C135" s="95" t="s">
        <v>36</v>
      </c>
      <c r="D135" s="96" t="s">
        <v>865</v>
      </c>
      <c r="E135" s="96" t="s">
        <v>147</v>
      </c>
      <c r="F135" s="96" t="s">
        <v>868</v>
      </c>
      <c r="G135" s="1622" t="s">
        <v>80</v>
      </c>
      <c r="H135" s="652" t="s">
        <v>1388</v>
      </c>
      <c r="I135" s="2046">
        <v>386</v>
      </c>
      <c r="J135" s="1749">
        <v>0</v>
      </c>
      <c r="K135" s="1750"/>
      <c r="L135" s="1751">
        <v>74</v>
      </c>
      <c r="M135" s="1758">
        <v>91740000</v>
      </c>
      <c r="N135" s="1692">
        <v>98</v>
      </c>
      <c r="O135" s="1703">
        <v>91740000</v>
      </c>
      <c r="P135" s="1754">
        <v>68</v>
      </c>
      <c r="Q135" s="688"/>
      <c r="R135" s="507">
        <v>2502000</v>
      </c>
      <c r="S135" s="507">
        <f>VLOOKUP(N135,[9]Hoja2!N$2:T$77,7,0)</f>
        <v>8340000</v>
      </c>
      <c r="T135" s="507">
        <v>8340000</v>
      </c>
      <c r="U135" s="507">
        <v>8340000</v>
      </c>
      <c r="V135" s="507">
        <v>3614000</v>
      </c>
      <c r="W135" s="507"/>
      <c r="X135" s="507"/>
      <c r="Y135" s="507"/>
      <c r="Z135" s="507"/>
      <c r="AA135" s="507"/>
      <c r="AB135" s="702"/>
      <c r="AC135" s="690">
        <f t="shared" si="80"/>
        <v>31136000</v>
      </c>
      <c r="AD135" s="689">
        <f t="shared" si="75"/>
        <v>60604000</v>
      </c>
      <c r="AF135" s="903">
        <v>386</v>
      </c>
      <c r="AG135" s="1362" t="s">
        <v>238</v>
      </c>
      <c r="AH135" s="1124" t="s">
        <v>590</v>
      </c>
      <c r="AI135" s="1113">
        <f t="shared" si="76"/>
        <v>68</v>
      </c>
      <c r="AJ135" s="904">
        <v>91740000</v>
      </c>
      <c r="AK135" s="906">
        <f t="shared" si="77"/>
        <v>0</v>
      </c>
      <c r="AL135" s="872"/>
      <c r="AM135" s="1604">
        <f t="shared" si="78"/>
        <v>0</v>
      </c>
    </row>
    <row r="136" spans="1:39" s="808" customFormat="1">
      <c r="A136" s="1541" t="s">
        <v>120</v>
      </c>
      <c r="B136" s="516">
        <f t="shared" si="79"/>
        <v>32000000</v>
      </c>
      <c r="C136" s="95" t="s">
        <v>36</v>
      </c>
      <c r="D136" s="96" t="s">
        <v>865</v>
      </c>
      <c r="E136" s="96" t="s">
        <v>147</v>
      </c>
      <c r="F136" s="96" t="s">
        <v>868</v>
      </c>
      <c r="G136" s="1622" t="s">
        <v>80</v>
      </c>
      <c r="H136" s="652" t="s">
        <v>1388</v>
      </c>
      <c r="I136" s="2046">
        <v>387</v>
      </c>
      <c r="J136" s="1749">
        <v>0</v>
      </c>
      <c r="K136" s="1750"/>
      <c r="L136" s="1751">
        <v>547</v>
      </c>
      <c r="M136" s="1758">
        <f>32500000-500000</f>
        <v>32000000</v>
      </c>
      <c r="N136" s="1804">
        <v>614</v>
      </c>
      <c r="O136" s="1703">
        <v>32000000</v>
      </c>
      <c r="P136" s="1805">
        <v>383</v>
      </c>
      <c r="Q136" s="688"/>
      <c r="R136" s="507"/>
      <c r="S136" s="507"/>
      <c r="T136" s="507"/>
      <c r="U136" s="507"/>
      <c r="V136" s="507"/>
      <c r="W136" s="507">
        <v>3000000</v>
      </c>
      <c r="X136" s="507">
        <v>5000000</v>
      </c>
      <c r="Y136" s="507">
        <v>5000000</v>
      </c>
      <c r="Z136" s="507"/>
      <c r="AA136" s="507"/>
      <c r="AB136" s="702"/>
      <c r="AC136" s="690">
        <f t="shared" si="80"/>
        <v>13000000</v>
      </c>
      <c r="AD136" s="689">
        <f t="shared" si="75"/>
        <v>19000000</v>
      </c>
      <c r="AF136" s="903">
        <v>387</v>
      </c>
      <c r="AG136" s="1362" t="s">
        <v>239</v>
      </c>
      <c r="AH136" s="1124" t="s">
        <v>542</v>
      </c>
      <c r="AI136" s="1113">
        <f t="shared" si="76"/>
        <v>383</v>
      </c>
      <c r="AJ136" s="904">
        <f>88000000-18000000-56000000+21000000</f>
        <v>35000000</v>
      </c>
      <c r="AK136" s="906">
        <f t="shared" si="77"/>
        <v>3000000</v>
      </c>
      <c r="AL136" s="872"/>
      <c r="AM136" s="1604">
        <f t="shared" si="78"/>
        <v>3000000</v>
      </c>
    </row>
    <row r="137" spans="1:39" s="808" customFormat="1">
      <c r="A137" s="1541" t="s">
        <v>120</v>
      </c>
      <c r="B137" s="516">
        <f t="shared" si="79"/>
        <v>48960000</v>
      </c>
      <c r="C137" s="95" t="s">
        <v>36</v>
      </c>
      <c r="D137" s="96" t="s">
        <v>865</v>
      </c>
      <c r="E137" s="96" t="s">
        <v>147</v>
      </c>
      <c r="F137" s="96" t="s">
        <v>868</v>
      </c>
      <c r="G137" s="1622" t="s">
        <v>80</v>
      </c>
      <c r="H137" s="652" t="s">
        <v>1388</v>
      </c>
      <c r="I137" s="2046">
        <v>388</v>
      </c>
      <c r="J137" s="1749">
        <v>0</v>
      </c>
      <c r="K137" s="1750"/>
      <c r="L137" s="1751">
        <v>140</v>
      </c>
      <c r="M137" s="1758">
        <v>48960000</v>
      </c>
      <c r="N137" s="1692">
        <v>125</v>
      </c>
      <c r="O137" s="1703">
        <v>48960000</v>
      </c>
      <c r="P137" s="1754">
        <v>111</v>
      </c>
      <c r="Q137" s="688"/>
      <c r="R137" s="507">
        <v>1450667</v>
      </c>
      <c r="S137" s="507">
        <f>VLOOKUP(N137,[9]Hoja2!N$2:T$77,7,0)</f>
        <v>5440000</v>
      </c>
      <c r="T137" s="507">
        <v>5440000</v>
      </c>
      <c r="U137" s="507">
        <v>5440000</v>
      </c>
      <c r="V137" s="507">
        <v>5440000</v>
      </c>
      <c r="W137" s="507">
        <v>5440000</v>
      </c>
      <c r="X137" s="507">
        <v>5440000</v>
      </c>
      <c r="Y137" s="507">
        <v>5440000</v>
      </c>
      <c r="Z137" s="507"/>
      <c r="AA137" s="507"/>
      <c r="AB137" s="702"/>
      <c r="AC137" s="690">
        <f t="shared" si="80"/>
        <v>39530667</v>
      </c>
      <c r="AD137" s="689">
        <f t="shared" si="75"/>
        <v>9429333</v>
      </c>
      <c r="AF137" s="903">
        <v>388</v>
      </c>
      <c r="AG137" s="1362" t="s">
        <v>240</v>
      </c>
      <c r="AH137" s="1124" t="s">
        <v>591</v>
      </c>
      <c r="AI137" s="1113">
        <f t="shared" si="76"/>
        <v>111</v>
      </c>
      <c r="AJ137" s="904">
        <v>48960000</v>
      </c>
      <c r="AK137" s="906">
        <f t="shared" si="77"/>
        <v>0</v>
      </c>
      <c r="AL137" s="872"/>
      <c r="AM137" s="1604">
        <f t="shared" si="78"/>
        <v>0</v>
      </c>
    </row>
    <row r="138" spans="1:39" s="808" customFormat="1">
      <c r="A138" s="1541" t="s">
        <v>120</v>
      </c>
      <c r="B138" s="516">
        <f t="shared" si="79"/>
        <v>80750000</v>
      </c>
      <c r="C138" s="95" t="s">
        <v>36</v>
      </c>
      <c r="D138" s="96" t="s">
        <v>865</v>
      </c>
      <c r="E138" s="96" t="s">
        <v>147</v>
      </c>
      <c r="F138" s="96" t="s">
        <v>868</v>
      </c>
      <c r="G138" s="1622" t="s">
        <v>80</v>
      </c>
      <c r="H138" s="652" t="s">
        <v>1388</v>
      </c>
      <c r="I138" s="2046">
        <v>389</v>
      </c>
      <c r="J138" s="1749">
        <v>0</v>
      </c>
      <c r="K138" s="1750"/>
      <c r="L138" s="1751">
        <v>291</v>
      </c>
      <c r="M138" s="1758">
        <f>85000000-4250000</f>
        <v>80750000</v>
      </c>
      <c r="N138" s="1804">
        <v>343</v>
      </c>
      <c r="O138" s="1703">
        <v>80750000</v>
      </c>
      <c r="P138" s="1754">
        <v>279</v>
      </c>
      <c r="Q138" s="688"/>
      <c r="R138" s="507"/>
      <c r="S138" s="507"/>
      <c r="T138" s="507">
        <v>6800000</v>
      </c>
      <c r="U138" s="507">
        <v>8500000</v>
      </c>
      <c r="V138" s="507">
        <v>8500000</v>
      </c>
      <c r="W138" s="507">
        <v>8500000</v>
      </c>
      <c r="X138" s="507">
        <v>8500000</v>
      </c>
      <c r="Y138" s="507">
        <v>8500000</v>
      </c>
      <c r="Z138" s="507"/>
      <c r="AA138" s="507"/>
      <c r="AB138" s="702"/>
      <c r="AC138" s="690">
        <f t="shared" si="80"/>
        <v>49300000</v>
      </c>
      <c r="AD138" s="689">
        <f t="shared" si="75"/>
        <v>31450000</v>
      </c>
      <c r="AF138" s="903">
        <v>389</v>
      </c>
      <c r="AG138" s="1362" t="s">
        <v>241</v>
      </c>
      <c r="AH138" s="1124" t="s">
        <v>829</v>
      </c>
      <c r="AI138" s="1113">
        <f t="shared" si="76"/>
        <v>279</v>
      </c>
      <c r="AJ138" s="904">
        <f>87500000-2500000-4250000</f>
        <v>80750000</v>
      </c>
      <c r="AK138" s="906">
        <f t="shared" si="77"/>
        <v>0</v>
      </c>
      <c r="AL138" s="872"/>
      <c r="AM138" s="1604">
        <f t="shared" si="78"/>
        <v>0</v>
      </c>
    </row>
    <row r="139" spans="1:39" s="808" customFormat="1">
      <c r="A139" s="1541" t="s">
        <v>120</v>
      </c>
      <c r="B139" s="516">
        <f t="shared" si="79"/>
        <v>14400000</v>
      </c>
      <c r="C139" s="95" t="s">
        <v>36</v>
      </c>
      <c r="D139" s="96" t="s">
        <v>865</v>
      </c>
      <c r="E139" s="96" t="s">
        <v>147</v>
      </c>
      <c r="F139" s="96" t="s">
        <v>868</v>
      </c>
      <c r="G139" s="1622" t="s">
        <v>80</v>
      </c>
      <c r="H139" s="652" t="s">
        <v>1388</v>
      </c>
      <c r="I139" s="2046">
        <v>390</v>
      </c>
      <c r="J139" s="1749">
        <v>0</v>
      </c>
      <c r="K139" s="1750"/>
      <c r="L139" s="1751">
        <v>213</v>
      </c>
      <c r="M139" s="1758">
        <f>72000000-57600000</f>
        <v>14400000</v>
      </c>
      <c r="N139" s="1692">
        <v>211</v>
      </c>
      <c r="O139" s="1758">
        <f>72000000-57600000</f>
        <v>14400000</v>
      </c>
      <c r="P139" s="1754">
        <v>209</v>
      </c>
      <c r="Q139" s="688"/>
      <c r="R139" s="507"/>
      <c r="S139" s="507">
        <f>VLOOKUP(N139,[9]Hoja2!N$2:T$77,7,0)</f>
        <v>7200000</v>
      </c>
      <c r="T139" s="507">
        <v>7200000</v>
      </c>
      <c r="U139" s="507"/>
      <c r="V139" s="507"/>
      <c r="W139" s="507"/>
      <c r="X139" s="507"/>
      <c r="Y139" s="507"/>
      <c r="Z139" s="507"/>
      <c r="AA139" s="507"/>
      <c r="AB139" s="702"/>
      <c r="AC139" s="690">
        <f t="shared" si="80"/>
        <v>14400000</v>
      </c>
      <c r="AD139" s="689">
        <f t="shared" si="75"/>
        <v>0</v>
      </c>
      <c r="AF139" s="903">
        <v>390</v>
      </c>
      <c r="AG139" s="1362" t="s">
        <v>242</v>
      </c>
      <c r="AH139" s="1124" t="s">
        <v>592</v>
      </c>
      <c r="AI139" s="1113">
        <f t="shared" si="76"/>
        <v>209</v>
      </c>
      <c r="AJ139" s="904">
        <f>72000000-57600000</f>
        <v>14400000</v>
      </c>
      <c r="AK139" s="906">
        <f t="shared" si="77"/>
        <v>0</v>
      </c>
      <c r="AL139" s="872"/>
      <c r="AM139" s="1604">
        <f t="shared" si="78"/>
        <v>0</v>
      </c>
    </row>
    <row r="140" spans="1:39" s="808" customFormat="1">
      <c r="A140" s="1541" t="s">
        <v>120</v>
      </c>
      <c r="B140" s="516">
        <f t="shared" si="79"/>
        <v>45320000</v>
      </c>
      <c r="C140" s="95" t="s">
        <v>36</v>
      </c>
      <c r="D140" s="96" t="s">
        <v>865</v>
      </c>
      <c r="E140" s="96" t="s">
        <v>147</v>
      </c>
      <c r="F140" s="96" t="s">
        <v>868</v>
      </c>
      <c r="G140" s="1622" t="s">
        <v>80</v>
      </c>
      <c r="H140" s="652" t="s">
        <v>1388</v>
      </c>
      <c r="I140" s="2046">
        <v>391</v>
      </c>
      <c r="J140" s="1749">
        <v>0</v>
      </c>
      <c r="K140" s="1750"/>
      <c r="L140" s="1751">
        <v>49</v>
      </c>
      <c r="M140" s="1758">
        <v>45320000</v>
      </c>
      <c r="N140" s="1692">
        <v>29</v>
      </c>
      <c r="O140" s="1703">
        <v>45320000</v>
      </c>
      <c r="P140" s="1754">
        <v>26</v>
      </c>
      <c r="Q140" s="688"/>
      <c r="R140" s="507">
        <v>1922667</v>
      </c>
      <c r="S140" s="507">
        <f>VLOOKUP(N140,[9]Hoja2!N$2:T$77,7,0)</f>
        <v>4120000</v>
      </c>
      <c r="T140" s="507">
        <v>4120000</v>
      </c>
      <c r="U140" s="507">
        <v>4120000</v>
      </c>
      <c r="V140" s="507">
        <v>4120000</v>
      </c>
      <c r="W140" s="507">
        <v>4120000</v>
      </c>
      <c r="X140" s="507">
        <v>4120000</v>
      </c>
      <c r="Y140" s="507">
        <v>4120000</v>
      </c>
      <c r="Z140" s="507"/>
      <c r="AA140" s="507"/>
      <c r="AB140" s="702"/>
      <c r="AC140" s="690">
        <f t="shared" si="80"/>
        <v>30762667</v>
      </c>
      <c r="AD140" s="689">
        <f t="shared" si="75"/>
        <v>14557333</v>
      </c>
      <c r="AF140" s="903">
        <v>391</v>
      </c>
      <c r="AG140" s="1362" t="s">
        <v>243</v>
      </c>
      <c r="AH140" s="1124" t="s">
        <v>593</v>
      </c>
      <c r="AI140" s="1113">
        <f t="shared" si="76"/>
        <v>26</v>
      </c>
      <c r="AJ140" s="904">
        <v>45320000</v>
      </c>
      <c r="AK140" s="906">
        <f t="shared" si="77"/>
        <v>0</v>
      </c>
      <c r="AL140" s="872"/>
      <c r="AM140" s="1604">
        <f t="shared" si="78"/>
        <v>0</v>
      </c>
    </row>
    <row r="141" spans="1:39" s="808" customFormat="1" ht="15">
      <c r="A141" s="1541" t="s">
        <v>120</v>
      </c>
      <c r="B141" s="516">
        <f t="shared" si="79"/>
        <v>0</v>
      </c>
      <c r="C141" s="95" t="s">
        <v>36</v>
      </c>
      <c r="D141" s="96" t="s">
        <v>865</v>
      </c>
      <c r="E141" s="96" t="s">
        <v>147</v>
      </c>
      <c r="F141" s="96" t="s">
        <v>868</v>
      </c>
      <c r="G141" s="1622" t="s">
        <v>80</v>
      </c>
      <c r="H141" s="652" t="s">
        <v>1388</v>
      </c>
      <c r="I141" s="2046">
        <v>392</v>
      </c>
      <c r="J141" s="1749">
        <v>0</v>
      </c>
      <c r="K141" s="1750"/>
      <c r="L141" s="1751"/>
      <c r="M141" s="1752"/>
      <c r="N141" s="1756"/>
      <c r="O141" s="1753"/>
      <c r="P141" s="1754"/>
      <c r="Q141" s="688"/>
      <c r="R141" s="507"/>
      <c r="S141" s="507"/>
      <c r="T141" s="507"/>
      <c r="U141" s="507"/>
      <c r="V141" s="507"/>
      <c r="W141" s="507"/>
      <c r="X141" s="507"/>
      <c r="Y141" s="507"/>
      <c r="Z141" s="507"/>
      <c r="AA141" s="507"/>
      <c r="AB141" s="702"/>
      <c r="AC141" s="690">
        <f t="shared" si="80"/>
        <v>0</v>
      </c>
      <c r="AD141" s="689">
        <f t="shared" si="75"/>
        <v>0</v>
      </c>
      <c r="AF141" s="903">
        <v>392</v>
      </c>
      <c r="AG141" s="1362" t="s">
        <v>243</v>
      </c>
      <c r="AH141" s="1125" t="s">
        <v>178</v>
      </c>
      <c r="AI141" s="1113">
        <f t="shared" si="76"/>
        <v>0</v>
      </c>
      <c r="AJ141" s="904">
        <f>36450000-36450000</f>
        <v>0</v>
      </c>
      <c r="AK141" s="906">
        <f t="shared" si="77"/>
        <v>0</v>
      </c>
      <c r="AL141" s="872"/>
      <c r="AM141" s="1604">
        <f t="shared" si="78"/>
        <v>0</v>
      </c>
    </row>
    <row r="142" spans="1:39" s="808" customFormat="1" ht="15">
      <c r="A142" s="1541" t="s">
        <v>120</v>
      </c>
      <c r="B142" s="516">
        <f t="shared" si="79"/>
        <v>6000000</v>
      </c>
      <c r="C142" s="95" t="s">
        <v>36</v>
      </c>
      <c r="D142" s="96" t="s">
        <v>865</v>
      </c>
      <c r="E142" s="96" t="s">
        <v>147</v>
      </c>
      <c r="F142" s="96" t="s">
        <v>868</v>
      </c>
      <c r="G142" s="1622" t="s">
        <v>80</v>
      </c>
      <c r="H142" s="652" t="s">
        <v>1388</v>
      </c>
      <c r="I142" s="1755">
        <v>463</v>
      </c>
      <c r="J142" s="1749">
        <v>0</v>
      </c>
      <c r="K142" s="1750"/>
      <c r="L142" s="1751">
        <v>482</v>
      </c>
      <c r="M142" s="1758">
        <v>6000000</v>
      </c>
      <c r="N142" s="1751">
        <v>562</v>
      </c>
      <c r="O142" s="1703">
        <v>6000000</v>
      </c>
      <c r="P142" s="1754">
        <v>365</v>
      </c>
      <c r="Q142" s="806"/>
      <c r="R142" s="807"/>
      <c r="S142" s="807"/>
      <c r="T142" s="807"/>
      <c r="U142" s="507"/>
      <c r="V142" s="507"/>
      <c r="W142" s="507">
        <v>4000000</v>
      </c>
      <c r="X142" s="507"/>
      <c r="Y142" s="507"/>
      <c r="Z142" s="807"/>
      <c r="AA142" s="807"/>
      <c r="AB142" s="702"/>
      <c r="AC142" s="690">
        <f t="shared" si="80"/>
        <v>4000000</v>
      </c>
      <c r="AD142" s="689">
        <f t="shared" si="75"/>
        <v>2000000</v>
      </c>
      <c r="AF142" s="903">
        <v>463</v>
      </c>
      <c r="AG142" s="1362" t="s">
        <v>908</v>
      </c>
      <c r="AH142" s="1124" t="s">
        <v>1080</v>
      </c>
      <c r="AI142" s="1113">
        <f t="shared" si="76"/>
        <v>365</v>
      </c>
      <c r="AJ142" s="904">
        <v>6000000</v>
      </c>
      <c r="AK142" s="906">
        <f t="shared" si="77"/>
        <v>0</v>
      </c>
      <c r="AL142" s="872"/>
      <c r="AM142" s="1604">
        <f t="shared" si="78"/>
        <v>0</v>
      </c>
    </row>
    <row r="143" spans="1:39" s="808" customFormat="1" ht="15">
      <c r="A143" s="1541" t="s">
        <v>120</v>
      </c>
      <c r="B143" s="516">
        <f t="shared" si="79"/>
        <v>40000000</v>
      </c>
      <c r="C143" s="95" t="s">
        <v>36</v>
      </c>
      <c r="D143" s="96" t="s">
        <v>865</v>
      </c>
      <c r="E143" s="96" t="s">
        <v>147</v>
      </c>
      <c r="F143" s="96" t="s">
        <v>868</v>
      </c>
      <c r="G143" s="1622" t="s">
        <v>80</v>
      </c>
      <c r="H143" s="652" t="s">
        <v>1388</v>
      </c>
      <c r="I143" s="1755">
        <v>478</v>
      </c>
      <c r="J143" s="1749">
        <v>0</v>
      </c>
      <c r="K143" s="1750"/>
      <c r="L143" s="1751">
        <v>435</v>
      </c>
      <c r="M143" s="1758">
        <v>40000000</v>
      </c>
      <c r="N143" s="1751">
        <v>449</v>
      </c>
      <c r="O143" s="1703">
        <v>40000000</v>
      </c>
      <c r="P143" s="1754">
        <v>330</v>
      </c>
      <c r="Q143" s="806"/>
      <c r="R143" s="807"/>
      <c r="S143" s="807"/>
      <c r="T143" s="807"/>
      <c r="U143" s="507"/>
      <c r="V143" s="507">
        <v>5166667</v>
      </c>
      <c r="W143" s="507">
        <v>5000000</v>
      </c>
      <c r="X143" s="507">
        <v>5000000</v>
      </c>
      <c r="Y143" s="507">
        <v>5000000</v>
      </c>
      <c r="Z143" s="807"/>
      <c r="AA143" s="807"/>
      <c r="AB143" s="702"/>
      <c r="AC143" s="690">
        <f t="shared" si="80"/>
        <v>20166667</v>
      </c>
      <c r="AD143" s="689">
        <f t="shared" si="75"/>
        <v>19833333</v>
      </c>
      <c r="AF143" s="903">
        <v>478</v>
      </c>
      <c r="AG143" s="1362" t="s">
        <v>964</v>
      </c>
      <c r="AH143" s="1124" t="s">
        <v>543</v>
      </c>
      <c r="AI143" s="1113">
        <f t="shared" si="76"/>
        <v>330</v>
      </c>
      <c r="AJ143" s="904">
        <v>40000000</v>
      </c>
      <c r="AK143" s="906">
        <f t="shared" si="77"/>
        <v>0</v>
      </c>
      <c r="AL143" s="872"/>
      <c r="AM143" s="1604">
        <f t="shared" si="78"/>
        <v>0</v>
      </c>
    </row>
    <row r="144" spans="1:39" s="808" customFormat="1" ht="15">
      <c r="A144" s="1541" t="s">
        <v>120</v>
      </c>
      <c r="B144" s="516">
        <f t="shared" si="79"/>
        <v>53666666</v>
      </c>
      <c r="C144" s="95" t="s">
        <v>36</v>
      </c>
      <c r="D144" s="96" t="s">
        <v>865</v>
      </c>
      <c r="E144" s="96" t="s">
        <v>183</v>
      </c>
      <c r="F144" s="96" t="s">
        <v>868</v>
      </c>
      <c r="G144" s="1622" t="s">
        <v>80</v>
      </c>
      <c r="H144" s="652" t="s">
        <v>1388</v>
      </c>
      <c r="I144" s="1755">
        <v>513</v>
      </c>
      <c r="J144" s="1749"/>
      <c r="K144" s="1750"/>
      <c r="L144" s="1751">
        <v>437</v>
      </c>
      <c r="M144" s="1758">
        <f>56000000-2333334</f>
        <v>53666666</v>
      </c>
      <c r="N144" s="1751">
        <v>452</v>
      </c>
      <c r="O144" s="1703">
        <v>53666666</v>
      </c>
      <c r="P144" s="1754">
        <v>332</v>
      </c>
      <c r="Q144" s="806"/>
      <c r="R144" s="807"/>
      <c r="S144" s="807"/>
      <c r="T144" s="807"/>
      <c r="U144" s="507"/>
      <c r="V144" s="507">
        <v>7233333</v>
      </c>
      <c r="W144" s="507">
        <v>7000000</v>
      </c>
      <c r="X144" s="507">
        <v>7000000</v>
      </c>
      <c r="Y144" s="507">
        <v>7000000</v>
      </c>
      <c r="Z144" s="807"/>
      <c r="AA144" s="807"/>
      <c r="AB144" s="702"/>
      <c r="AC144" s="690">
        <f t="shared" si="80"/>
        <v>28233333</v>
      </c>
      <c r="AD144" s="689">
        <f t="shared" si="75"/>
        <v>25433333</v>
      </c>
      <c r="AF144" s="903">
        <v>513</v>
      </c>
      <c r="AG144" s="1362" t="s">
        <v>931</v>
      </c>
      <c r="AH144" s="1124" t="s">
        <v>970</v>
      </c>
      <c r="AI144" s="1113">
        <f t="shared" si="76"/>
        <v>332</v>
      </c>
      <c r="AJ144" s="904">
        <f>56000000-2333334</f>
        <v>53666666</v>
      </c>
      <c r="AK144" s="906">
        <f t="shared" si="77"/>
        <v>0</v>
      </c>
      <c r="AL144" s="872"/>
      <c r="AM144" s="1604">
        <f t="shared" si="78"/>
        <v>0</v>
      </c>
    </row>
    <row r="145" spans="1:39" s="808" customFormat="1" ht="15">
      <c r="A145" s="1541" t="s">
        <v>120</v>
      </c>
      <c r="B145" s="516">
        <f t="shared" si="79"/>
        <v>41250000</v>
      </c>
      <c r="C145" s="95" t="s">
        <v>36</v>
      </c>
      <c r="D145" s="96" t="s">
        <v>865</v>
      </c>
      <c r="E145" s="96" t="s">
        <v>184</v>
      </c>
      <c r="F145" s="96" t="s">
        <v>868</v>
      </c>
      <c r="G145" s="1622" t="s">
        <v>80</v>
      </c>
      <c r="H145" s="652" t="s">
        <v>1388</v>
      </c>
      <c r="I145" s="1755">
        <v>514</v>
      </c>
      <c r="J145" s="1749"/>
      <c r="K145" s="1750"/>
      <c r="L145" s="1751">
        <v>461</v>
      </c>
      <c r="M145" s="1758">
        <v>41250000</v>
      </c>
      <c r="N145" s="1751">
        <v>500</v>
      </c>
      <c r="O145" s="1703">
        <v>41250000</v>
      </c>
      <c r="P145" s="1754">
        <v>353</v>
      </c>
      <c r="Q145" s="806"/>
      <c r="R145" s="807"/>
      <c r="S145" s="807"/>
      <c r="T145" s="807"/>
      <c r="U145" s="507"/>
      <c r="V145" s="507">
        <v>3116667</v>
      </c>
      <c r="W145" s="507">
        <v>5500000</v>
      </c>
      <c r="X145" s="507">
        <v>5500000</v>
      </c>
      <c r="Y145" s="507">
        <v>5500000</v>
      </c>
      <c r="Z145" s="807"/>
      <c r="AA145" s="807"/>
      <c r="AB145" s="702"/>
      <c r="AC145" s="690">
        <f t="shared" si="80"/>
        <v>19616667</v>
      </c>
      <c r="AD145" s="689">
        <f t="shared" si="75"/>
        <v>21633333</v>
      </c>
      <c r="AF145" s="903">
        <v>514</v>
      </c>
      <c r="AG145" s="1362" t="s">
        <v>937</v>
      </c>
      <c r="AH145" s="1124" t="s">
        <v>1036</v>
      </c>
      <c r="AI145" s="1113">
        <f t="shared" si="76"/>
        <v>353</v>
      </c>
      <c r="AJ145" s="904">
        <v>43920000</v>
      </c>
      <c r="AK145" s="906">
        <f t="shared" si="77"/>
        <v>2670000</v>
      </c>
      <c r="AL145" s="872"/>
      <c r="AM145" s="1604">
        <f t="shared" si="78"/>
        <v>2670000</v>
      </c>
    </row>
    <row r="146" spans="1:39" s="808" customFormat="1" ht="15">
      <c r="A146" s="1541" t="s">
        <v>120</v>
      </c>
      <c r="B146" s="516">
        <f t="shared" si="79"/>
        <v>62333333</v>
      </c>
      <c r="C146" s="95" t="s">
        <v>36</v>
      </c>
      <c r="D146" s="96" t="s">
        <v>865</v>
      </c>
      <c r="E146" s="96" t="s">
        <v>188</v>
      </c>
      <c r="F146" s="96" t="s">
        <v>868</v>
      </c>
      <c r="G146" s="1622" t="s">
        <v>80</v>
      </c>
      <c r="H146" s="652" t="s">
        <v>1388</v>
      </c>
      <c r="I146" s="1755">
        <v>515</v>
      </c>
      <c r="J146" s="1749"/>
      <c r="K146" s="1750"/>
      <c r="L146" s="1751">
        <v>472</v>
      </c>
      <c r="M146" s="1758">
        <v>62333333</v>
      </c>
      <c r="N146" s="1751">
        <v>506</v>
      </c>
      <c r="O146" s="1703">
        <v>62333333</v>
      </c>
      <c r="P146" s="1754">
        <v>355</v>
      </c>
      <c r="Q146" s="806"/>
      <c r="R146" s="807"/>
      <c r="S146" s="807"/>
      <c r="T146" s="807"/>
      <c r="U146" s="507"/>
      <c r="V146" s="507">
        <v>4250000</v>
      </c>
      <c r="W146" s="507">
        <v>8500000</v>
      </c>
      <c r="X146" s="507">
        <v>8500000</v>
      </c>
      <c r="Y146" s="507">
        <v>8500000</v>
      </c>
      <c r="Z146" s="807"/>
      <c r="AA146" s="807"/>
      <c r="AB146" s="702"/>
      <c r="AC146" s="690">
        <f t="shared" si="80"/>
        <v>29750000</v>
      </c>
      <c r="AD146" s="689">
        <f t="shared" si="75"/>
        <v>32583333</v>
      </c>
      <c r="AF146" s="903">
        <v>515</v>
      </c>
      <c r="AG146" s="1362" t="s">
        <v>938</v>
      </c>
      <c r="AH146" s="1124" t="s">
        <v>1037</v>
      </c>
      <c r="AI146" s="1113">
        <f t="shared" si="76"/>
        <v>355</v>
      </c>
      <c r="AJ146" s="904">
        <f>68000000-5666667</f>
        <v>62333333</v>
      </c>
      <c r="AK146" s="906">
        <f t="shared" si="77"/>
        <v>0</v>
      </c>
      <c r="AL146" s="872"/>
      <c r="AM146" s="1604">
        <f t="shared" si="78"/>
        <v>0</v>
      </c>
    </row>
    <row r="147" spans="1:39" s="808" customFormat="1" ht="15">
      <c r="A147" s="1541" t="s">
        <v>120</v>
      </c>
      <c r="B147" s="516">
        <f t="shared" si="79"/>
        <v>21600000</v>
      </c>
      <c r="C147" s="95" t="s">
        <v>36</v>
      </c>
      <c r="D147" s="96" t="s">
        <v>865</v>
      </c>
      <c r="E147" s="96" t="s">
        <v>189</v>
      </c>
      <c r="F147" s="96" t="s">
        <v>868</v>
      </c>
      <c r="G147" s="1622" t="s">
        <v>80</v>
      </c>
      <c r="H147" s="652" t="s">
        <v>1388</v>
      </c>
      <c r="I147" s="1755">
        <v>520</v>
      </c>
      <c r="J147" s="1749"/>
      <c r="K147" s="1750"/>
      <c r="L147" s="1751">
        <v>532</v>
      </c>
      <c r="M147" s="1758">
        <f>23400000-1800000</f>
        <v>21600000</v>
      </c>
      <c r="N147" s="1751">
        <v>615</v>
      </c>
      <c r="O147" s="1703">
        <v>21600000</v>
      </c>
      <c r="P147" s="1754">
        <v>380</v>
      </c>
      <c r="Q147" s="806"/>
      <c r="R147" s="807"/>
      <c r="S147" s="807"/>
      <c r="T147" s="807"/>
      <c r="U147" s="807"/>
      <c r="V147" s="807"/>
      <c r="W147" s="507">
        <v>2040000</v>
      </c>
      <c r="X147" s="507">
        <f>2040000+1560000</f>
        <v>3600000</v>
      </c>
      <c r="Y147" s="507">
        <v>3600000</v>
      </c>
      <c r="Z147" s="807"/>
      <c r="AA147" s="807"/>
      <c r="AB147" s="702"/>
      <c r="AC147" s="690">
        <f t="shared" si="80"/>
        <v>9240000</v>
      </c>
      <c r="AD147" s="689">
        <f t="shared" si="75"/>
        <v>12360000</v>
      </c>
      <c r="AF147" s="903">
        <v>520</v>
      </c>
      <c r="AG147" s="1362" t="s">
        <v>998</v>
      </c>
      <c r="AH147" s="1124" t="s">
        <v>1136</v>
      </c>
      <c r="AI147" s="1113">
        <f t="shared" si="76"/>
        <v>380</v>
      </c>
      <c r="AJ147" s="904">
        <v>25200000</v>
      </c>
      <c r="AK147" s="906">
        <f t="shared" si="77"/>
        <v>3600000</v>
      </c>
      <c r="AL147" s="872"/>
      <c r="AM147" s="1604">
        <f t="shared" si="78"/>
        <v>3600000</v>
      </c>
    </row>
    <row r="148" spans="1:39" s="808" customFormat="1" ht="15">
      <c r="A148" s="1541" t="s">
        <v>120</v>
      </c>
      <c r="B148" s="516">
        <f t="shared" si="79"/>
        <v>12245333</v>
      </c>
      <c r="C148" s="95" t="s">
        <v>36</v>
      </c>
      <c r="D148" s="96" t="s">
        <v>865</v>
      </c>
      <c r="E148" s="96" t="s">
        <v>190</v>
      </c>
      <c r="F148" s="96" t="s">
        <v>868</v>
      </c>
      <c r="G148" s="1622" t="s">
        <v>80</v>
      </c>
      <c r="H148" s="652" t="s">
        <v>1388</v>
      </c>
      <c r="I148" s="1755">
        <v>550</v>
      </c>
      <c r="J148" s="1749">
        <v>542</v>
      </c>
      <c r="K148" s="1750">
        <v>12915000</v>
      </c>
      <c r="L148" s="1751">
        <v>627</v>
      </c>
      <c r="M148" s="1758">
        <f>12915000-669667</f>
        <v>12245333</v>
      </c>
      <c r="N148" s="1751">
        <v>783</v>
      </c>
      <c r="O148" s="1703">
        <v>12245333</v>
      </c>
      <c r="P148" s="1754">
        <v>443</v>
      </c>
      <c r="Q148" s="806"/>
      <c r="R148" s="807"/>
      <c r="S148" s="807"/>
      <c r="T148" s="807"/>
      <c r="U148" s="807"/>
      <c r="V148" s="807"/>
      <c r="W148" s="507"/>
      <c r="X148" s="507"/>
      <c r="Y148" s="507"/>
      <c r="Z148" s="807"/>
      <c r="AA148" s="807"/>
      <c r="AB148" s="702"/>
      <c r="AC148" s="690">
        <f t="shared" si="80"/>
        <v>0</v>
      </c>
      <c r="AD148" s="689">
        <f t="shared" si="75"/>
        <v>12245333</v>
      </c>
      <c r="AF148" s="903">
        <v>550</v>
      </c>
      <c r="AG148" s="1362" t="s">
        <v>1144</v>
      </c>
      <c r="AH148" s="1124" t="s">
        <v>1279</v>
      </c>
      <c r="AI148" s="1113">
        <f t="shared" si="76"/>
        <v>443</v>
      </c>
      <c r="AJ148" s="904">
        <v>15785000</v>
      </c>
      <c r="AK148" s="906">
        <f t="shared" si="77"/>
        <v>3539667</v>
      </c>
      <c r="AL148" s="872"/>
      <c r="AM148" s="1604">
        <f t="shared" si="78"/>
        <v>3539667</v>
      </c>
    </row>
    <row r="149" spans="1:39" s="808" customFormat="1" ht="15">
      <c r="A149" s="1541" t="s">
        <v>120</v>
      </c>
      <c r="B149" s="516">
        <f t="shared" si="79"/>
        <v>20250000</v>
      </c>
      <c r="C149" s="95" t="s">
        <v>36</v>
      </c>
      <c r="D149" s="96" t="s">
        <v>865</v>
      </c>
      <c r="E149" s="96" t="s">
        <v>191</v>
      </c>
      <c r="F149" s="96" t="s">
        <v>868</v>
      </c>
      <c r="G149" s="1622" t="s">
        <v>80</v>
      </c>
      <c r="H149" s="652" t="s">
        <v>1388</v>
      </c>
      <c r="I149" s="1755">
        <v>557</v>
      </c>
      <c r="J149" s="1749"/>
      <c r="K149" s="1750"/>
      <c r="L149" s="1751">
        <v>611</v>
      </c>
      <c r="M149" s="1758">
        <v>20250000</v>
      </c>
      <c r="N149" s="1751">
        <v>726</v>
      </c>
      <c r="O149" s="1703">
        <v>20250000</v>
      </c>
      <c r="P149" s="1754">
        <v>433</v>
      </c>
      <c r="Q149" s="806"/>
      <c r="R149" s="807"/>
      <c r="S149" s="807"/>
      <c r="T149" s="807"/>
      <c r="U149" s="807"/>
      <c r="V149" s="807"/>
      <c r="W149" s="807"/>
      <c r="X149" s="507"/>
      <c r="Y149" s="507">
        <v>4500000</v>
      </c>
      <c r="Z149" s="807"/>
      <c r="AA149" s="807"/>
      <c r="AB149" s="702"/>
      <c r="AC149" s="690">
        <f t="shared" si="80"/>
        <v>4500000</v>
      </c>
      <c r="AD149" s="689">
        <f t="shared" si="75"/>
        <v>15750000</v>
      </c>
      <c r="AF149" s="903">
        <v>557</v>
      </c>
      <c r="AG149" s="1362" t="s">
        <v>1162</v>
      </c>
      <c r="AH149" s="1124" t="s">
        <v>1226</v>
      </c>
      <c r="AI149" s="1113">
        <f t="shared" si="76"/>
        <v>433</v>
      </c>
      <c r="AJ149" s="904">
        <v>24750000</v>
      </c>
      <c r="AK149" s="906">
        <f t="shared" si="77"/>
        <v>4500000</v>
      </c>
      <c r="AL149" s="872"/>
      <c r="AM149" s="1604">
        <f t="shared" si="78"/>
        <v>4500000</v>
      </c>
    </row>
    <row r="150" spans="1:39" s="808" customFormat="1" ht="15">
      <c r="A150" s="1541" t="s">
        <v>120</v>
      </c>
      <c r="B150" s="516">
        <f t="shared" si="79"/>
        <v>0</v>
      </c>
      <c r="C150" s="95" t="s">
        <v>36</v>
      </c>
      <c r="D150" s="96" t="s">
        <v>865</v>
      </c>
      <c r="E150" s="96" t="s">
        <v>192</v>
      </c>
      <c r="F150" s="96" t="s">
        <v>868</v>
      </c>
      <c r="G150" s="1622" t="s">
        <v>80</v>
      </c>
      <c r="H150" s="652" t="s">
        <v>1388</v>
      </c>
      <c r="I150" s="1755" t="s">
        <v>178</v>
      </c>
      <c r="J150" s="1749"/>
      <c r="K150" s="1750"/>
      <c r="L150" s="1751"/>
      <c r="M150" s="1758"/>
      <c r="N150" s="1751"/>
      <c r="O150" s="1703"/>
      <c r="P150" s="1754"/>
      <c r="Q150" s="806"/>
      <c r="R150" s="807"/>
      <c r="S150" s="807"/>
      <c r="T150" s="807"/>
      <c r="U150" s="807"/>
      <c r="V150" s="807"/>
      <c r="W150" s="807"/>
      <c r="X150" s="807"/>
      <c r="Y150" s="807"/>
      <c r="Z150" s="807"/>
      <c r="AA150" s="807"/>
      <c r="AB150" s="702"/>
      <c r="AC150" s="690">
        <f t="shared" si="80"/>
        <v>0</v>
      </c>
      <c r="AD150" s="689">
        <f t="shared" si="75"/>
        <v>0</v>
      </c>
      <c r="AF150" s="903"/>
      <c r="AG150" s="1362"/>
      <c r="AH150" s="1124"/>
      <c r="AI150" s="1113"/>
      <c r="AJ150" s="904"/>
      <c r="AK150" s="906">
        <f t="shared" si="77"/>
        <v>0</v>
      </c>
      <c r="AL150" s="872"/>
      <c r="AM150" s="1604">
        <f t="shared" si="78"/>
        <v>0</v>
      </c>
    </row>
    <row r="151" spans="1:39" s="808" customFormat="1" ht="15">
      <c r="A151" s="1541" t="s">
        <v>120</v>
      </c>
      <c r="B151" s="516">
        <f t="shared" si="79"/>
        <v>0</v>
      </c>
      <c r="C151" s="95" t="s">
        <v>36</v>
      </c>
      <c r="D151" s="96" t="s">
        <v>865</v>
      </c>
      <c r="E151" s="96" t="s">
        <v>193</v>
      </c>
      <c r="F151" s="96" t="s">
        <v>868</v>
      </c>
      <c r="G151" s="1622" t="s">
        <v>80</v>
      </c>
      <c r="H151" s="652" t="s">
        <v>1388</v>
      </c>
      <c r="I151" s="1755" t="s">
        <v>178</v>
      </c>
      <c r="J151" s="1749"/>
      <c r="K151" s="1750"/>
      <c r="L151" s="1751"/>
      <c r="M151" s="1758"/>
      <c r="N151" s="1751"/>
      <c r="O151" s="1703"/>
      <c r="P151" s="1754"/>
      <c r="Q151" s="806"/>
      <c r="R151" s="807"/>
      <c r="S151" s="807"/>
      <c r="T151" s="807"/>
      <c r="U151" s="807"/>
      <c r="V151" s="807"/>
      <c r="W151" s="807"/>
      <c r="X151" s="807"/>
      <c r="Y151" s="807"/>
      <c r="Z151" s="807"/>
      <c r="AA151" s="807"/>
      <c r="AB151" s="702"/>
      <c r="AC151" s="690">
        <f t="shared" si="80"/>
        <v>0</v>
      </c>
      <c r="AD151" s="689">
        <f t="shared" si="75"/>
        <v>0</v>
      </c>
      <c r="AF151" s="903" t="s">
        <v>349</v>
      </c>
      <c r="AG151" s="1362" t="s">
        <v>520</v>
      </c>
      <c r="AH151" s="1124" t="s">
        <v>178</v>
      </c>
      <c r="AI151" s="1113">
        <f>P151</f>
        <v>0</v>
      </c>
      <c r="AJ151" s="904">
        <f>10840000+2223334-10118333</f>
        <v>2945001</v>
      </c>
      <c r="AK151" s="906">
        <f t="shared" si="77"/>
        <v>2945001</v>
      </c>
      <c r="AL151" s="872"/>
      <c r="AM151" s="1604">
        <f t="shared" si="78"/>
        <v>2945001</v>
      </c>
    </row>
    <row r="152" spans="1:39" s="8" customFormat="1" ht="15">
      <c r="A152" s="202" t="s">
        <v>81</v>
      </c>
      <c r="B152" s="276">
        <f>B115-SUM(B116:B151)</f>
        <v>22401335</v>
      </c>
      <c r="C152" s="84"/>
      <c r="D152" s="809"/>
      <c r="E152" s="809"/>
      <c r="F152" s="809"/>
      <c r="G152" s="2032"/>
      <c r="H152" s="2057"/>
      <c r="I152" s="1769"/>
      <c r="J152" s="1760"/>
      <c r="K152" s="1761"/>
      <c r="L152" s="1688"/>
      <c r="M152" s="1762">
        <f>SUM(M116:M151)</f>
        <v>1447538665</v>
      </c>
      <c r="N152" s="1688"/>
      <c r="O152" s="1762">
        <f>SUM(O116:O151)</f>
        <v>1447538665</v>
      </c>
      <c r="P152" s="1763"/>
      <c r="Q152" s="121">
        <f>SUM(Q116:Q151)</f>
        <v>0</v>
      </c>
      <c r="R152" s="121">
        <f t="shared" ref="R152:AD152" si="81">SUM(R116:R151)</f>
        <v>22977334</v>
      </c>
      <c r="S152" s="121">
        <f t="shared" si="81"/>
        <v>85961000</v>
      </c>
      <c r="T152" s="121">
        <f>SUM(T116:T151)</f>
        <v>109790001</v>
      </c>
      <c r="U152" s="121">
        <f>SUM(U116:U151)</f>
        <v>103567333</v>
      </c>
      <c r="V152" s="121">
        <f>SUM(V116:V151)</f>
        <v>119572667</v>
      </c>
      <c r="W152" s="121">
        <f t="shared" si="81"/>
        <v>130070000</v>
      </c>
      <c r="X152" s="121">
        <f t="shared" si="81"/>
        <v>128610000</v>
      </c>
      <c r="Y152" s="121">
        <f t="shared" si="81"/>
        <v>133110000</v>
      </c>
      <c r="Z152" s="121">
        <f t="shared" si="81"/>
        <v>0</v>
      </c>
      <c r="AA152" s="121">
        <f t="shared" si="81"/>
        <v>0</v>
      </c>
      <c r="AB152" s="121">
        <f t="shared" si="81"/>
        <v>0</v>
      </c>
      <c r="AC152" s="121">
        <f t="shared" si="81"/>
        <v>833658335</v>
      </c>
      <c r="AD152" s="121">
        <f t="shared" si="81"/>
        <v>613880330</v>
      </c>
      <c r="AF152" s="908"/>
      <c r="AG152" s="121"/>
      <c r="AH152" s="121"/>
      <c r="AI152" s="135"/>
      <c r="AJ152" s="121">
        <f>SUM(AJ116:AJ151)</f>
        <v>1469940000</v>
      </c>
      <c r="AK152" s="121">
        <f>SUM(AK116:AK151)</f>
        <v>22401335</v>
      </c>
      <c r="AL152" s="872">
        <f>B115-AJ152</f>
        <v>0</v>
      </c>
      <c r="AM152" s="1414"/>
    </row>
    <row r="153" spans="1:39" s="687" customFormat="1" ht="15">
      <c r="A153" s="800" t="s">
        <v>85</v>
      </c>
      <c r="B153" s="682">
        <f>B154+B195+B200</f>
        <v>1477592185</v>
      </c>
      <c r="C153" s="801"/>
      <c r="D153" s="802"/>
      <c r="E153" s="802"/>
      <c r="F153" s="802"/>
      <c r="G153" s="2033"/>
      <c r="H153" s="2058"/>
      <c r="I153" s="1806"/>
      <c r="J153" s="1807">
        <v>0</v>
      </c>
      <c r="K153" s="1808"/>
      <c r="L153" s="1809"/>
      <c r="M153" s="1810"/>
      <c r="N153" s="1809"/>
      <c r="O153" s="1811"/>
      <c r="P153" s="1812"/>
      <c r="Q153" s="703"/>
      <c r="R153" s="704"/>
      <c r="S153" s="704"/>
      <c r="T153" s="704"/>
      <c r="U153" s="704"/>
      <c r="V153" s="704"/>
      <c r="W153" s="704"/>
      <c r="X153" s="704"/>
      <c r="Y153" s="704"/>
      <c r="Z153" s="704"/>
      <c r="AA153" s="704"/>
      <c r="AB153" s="705"/>
      <c r="AC153" s="703"/>
      <c r="AD153" s="705"/>
      <c r="AF153" s="1251"/>
      <c r="AG153" s="704"/>
      <c r="AH153" s="704"/>
      <c r="AI153" s="704"/>
      <c r="AJ153" s="704"/>
      <c r="AK153" s="705"/>
      <c r="AL153" s="899"/>
      <c r="AM153" s="1603"/>
    </row>
    <row r="154" spans="1:39" s="687" customFormat="1" ht="26.25" customHeight="1">
      <c r="A154" s="800" t="s">
        <v>891</v>
      </c>
      <c r="B154" s="817">
        <f>912000000+208990056+225350591-150000000</f>
        <v>1196340647</v>
      </c>
      <c r="C154" s="1351" t="s">
        <v>36</v>
      </c>
      <c r="D154" s="1352" t="s">
        <v>865</v>
      </c>
      <c r="E154" s="1352" t="s">
        <v>147</v>
      </c>
      <c r="F154" s="1352" t="s">
        <v>868</v>
      </c>
      <c r="G154" s="2034" t="s">
        <v>80</v>
      </c>
      <c r="H154" s="2059" t="s">
        <v>1388</v>
      </c>
      <c r="I154" s="1806"/>
      <c r="J154" s="1807"/>
      <c r="K154" s="1808"/>
      <c r="L154" s="1809"/>
      <c r="M154" s="1810"/>
      <c r="N154" s="1809"/>
      <c r="O154" s="1811"/>
      <c r="P154" s="1812"/>
      <c r="Q154" s="703"/>
      <c r="R154" s="704"/>
      <c r="S154" s="704"/>
      <c r="T154" s="704"/>
      <c r="U154" s="704"/>
      <c r="V154" s="704"/>
      <c r="W154" s="704"/>
      <c r="X154" s="704"/>
      <c r="Y154" s="704"/>
      <c r="Z154" s="704"/>
      <c r="AA154" s="704"/>
      <c r="AB154" s="705"/>
      <c r="AC154" s="703"/>
      <c r="AD154" s="705"/>
      <c r="AF154" s="1251"/>
      <c r="AG154" s="704"/>
      <c r="AH154" s="704"/>
      <c r="AI154" s="704"/>
      <c r="AJ154" s="704"/>
      <c r="AK154" s="705"/>
      <c r="AL154" s="899"/>
      <c r="AM154" s="1603"/>
    </row>
    <row r="155" spans="1:39" s="1361" customFormat="1" ht="20.25" customHeight="1">
      <c r="A155" s="706" t="s">
        <v>913</v>
      </c>
      <c r="B155" s="516">
        <f>M155</f>
        <v>30000000</v>
      </c>
      <c r="C155" s="269" t="s">
        <v>36</v>
      </c>
      <c r="D155" s="270" t="s">
        <v>865</v>
      </c>
      <c r="E155" s="270" t="s">
        <v>147</v>
      </c>
      <c r="F155" s="270" t="s">
        <v>868</v>
      </c>
      <c r="G155" s="1623" t="s">
        <v>80</v>
      </c>
      <c r="H155" s="2060" t="s">
        <v>1388</v>
      </c>
      <c r="I155" s="2048">
        <v>328</v>
      </c>
      <c r="J155" s="1749">
        <v>0</v>
      </c>
      <c r="K155" s="1813"/>
      <c r="L155" s="1751">
        <v>516</v>
      </c>
      <c r="M155" s="1540">
        <v>30000000</v>
      </c>
      <c r="N155" s="1682">
        <v>698</v>
      </c>
      <c r="O155" s="1709">
        <v>30000000</v>
      </c>
      <c r="P155" s="1814">
        <v>416</v>
      </c>
      <c r="Q155" s="688"/>
      <c r="R155" s="507"/>
      <c r="S155" s="507"/>
      <c r="T155" s="507"/>
      <c r="U155" s="507"/>
      <c r="V155" s="507"/>
      <c r="W155" s="507"/>
      <c r="X155" s="507"/>
      <c r="Y155" s="507">
        <v>6960000</v>
      </c>
      <c r="Z155" s="507"/>
      <c r="AA155" s="507"/>
      <c r="AB155" s="702"/>
      <c r="AC155" s="690">
        <f t="shared" ref="AC155" si="82">SUM(Q155:AB155)</f>
        <v>6960000</v>
      </c>
      <c r="AD155" s="689">
        <f t="shared" ref="AD155:AD193" si="83">O155-AC155</f>
        <v>23040000</v>
      </c>
      <c r="AF155" s="1425">
        <v>328</v>
      </c>
      <c r="AG155" s="1362" t="s">
        <v>999</v>
      </c>
      <c r="AH155" s="1456" t="s">
        <v>1074</v>
      </c>
      <c r="AI155" s="1384">
        <f t="shared" ref="AI155:AI193" si="84">P155</f>
        <v>416</v>
      </c>
      <c r="AJ155" s="1426">
        <v>30000000</v>
      </c>
      <c r="AK155" s="1363">
        <f t="shared" ref="AK155:AK193" si="85">AJ155-O155</f>
        <v>0</v>
      </c>
      <c r="AL155" s="1364"/>
      <c r="AM155" s="1604">
        <f t="shared" ref="AM155:AM193" si="86">AJ155-M155</f>
        <v>0</v>
      </c>
    </row>
    <row r="156" spans="1:39" s="687" customFormat="1" ht="15">
      <c r="A156" s="706" t="s">
        <v>913</v>
      </c>
      <c r="B156" s="516">
        <f t="shared" ref="B156:B193" si="87">M156</f>
        <v>208587428</v>
      </c>
      <c r="C156" s="269" t="s">
        <v>36</v>
      </c>
      <c r="D156" s="270" t="s">
        <v>865</v>
      </c>
      <c r="E156" s="270" t="s">
        <v>183</v>
      </c>
      <c r="F156" s="270" t="s">
        <v>868</v>
      </c>
      <c r="G156" s="1623" t="s">
        <v>80</v>
      </c>
      <c r="H156" s="2060" t="s">
        <v>1388</v>
      </c>
      <c r="I156" s="2046">
        <v>329</v>
      </c>
      <c r="J156" s="1749">
        <v>1</v>
      </c>
      <c r="K156" s="1813"/>
      <c r="L156" s="1751">
        <v>493</v>
      </c>
      <c r="M156" s="1758">
        <v>208587428</v>
      </c>
      <c r="N156" s="1692">
        <v>723</v>
      </c>
      <c r="O156" s="1758">
        <v>208587428</v>
      </c>
      <c r="P156" s="1754">
        <v>429</v>
      </c>
      <c r="Q156" s="688"/>
      <c r="R156" s="507"/>
      <c r="S156" s="507"/>
      <c r="T156" s="507"/>
      <c r="U156" s="507"/>
      <c r="V156" s="507"/>
      <c r="W156" s="507"/>
      <c r="X156" s="507"/>
      <c r="Y156" s="507">
        <v>25845150</v>
      </c>
      <c r="Z156" s="507"/>
      <c r="AA156" s="507"/>
      <c r="AB156" s="702"/>
      <c r="AC156" s="690">
        <f t="shared" ref="AC156:AC193" si="88">SUM(Q156:AB156)</f>
        <v>25845150</v>
      </c>
      <c r="AD156" s="689">
        <f t="shared" si="83"/>
        <v>182742278</v>
      </c>
      <c r="AF156" s="903">
        <v>329</v>
      </c>
      <c r="AG156" s="1362" t="s">
        <v>244</v>
      </c>
      <c r="AH156" s="1124" t="s">
        <v>1225</v>
      </c>
      <c r="AI156" s="1113">
        <f t="shared" si="84"/>
        <v>429</v>
      </c>
      <c r="AJ156" s="904">
        <f>170048947+38539109</f>
        <v>208588056</v>
      </c>
      <c r="AK156" s="906">
        <f t="shared" si="85"/>
        <v>628</v>
      </c>
      <c r="AL156" s="899"/>
      <c r="AM156" s="1604">
        <f t="shared" si="86"/>
        <v>628</v>
      </c>
    </row>
    <row r="157" spans="1:39" s="687" customFormat="1" ht="15">
      <c r="A157" s="706" t="s">
        <v>913</v>
      </c>
      <c r="B157" s="516">
        <f t="shared" si="87"/>
        <v>35640000</v>
      </c>
      <c r="C157" s="269" t="s">
        <v>36</v>
      </c>
      <c r="D157" s="270" t="s">
        <v>865</v>
      </c>
      <c r="E157" s="270" t="s">
        <v>184</v>
      </c>
      <c r="F157" s="270" t="s">
        <v>868</v>
      </c>
      <c r="G157" s="1623" t="s">
        <v>80</v>
      </c>
      <c r="H157" s="2060" t="s">
        <v>1388</v>
      </c>
      <c r="I157" s="2046">
        <v>330</v>
      </c>
      <c r="J157" s="1749">
        <v>2</v>
      </c>
      <c r="K157" s="1813"/>
      <c r="L157" s="1751">
        <v>197</v>
      </c>
      <c r="M157" s="1758">
        <v>35640000</v>
      </c>
      <c r="N157" s="1692">
        <v>199</v>
      </c>
      <c r="O157" s="1703">
        <v>35640000</v>
      </c>
      <c r="P157" s="1754">
        <v>199</v>
      </c>
      <c r="Q157" s="688"/>
      <c r="R157" s="507"/>
      <c r="S157" s="507">
        <f>VLOOKUP(N157,[9]Hoja2!N$2:T$77,7,0)</f>
        <v>3240000</v>
      </c>
      <c r="T157" s="507">
        <v>3240000</v>
      </c>
      <c r="U157" s="507">
        <v>3240000</v>
      </c>
      <c r="V157" s="507">
        <v>3240000</v>
      </c>
      <c r="W157" s="507">
        <v>3240000</v>
      </c>
      <c r="X157" s="507">
        <v>3240000</v>
      </c>
      <c r="Y157" s="507">
        <v>3240000</v>
      </c>
      <c r="Z157" s="507"/>
      <c r="AA157" s="507"/>
      <c r="AB157" s="702"/>
      <c r="AC157" s="690">
        <f t="shared" si="88"/>
        <v>22680000</v>
      </c>
      <c r="AD157" s="689">
        <f t="shared" si="83"/>
        <v>12960000</v>
      </c>
      <c r="AF157" s="903">
        <v>330</v>
      </c>
      <c r="AG157" s="1362" t="s">
        <v>245</v>
      </c>
      <c r="AH157" s="1124" t="s">
        <v>531</v>
      </c>
      <c r="AI157" s="1113">
        <f t="shared" si="84"/>
        <v>199</v>
      </c>
      <c r="AJ157" s="904">
        <v>35640000</v>
      </c>
      <c r="AK157" s="906">
        <f t="shared" si="85"/>
        <v>0</v>
      </c>
      <c r="AL157" s="899"/>
      <c r="AM157" s="1604">
        <f t="shared" si="86"/>
        <v>0</v>
      </c>
    </row>
    <row r="158" spans="1:39" s="687" customFormat="1" ht="15">
      <c r="A158" s="706" t="s">
        <v>913</v>
      </c>
      <c r="B158" s="516">
        <f t="shared" si="87"/>
        <v>32120000</v>
      </c>
      <c r="C158" s="269" t="s">
        <v>36</v>
      </c>
      <c r="D158" s="270" t="s">
        <v>865</v>
      </c>
      <c r="E158" s="270" t="s">
        <v>188</v>
      </c>
      <c r="F158" s="270" t="s">
        <v>868</v>
      </c>
      <c r="G158" s="1623" t="s">
        <v>80</v>
      </c>
      <c r="H158" s="2060" t="s">
        <v>1388</v>
      </c>
      <c r="I158" s="2046">
        <v>331</v>
      </c>
      <c r="J158" s="1749">
        <v>3</v>
      </c>
      <c r="K158" s="1813"/>
      <c r="L158" s="1751">
        <v>134</v>
      </c>
      <c r="M158" s="1758">
        <v>32120000</v>
      </c>
      <c r="N158" s="1692">
        <v>143</v>
      </c>
      <c r="O158" s="1703">
        <v>32120000</v>
      </c>
      <c r="P158" s="1754">
        <v>118</v>
      </c>
      <c r="Q158" s="688"/>
      <c r="R158" s="507">
        <v>778667</v>
      </c>
      <c r="S158" s="507">
        <f>VLOOKUP(N158,[9]Hoja2!N$2:T$77,7,0)</f>
        <v>2920000</v>
      </c>
      <c r="T158" s="507">
        <v>2920000</v>
      </c>
      <c r="U158" s="507">
        <v>2920000</v>
      </c>
      <c r="V158" s="507">
        <v>2920000</v>
      </c>
      <c r="W158" s="507">
        <v>2920000</v>
      </c>
      <c r="X158" s="507">
        <v>2920000</v>
      </c>
      <c r="Y158" s="507">
        <v>2920000</v>
      </c>
      <c r="Z158" s="507"/>
      <c r="AA158" s="507"/>
      <c r="AB158" s="702"/>
      <c r="AC158" s="690">
        <f t="shared" si="88"/>
        <v>21218667</v>
      </c>
      <c r="AD158" s="689">
        <f t="shared" si="83"/>
        <v>10901333</v>
      </c>
      <c r="AF158" s="903">
        <v>331</v>
      </c>
      <c r="AG158" s="1362" t="s">
        <v>246</v>
      </c>
      <c r="AH158" s="1124" t="s">
        <v>532</v>
      </c>
      <c r="AI158" s="1113">
        <f t="shared" si="84"/>
        <v>118</v>
      </c>
      <c r="AJ158" s="904">
        <v>32120000</v>
      </c>
      <c r="AK158" s="906">
        <f t="shared" si="85"/>
        <v>0</v>
      </c>
      <c r="AL158" s="899"/>
      <c r="AM158" s="1604">
        <f t="shared" si="86"/>
        <v>0</v>
      </c>
    </row>
    <row r="159" spans="1:39" s="687" customFormat="1" ht="15">
      <c r="A159" s="706" t="s">
        <v>913</v>
      </c>
      <c r="B159" s="516">
        <f t="shared" si="87"/>
        <v>28930000</v>
      </c>
      <c r="C159" s="269" t="s">
        <v>36</v>
      </c>
      <c r="D159" s="270" t="s">
        <v>865</v>
      </c>
      <c r="E159" s="270" t="s">
        <v>189</v>
      </c>
      <c r="F159" s="270" t="s">
        <v>868</v>
      </c>
      <c r="G159" s="1623" t="s">
        <v>80</v>
      </c>
      <c r="H159" s="2060" t="s">
        <v>1388</v>
      </c>
      <c r="I159" s="2046">
        <v>332</v>
      </c>
      <c r="J159" s="1749">
        <v>4</v>
      </c>
      <c r="K159" s="1813"/>
      <c r="L159" s="1751">
        <v>198</v>
      </c>
      <c r="M159" s="1758">
        <v>28930000</v>
      </c>
      <c r="N159" s="1692">
        <v>197</v>
      </c>
      <c r="O159" s="1703">
        <v>28930000</v>
      </c>
      <c r="P159" s="1754">
        <v>191</v>
      </c>
      <c r="Q159" s="688"/>
      <c r="R159" s="507"/>
      <c r="S159" s="507">
        <f>VLOOKUP(N159,[9]Hoja2!N$2:T$77,7,0)</f>
        <v>2630000</v>
      </c>
      <c r="T159" s="507">
        <v>2630000</v>
      </c>
      <c r="U159" s="507">
        <v>2630000</v>
      </c>
      <c r="V159" s="507">
        <v>2630000</v>
      </c>
      <c r="W159" s="507">
        <v>2630000</v>
      </c>
      <c r="X159" s="507">
        <v>2630000</v>
      </c>
      <c r="Y159" s="507">
        <v>2630000</v>
      </c>
      <c r="Z159" s="507"/>
      <c r="AA159" s="507"/>
      <c r="AB159" s="702"/>
      <c r="AC159" s="690">
        <f t="shared" si="88"/>
        <v>18410000</v>
      </c>
      <c r="AD159" s="689">
        <f t="shared" si="83"/>
        <v>10520000</v>
      </c>
      <c r="AF159" s="903">
        <v>332</v>
      </c>
      <c r="AG159" s="1362" t="s">
        <v>247</v>
      </c>
      <c r="AH159" s="1124" t="s">
        <v>533</v>
      </c>
      <c r="AI159" s="1113">
        <f t="shared" si="84"/>
        <v>191</v>
      </c>
      <c r="AJ159" s="904">
        <v>28930000</v>
      </c>
      <c r="AK159" s="906">
        <f t="shared" si="85"/>
        <v>0</v>
      </c>
      <c r="AL159" s="899"/>
      <c r="AM159" s="1604">
        <f t="shared" si="86"/>
        <v>0</v>
      </c>
    </row>
    <row r="160" spans="1:39" s="687" customFormat="1" ht="15">
      <c r="A160" s="706" t="s">
        <v>913</v>
      </c>
      <c r="B160" s="516">
        <f t="shared" si="87"/>
        <v>28930000</v>
      </c>
      <c r="C160" s="269" t="s">
        <v>36</v>
      </c>
      <c r="D160" s="270" t="s">
        <v>865</v>
      </c>
      <c r="E160" s="270" t="s">
        <v>190</v>
      </c>
      <c r="F160" s="270" t="s">
        <v>868</v>
      </c>
      <c r="G160" s="1623" t="s">
        <v>80</v>
      </c>
      <c r="H160" s="2060" t="s">
        <v>1388</v>
      </c>
      <c r="I160" s="2046">
        <v>333</v>
      </c>
      <c r="J160" s="1749">
        <v>5</v>
      </c>
      <c r="K160" s="1813"/>
      <c r="L160" s="1751">
        <v>199</v>
      </c>
      <c r="M160" s="1758">
        <v>28930000</v>
      </c>
      <c r="N160" s="1692">
        <v>214</v>
      </c>
      <c r="O160" s="1703">
        <v>28930000</v>
      </c>
      <c r="P160" s="1754">
        <v>197</v>
      </c>
      <c r="Q160" s="688"/>
      <c r="R160" s="507"/>
      <c r="S160" s="507">
        <f>VLOOKUP(N160,[9]Hoja2!N$2:T$77,7,0)</f>
        <v>2630000</v>
      </c>
      <c r="T160" s="507">
        <v>2630000</v>
      </c>
      <c r="U160" s="507">
        <v>2630000</v>
      </c>
      <c r="V160" s="507">
        <v>2630000</v>
      </c>
      <c r="W160" s="507">
        <v>2630000</v>
      </c>
      <c r="X160" s="507">
        <v>2630000</v>
      </c>
      <c r="Y160" s="507">
        <v>2630000</v>
      </c>
      <c r="Z160" s="507"/>
      <c r="AA160" s="507"/>
      <c r="AB160" s="702"/>
      <c r="AC160" s="690">
        <f t="shared" si="88"/>
        <v>18410000</v>
      </c>
      <c r="AD160" s="689">
        <f t="shared" si="83"/>
        <v>10520000</v>
      </c>
      <c r="AF160" s="903">
        <v>333</v>
      </c>
      <c r="AG160" s="1362" t="s">
        <v>247</v>
      </c>
      <c r="AH160" s="1124" t="s">
        <v>763</v>
      </c>
      <c r="AI160" s="1113">
        <f t="shared" si="84"/>
        <v>197</v>
      </c>
      <c r="AJ160" s="904">
        <v>28930000</v>
      </c>
      <c r="AK160" s="906">
        <f t="shared" si="85"/>
        <v>0</v>
      </c>
      <c r="AL160" s="899"/>
      <c r="AM160" s="1604">
        <f t="shared" si="86"/>
        <v>0</v>
      </c>
    </row>
    <row r="161" spans="1:39" s="687" customFormat="1" ht="15">
      <c r="A161" s="706" t="s">
        <v>913</v>
      </c>
      <c r="B161" s="516">
        <f t="shared" si="87"/>
        <v>21670000</v>
      </c>
      <c r="C161" s="269" t="s">
        <v>36</v>
      </c>
      <c r="D161" s="270" t="s">
        <v>865</v>
      </c>
      <c r="E161" s="270" t="s">
        <v>191</v>
      </c>
      <c r="F161" s="270" t="s">
        <v>868</v>
      </c>
      <c r="G161" s="1623" t="s">
        <v>80</v>
      </c>
      <c r="H161" s="2060" t="s">
        <v>1388</v>
      </c>
      <c r="I161" s="2046">
        <v>334</v>
      </c>
      <c r="J161" s="1749">
        <v>6</v>
      </c>
      <c r="K161" s="1813"/>
      <c r="L161" s="1751">
        <v>200</v>
      </c>
      <c r="M161" s="1758">
        <v>21670000</v>
      </c>
      <c r="N161" s="1692">
        <v>209</v>
      </c>
      <c r="O161" s="1703">
        <v>21670000</v>
      </c>
      <c r="P161" s="1754">
        <v>202</v>
      </c>
      <c r="Q161" s="688"/>
      <c r="R161" s="507"/>
      <c r="S161" s="507">
        <f>VLOOKUP(N161,[9]Hoja2!N$2:T$77,7,0)</f>
        <v>1773000</v>
      </c>
      <c r="T161" s="507">
        <v>1970000</v>
      </c>
      <c r="U161" s="507">
        <v>1970000</v>
      </c>
      <c r="V161" s="507">
        <v>1970000</v>
      </c>
      <c r="W161" s="507">
        <v>1970000</v>
      </c>
      <c r="X161" s="507">
        <v>1970000</v>
      </c>
      <c r="Y161" s="507">
        <v>1970000</v>
      </c>
      <c r="Z161" s="507"/>
      <c r="AA161" s="507"/>
      <c r="AB161" s="702"/>
      <c r="AC161" s="690">
        <f t="shared" si="88"/>
        <v>13593000</v>
      </c>
      <c r="AD161" s="689">
        <f t="shared" si="83"/>
        <v>8077000</v>
      </c>
      <c r="AF161" s="903">
        <v>334</v>
      </c>
      <c r="AG161" s="1362" t="s">
        <v>248</v>
      </c>
      <c r="AH161" s="1124" t="s">
        <v>534</v>
      </c>
      <c r="AI161" s="1113">
        <f t="shared" si="84"/>
        <v>202</v>
      </c>
      <c r="AJ161" s="904">
        <v>21670000</v>
      </c>
      <c r="AK161" s="906">
        <f t="shared" si="85"/>
        <v>0</v>
      </c>
      <c r="AL161" s="899"/>
      <c r="AM161" s="1604">
        <f t="shared" si="86"/>
        <v>0</v>
      </c>
    </row>
    <row r="162" spans="1:39" s="687" customFormat="1" ht="15">
      <c r="A162" s="706" t="s">
        <v>913</v>
      </c>
      <c r="B162" s="516">
        <f t="shared" si="87"/>
        <v>21670000</v>
      </c>
      <c r="C162" s="269" t="s">
        <v>36</v>
      </c>
      <c r="D162" s="270" t="s">
        <v>865</v>
      </c>
      <c r="E162" s="270" t="s">
        <v>192</v>
      </c>
      <c r="F162" s="270" t="s">
        <v>868</v>
      </c>
      <c r="G162" s="1623" t="s">
        <v>80</v>
      </c>
      <c r="H162" s="2060" t="s">
        <v>1388</v>
      </c>
      <c r="I162" s="2046">
        <v>335</v>
      </c>
      <c r="J162" s="1749">
        <v>7</v>
      </c>
      <c r="K162" s="1813"/>
      <c r="L162" s="1751">
        <v>201</v>
      </c>
      <c r="M162" s="1758">
        <v>21670000</v>
      </c>
      <c r="N162" s="1692">
        <v>210</v>
      </c>
      <c r="O162" s="1703">
        <v>21670000</v>
      </c>
      <c r="P162" s="1754">
        <v>206</v>
      </c>
      <c r="Q162" s="688"/>
      <c r="R162" s="507"/>
      <c r="S162" s="507">
        <f>VLOOKUP(N162,[9]Hoja2!N$2:T$77,7,0)</f>
        <v>1970000</v>
      </c>
      <c r="T162" s="507">
        <v>1970000</v>
      </c>
      <c r="U162" s="507">
        <v>1970000</v>
      </c>
      <c r="V162" s="507">
        <v>1970000</v>
      </c>
      <c r="W162" s="507">
        <v>1970000</v>
      </c>
      <c r="X162" s="507">
        <v>1970000</v>
      </c>
      <c r="Y162" s="507">
        <v>1970000</v>
      </c>
      <c r="Z162" s="507"/>
      <c r="AA162" s="507"/>
      <c r="AB162" s="702"/>
      <c r="AC162" s="690">
        <f t="shared" si="88"/>
        <v>13790000</v>
      </c>
      <c r="AD162" s="689">
        <f t="shared" si="83"/>
        <v>7880000</v>
      </c>
      <c r="AF162" s="903">
        <v>335</v>
      </c>
      <c r="AG162" s="1362" t="s">
        <v>248</v>
      </c>
      <c r="AH162" s="1124" t="s">
        <v>535</v>
      </c>
      <c r="AI162" s="1113">
        <f t="shared" si="84"/>
        <v>206</v>
      </c>
      <c r="AJ162" s="904">
        <v>21670000</v>
      </c>
      <c r="AK162" s="906">
        <f t="shared" si="85"/>
        <v>0</v>
      </c>
      <c r="AL162" s="899"/>
      <c r="AM162" s="1604">
        <f t="shared" si="86"/>
        <v>0</v>
      </c>
    </row>
    <row r="163" spans="1:39" s="687" customFormat="1" ht="15">
      <c r="A163" s="706" t="s">
        <v>913</v>
      </c>
      <c r="B163" s="516">
        <f t="shared" si="87"/>
        <v>21670000</v>
      </c>
      <c r="C163" s="269" t="s">
        <v>36</v>
      </c>
      <c r="D163" s="270" t="s">
        <v>865</v>
      </c>
      <c r="E163" s="270" t="s">
        <v>193</v>
      </c>
      <c r="F163" s="270" t="s">
        <v>868</v>
      </c>
      <c r="G163" s="1623" t="s">
        <v>80</v>
      </c>
      <c r="H163" s="2060" t="s">
        <v>1388</v>
      </c>
      <c r="I163" s="2046">
        <v>336</v>
      </c>
      <c r="J163" s="1749">
        <v>8</v>
      </c>
      <c r="K163" s="1813"/>
      <c r="L163" s="1751">
        <v>202</v>
      </c>
      <c r="M163" s="1758">
        <v>21670000</v>
      </c>
      <c r="N163" s="1692">
        <v>201</v>
      </c>
      <c r="O163" s="1703">
        <v>21670000</v>
      </c>
      <c r="P163" s="1754">
        <v>207</v>
      </c>
      <c r="Q163" s="688"/>
      <c r="R163" s="507"/>
      <c r="S163" s="507">
        <f>VLOOKUP(N163,[9]Hoja2!N$2:T$77,7,0)</f>
        <v>1970000</v>
      </c>
      <c r="T163" s="507">
        <v>1970000</v>
      </c>
      <c r="U163" s="507">
        <v>1970000</v>
      </c>
      <c r="V163" s="507">
        <v>1970000</v>
      </c>
      <c r="W163" s="507">
        <v>1970000</v>
      </c>
      <c r="X163" s="507">
        <v>1970000</v>
      </c>
      <c r="Y163" s="507">
        <v>1970000</v>
      </c>
      <c r="Z163" s="507"/>
      <c r="AA163" s="507"/>
      <c r="AB163" s="702"/>
      <c r="AC163" s="690">
        <f t="shared" si="88"/>
        <v>13790000</v>
      </c>
      <c r="AD163" s="689">
        <f t="shared" si="83"/>
        <v>7880000</v>
      </c>
      <c r="AF163" s="903">
        <v>336</v>
      </c>
      <c r="AG163" s="1362" t="s">
        <v>248</v>
      </c>
      <c r="AH163" s="1124" t="s">
        <v>536</v>
      </c>
      <c r="AI163" s="1113">
        <f t="shared" si="84"/>
        <v>207</v>
      </c>
      <c r="AJ163" s="904">
        <v>21670000</v>
      </c>
      <c r="AK163" s="906">
        <f t="shared" si="85"/>
        <v>0</v>
      </c>
      <c r="AL163" s="899"/>
      <c r="AM163" s="1604">
        <f t="shared" si="86"/>
        <v>0</v>
      </c>
    </row>
    <row r="164" spans="1:39" s="687" customFormat="1" ht="15">
      <c r="A164" s="706" t="s">
        <v>913</v>
      </c>
      <c r="B164" s="516">
        <f t="shared" si="87"/>
        <v>21670000</v>
      </c>
      <c r="C164" s="269" t="s">
        <v>36</v>
      </c>
      <c r="D164" s="270" t="s">
        <v>865</v>
      </c>
      <c r="E164" s="270" t="s">
        <v>194</v>
      </c>
      <c r="F164" s="270" t="s">
        <v>868</v>
      </c>
      <c r="G164" s="1623" t="s">
        <v>80</v>
      </c>
      <c r="H164" s="2060" t="s">
        <v>1388</v>
      </c>
      <c r="I164" s="2046">
        <v>337</v>
      </c>
      <c r="J164" s="1749">
        <v>9</v>
      </c>
      <c r="K164" s="1813"/>
      <c r="L164" s="1751">
        <v>203</v>
      </c>
      <c r="M164" s="1758">
        <v>21670000</v>
      </c>
      <c r="N164" s="1692">
        <v>200</v>
      </c>
      <c r="O164" s="1703">
        <v>21670000</v>
      </c>
      <c r="P164" s="1754">
        <v>201</v>
      </c>
      <c r="Q164" s="688"/>
      <c r="R164" s="507"/>
      <c r="S164" s="507">
        <f>VLOOKUP(N164,[9]Hoja2!N$2:T$77,7,0)</f>
        <v>1970000</v>
      </c>
      <c r="T164" s="507">
        <v>1970000</v>
      </c>
      <c r="U164" s="507">
        <v>1970000</v>
      </c>
      <c r="V164" s="507">
        <v>1970000</v>
      </c>
      <c r="W164" s="507">
        <v>1970000</v>
      </c>
      <c r="X164" s="507">
        <v>1970000</v>
      </c>
      <c r="Y164" s="507">
        <v>1970000</v>
      </c>
      <c r="Z164" s="507"/>
      <c r="AA164" s="507"/>
      <c r="AB164" s="702"/>
      <c r="AC164" s="690">
        <f t="shared" si="88"/>
        <v>13790000</v>
      </c>
      <c r="AD164" s="689">
        <f t="shared" si="83"/>
        <v>7880000</v>
      </c>
      <c r="AF164" s="903">
        <v>337</v>
      </c>
      <c r="AG164" s="1362" t="s">
        <v>248</v>
      </c>
      <c r="AH164" s="1124" t="s">
        <v>537</v>
      </c>
      <c r="AI164" s="1113">
        <f t="shared" si="84"/>
        <v>201</v>
      </c>
      <c r="AJ164" s="904">
        <v>21670000</v>
      </c>
      <c r="AK164" s="906">
        <f t="shared" si="85"/>
        <v>0</v>
      </c>
      <c r="AL164" s="899"/>
      <c r="AM164" s="1604">
        <f t="shared" si="86"/>
        <v>0</v>
      </c>
    </row>
    <row r="165" spans="1:39" s="687" customFormat="1" ht="15">
      <c r="A165" s="706" t="s">
        <v>913</v>
      </c>
      <c r="B165" s="516">
        <f t="shared" si="87"/>
        <v>21670000</v>
      </c>
      <c r="C165" s="269" t="s">
        <v>36</v>
      </c>
      <c r="D165" s="270" t="s">
        <v>865</v>
      </c>
      <c r="E165" s="270" t="s">
        <v>195</v>
      </c>
      <c r="F165" s="270" t="s">
        <v>868</v>
      </c>
      <c r="G165" s="1623" t="s">
        <v>80</v>
      </c>
      <c r="H165" s="2060" t="s">
        <v>1388</v>
      </c>
      <c r="I165" s="2046">
        <v>338</v>
      </c>
      <c r="J165" s="1749">
        <v>10</v>
      </c>
      <c r="K165" s="1813"/>
      <c r="L165" s="1751">
        <v>204</v>
      </c>
      <c r="M165" s="1758">
        <v>21670000</v>
      </c>
      <c r="N165" s="1692">
        <v>208</v>
      </c>
      <c r="O165" s="1703">
        <v>21670000</v>
      </c>
      <c r="P165" s="1754">
        <v>204</v>
      </c>
      <c r="Q165" s="688"/>
      <c r="R165" s="507"/>
      <c r="S165" s="507">
        <f>VLOOKUP(N165,[9]Hoja2!N$2:T$77,7,0)</f>
        <v>1773000</v>
      </c>
      <c r="T165" s="507">
        <v>1970000</v>
      </c>
      <c r="U165" s="507">
        <v>1970000</v>
      </c>
      <c r="V165" s="507">
        <v>1970000</v>
      </c>
      <c r="W165" s="507">
        <v>1970000</v>
      </c>
      <c r="X165" s="507">
        <v>1970000</v>
      </c>
      <c r="Y165" s="507">
        <v>1970000</v>
      </c>
      <c r="Z165" s="507"/>
      <c r="AA165" s="507"/>
      <c r="AB165" s="702"/>
      <c r="AC165" s="690">
        <f t="shared" si="88"/>
        <v>13593000</v>
      </c>
      <c r="AD165" s="689">
        <f t="shared" si="83"/>
        <v>8077000</v>
      </c>
      <c r="AF165" s="903">
        <v>338</v>
      </c>
      <c r="AG165" s="1362" t="s">
        <v>248</v>
      </c>
      <c r="AH165" s="1124" t="s">
        <v>538</v>
      </c>
      <c r="AI165" s="1113">
        <f t="shared" si="84"/>
        <v>204</v>
      </c>
      <c r="AJ165" s="904">
        <v>21670000</v>
      </c>
      <c r="AK165" s="906">
        <f t="shared" si="85"/>
        <v>0</v>
      </c>
      <c r="AL165" s="899"/>
      <c r="AM165" s="1604">
        <f t="shared" si="86"/>
        <v>0</v>
      </c>
    </row>
    <row r="166" spans="1:39" s="687" customFormat="1" ht="15">
      <c r="A166" s="706" t="s">
        <v>913</v>
      </c>
      <c r="B166" s="516">
        <f t="shared" si="87"/>
        <v>21670000</v>
      </c>
      <c r="C166" s="269" t="s">
        <v>36</v>
      </c>
      <c r="D166" s="270" t="s">
        <v>865</v>
      </c>
      <c r="E166" s="270" t="s">
        <v>196</v>
      </c>
      <c r="F166" s="270" t="s">
        <v>868</v>
      </c>
      <c r="G166" s="1623" t="s">
        <v>80</v>
      </c>
      <c r="H166" s="2060" t="s">
        <v>1388</v>
      </c>
      <c r="I166" s="2046">
        <v>339</v>
      </c>
      <c r="J166" s="1749">
        <v>11</v>
      </c>
      <c r="K166" s="1813"/>
      <c r="L166" s="1751">
        <v>205</v>
      </c>
      <c r="M166" s="1758">
        <v>21670000</v>
      </c>
      <c r="N166" s="1692">
        <v>206</v>
      </c>
      <c r="O166" s="1703">
        <v>21670000</v>
      </c>
      <c r="P166" s="1754">
        <v>198</v>
      </c>
      <c r="Q166" s="688"/>
      <c r="R166" s="507"/>
      <c r="S166" s="507">
        <f>VLOOKUP(N166,[9]Hoja2!N$2:T$77,7,0)</f>
        <v>1970000</v>
      </c>
      <c r="T166" s="507">
        <v>1970000</v>
      </c>
      <c r="U166" s="507">
        <v>1970000</v>
      </c>
      <c r="V166" s="507">
        <v>1970000</v>
      </c>
      <c r="W166" s="507">
        <v>1970000</v>
      </c>
      <c r="X166" s="507">
        <v>1970000</v>
      </c>
      <c r="Y166" s="507">
        <v>1970000</v>
      </c>
      <c r="Z166" s="507"/>
      <c r="AA166" s="507"/>
      <c r="AB166" s="702"/>
      <c r="AC166" s="690">
        <f t="shared" si="88"/>
        <v>13790000</v>
      </c>
      <c r="AD166" s="689">
        <f t="shared" si="83"/>
        <v>7880000</v>
      </c>
      <c r="AF166" s="903">
        <v>339</v>
      </c>
      <c r="AG166" s="1362" t="s">
        <v>248</v>
      </c>
      <c r="AH166" s="1124" t="s">
        <v>539</v>
      </c>
      <c r="AI166" s="1113">
        <f t="shared" si="84"/>
        <v>198</v>
      </c>
      <c r="AJ166" s="904">
        <v>21670000</v>
      </c>
      <c r="AK166" s="906">
        <f t="shared" si="85"/>
        <v>0</v>
      </c>
      <c r="AL166" s="899"/>
      <c r="AM166" s="1604">
        <f t="shared" si="86"/>
        <v>0</v>
      </c>
    </row>
    <row r="167" spans="1:39" s="687" customFormat="1" ht="15">
      <c r="A167" s="706" t="s">
        <v>913</v>
      </c>
      <c r="B167" s="516">
        <f t="shared" si="87"/>
        <v>18715000</v>
      </c>
      <c r="C167" s="269" t="s">
        <v>36</v>
      </c>
      <c r="D167" s="270" t="s">
        <v>865</v>
      </c>
      <c r="E167" s="270" t="s">
        <v>197</v>
      </c>
      <c r="F167" s="270" t="s">
        <v>868</v>
      </c>
      <c r="G167" s="1623" t="s">
        <v>80</v>
      </c>
      <c r="H167" s="2060" t="s">
        <v>1388</v>
      </c>
      <c r="I167" s="2046">
        <v>340</v>
      </c>
      <c r="J167" s="1749">
        <v>12</v>
      </c>
      <c r="K167" s="1813"/>
      <c r="L167" s="1751">
        <v>354</v>
      </c>
      <c r="M167" s="1758">
        <v>18715000</v>
      </c>
      <c r="N167" s="1682">
        <v>371</v>
      </c>
      <c r="O167" s="1703">
        <v>18715000</v>
      </c>
      <c r="P167" s="1805">
        <v>292</v>
      </c>
      <c r="Q167" s="688"/>
      <c r="R167" s="507"/>
      <c r="S167" s="507"/>
      <c r="T167" s="507">
        <v>1050667</v>
      </c>
      <c r="U167" s="507">
        <v>1970000</v>
      </c>
      <c r="V167" s="507">
        <v>1970000</v>
      </c>
      <c r="W167" s="507">
        <v>1970000</v>
      </c>
      <c r="X167" s="507">
        <v>1970000</v>
      </c>
      <c r="Y167" s="507">
        <v>1970000</v>
      </c>
      <c r="Z167" s="507"/>
      <c r="AA167" s="507"/>
      <c r="AB167" s="702"/>
      <c r="AC167" s="690">
        <f t="shared" si="88"/>
        <v>10900667</v>
      </c>
      <c r="AD167" s="689">
        <f t="shared" si="83"/>
        <v>7814333</v>
      </c>
      <c r="AF167" s="903">
        <v>340</v>
      </c>
      <c r="AG167" s="1362" t="s">
        <v>248</v>
      </c>
      <c r="AH167" s="1124" t="s">
        <v>841</v>
      </c>
      <c r="AI167" s="1113">
        <f t="shared" si="84"/>
        <v>292</v>
      </c>
      <c r="AJ167" s="904">
        <v>21670000</v>
      </c>
      <c r="AK167" s="906">
        <f t="shared" si="85"/>
        <v>2955000</v>
      </c>
      <c r="AL167" s="899"/>
      <c r="AM167" s="1604">
        <f t="shared" si="86"/>
        <v>2955000</v>
      </c>
    </row>
    <row r="168" spans="1:39" s="687" customFormat="1" ht="15">
      <c r="A168" s="706" t="s">
        <v>913</v>
      </c>
      <c r="B168" s="516">
        <f t="shared" si="87"/>
        <v>48200000</v>
      </c>
      <c r="C168" s="269" t="s">
        <v>36</v>
      </c>
      <c r="D168" s="270" t="s">
        <v>865</v>
      </c>
      <c r="E168" s="270" t="s">
        <v>198</v>
      </c>
      <c r="F168" s="270" t="s">
        <v>868</v>
      </c>
      <c r="G168" s="1623" t="s">
        <v>80</v>
      </c>
      <c r="H168" s="2060" t="s">
        <v>1388</v>
      </c>
      <c r="I168" s="2046">
        <v>341</v>
      </c>
      <c r="J168" s="1749">
        <v>13</v>
      </c>
      <c r="K168" s="1813"/>
      <c r="L168" s="1751">
        <v>321</v>
      </c>
      <c r="M168" s="1758">
        <v>48200000</v>
      </c>
      <c r="N168" s="1692">
        <v>331</v>
      </c>
      <c r="O168" s="1703">
        <v>48200000</v>
      </c>
      <c r="P168" s="1754">
        <v>280</v>
      </c>
      <c r="Q168" s="688"/>
      <c r="R168" s="507"/>
      <c r="S168" s="507"/>
      <c r="T168" s="507">
        <v>4177333</v>
      </c>
      <c r="U168" s="507">
        <v>4820000</v>
      </c>
      <c r="V168" s="507">
        <v>4820000</v>
      </c>
      <c r="W168" s="507">
        <v>4820000</v>
      </c>
      <c r="X168" s="507">
        <v>4820000</v>
      </c>
      <c r="Y168" s="507">
        <v>4820000</v>
      </c>
      <c r="Z168" s="507"/>
      <c r="AA168" s="507"/>
      <c r="AB168" s="702"/>
      <c r="AC168" s="690">
        <f t="shared" si="88"/>
        <v>28277333</v>
      </c>
      <c r="AD168" s="689">
        <f t="shared" si="83"/>
        <v>19922667</v>
      </c>
      <c r="AF168" s="903">
        <v>341</v>
      </c>
      <c r="AG168" s="1362" t="s">
        <v>249</v>
      </c>
      <c r="AH168" s="1124" t="s">
        <v>827</v>
      </c>
      <c r="AI168" s="1113">
        <f t="shared" si="84"/>
        <v>280</v>
      </c>
      <c r="AJ168" s="904">
        <v>53020000</v>
      </c>
      <c r="AK168" s="906">
        <f t="shared" si="85"/>
        <v>4820000</v>
      </c>
      <c r="AL168" s="899"/>
      <c r="AM168" s="1604">
        <f t="shared" si="86"/>
        <v>4820000</v>
      </c>
    </row>
    <row r="169" spans="1:39" s="687" customFormat="1" ht="15">
      <c r="A169" s="706" t="s">
        <v>913</v>
      </c>
      <c r="B169" s="516">
        <f t="shared" si="87"/>
        <v>59180000</v>
      </c>
      <c r="C169" s="269" t="s">
        <v>36</v>
      </c>
      <c r="D169" s="270" t="s">
        <v>865</v>
      </c>
      <c r="E169" s="270" t="s">
        <v>199</v>
      </c>
      <c r="F169" s="270" t="s">
        <v>868</v>
      </c>
      <c r="G169" s="1623" t="s">
        <v>80</v>
      </c>
      <c r="H169" s="2060" t="s">
        <v>1388</v>
      </c>
      <c r="I169" s="2046">
        <v>342</v>
      </c>
      <c r="J169" s="1749">
        <v>14</v>
      </c>
      <c r="K169" s="1813"/>
      <c r="L169" s="1751">
        <v>119</v>
      </c>
      <c r="M169" s="1758">
        <v>59180000</v>
      </c>
      <c r="N169" s="1692">
        <v>89</v>
      </c>
      <c r="O169" s="1703">
        <v>59180000</v>
      </c>
      <c r="P169" s="1754">
        <v>99</v>
      </c>
      <c r="Q169" s="688"/>
      <c r="R169" s="507">
        <v>1434667</v>
      </c>
      <c r="S169" s="507">
        <f>VLOOKUP(N169,[9]Hoja2!N$2:T$77,7,0)</f>
        <v>5380000</v>
      </c>
      <c r="T169" s="507">
        <v>5380000</v>
      </c>
      <c r="U169" s="507">
        <v>5380000</v>
      </c>
      <c r="V169" s="507">
        <v>5380000</v>
      </c>
      <c r="W169" s="507">
        <v>5380000</v>
      </c>
      <c r="X169" s="507">
        <v>5380000</v>
      </c>
      <c r="Y169" s="507">
        <v>5380000</v>
      </c>
      <c r="Z169" s="507"/>
      <c r="AA169" s="507"/>
      <c r="AB169" s="702"/>
      <c r="AC169" s="690">
        <f t="shared" si="88"/>
        <v>39094667</v>
      </c>
      <c r="AD169" s="689">
        <f t="shared" si="83"/>
        <v>20085333</v>
      </c>
      <c r="AF169" s="903">
        <v>342</v>
      </c>
      <c r="AG169" s="1362" t="s">
        <v>250</v>
      </c>
      <c r="AH169" s="1124" t="s">
        <v>540</v>
      </c>
      <c r="AI169" s="1113">
        <f t="shared" si="84"/>
        <v>99</v>
      </c>
      <c r="AJ169" s="904">
        <v>59180000</v>
      </c>
      <c r="AK169" s="906">
        <f t="shared" si="85"/>
        <v>0</v>
      </c>
      <c r="AL169" s="899"/>
      <c r="AM169" s="1604">
        <f t="shared" si="86"/>
        <v>0</v>
      </c>
    </row>
    <row r="170" spans="1:39" s="687" customFormat="1" ht="15">
      <c r="A170" s="706" t="s">
        <v>913</v>
      </c>
      <c r="B170" s="516">
        <f t="shared" si="87"/>
        <v>52800000</v>
      </c>
      <c r="C170" s="269" t="s">
        <v>36</v>
      </c>
      <c r="D170" s="270" t="s">
        <v>865</v>
      </c>
      <c r="E170" s="270" t="s">
        <v>200</v>
      </c>
      <c r="F170" s="270" t="s">
        <v>868</v>
      </c>
      <c r="G170" s="1623" t="s">
        <v>80</v>
      </c>
      <c r="H170" s="2060" t="s">
        <v>1388</v>
      </c>
      <c r="I170" s="2046">
        <v>343</v>
      </c>
      <c r="J170" s="1749">
        <v>15</v>
      </c>
      <c r="K170" s="1813"/>
      <c r="L170" s="1751">
        <v>135</v>
      </c>
      <c r="M170" s="1758">
        <v>52800000</v>
      </c>
      <c r="N170" s="1692">
        <v>124</v>
      </c>
      <c r="O170" s="1703">
        <v>52800000</v>
      </c>
      <c r="P170" s="1754">
        <v>110</v>
      </c>
      <c r="Q170" s="688"/>
      <c r="R170" s="507">
        <v>1280000</v>
      </c>
      <c r="S170" s="507">
        <f>VLOOKUP(N170,[9]Hoja2!N$2:T$77,7,0)</f>
        <v>4800000</v>
      </c>
      <c r="T170" s="507">
        <v>4800000</v>
      </c>
      <c r="U170" s="507">
        <v>4800000</v>
      </c>
      <c r="V170" s="507">
        <v>4800000</v>
      </c>
      <c r="W170" s="507">
        <v>4800000</v>
      </c>
      <c r="X170" s="507">
        <v>4800000</v>
      </c>
      <c r="Y170" s="507">
        <v>4800000</v>
      </c>
      <c r="Z170" s="507"/>
      <c r="AA170" s="507"/>
      <c r="AB170" s="702"/>
      <c r="AC170" s="690">
        <f t="shared" si="88"/>
        <v>34880000</v>
      </c>
      <c r="AD170" s="689">
        <f t="shared" si="83"/>
        <v>17920000</v>
      </c>
      <c r="AF170" s="903">
        <v>343</v>
      </c>
      <c r="AG170" s="1362" t="s">
        <v>251</v>
      </c>
      <c r="AH170" s="1124" t="s">
        <v>541</v>
      </c>
      <c r="AI170" s="1113">
        <f t="shared" si="84"/>
        <v>110</v>
      </c>
      <c r="AJ170" s="904">
        <v>52800000</v>
      </c>
      <c r="AK170" s="906">
        <f t="shared" si="85"/>
        <v>0</v>
      </c>
      <c r="AL170" s="899"/>
      <c r="AM170" s="1604">
        <f t="shared" si="86"/>
        <v>0</v>
      </c>
    </row>
    <row r="171" spans="1:39" s="687" customFormat="1" ht="15">
      <c r="A171" s="706" t="s">
        <v>913</v>
      </c>
      <c r="B171" s="516">
        <f t="shared" si="87"/>
        <v>49500000</v>
      </c>
      <c r="C171" s="269" t="s">
        <v>36</v>
      </c>
      <c r="D171" s="270" t="s">
        <v>865</v>
      </c>
      <c r="E171" s="270" t="s">
        <v>201</v>
      </c>
      <c r="F171" s="270" t="s">
        <v>868</v>
      </c>
      <c r="G171" s="1623" t="s">
        <v>80</v>
      </c>
      <c r="H171" s="2060" t="s">
        <v>1388</v>
      </c>
      <c r="I171" s="2046">
        <v>344</v>
      </c>
      <c r="J171" s="1749">
        <v>16</v>
      </c>
      <c r="K171" s="1813"/>
      <c r="L171" s="1751">
        <v>206</v>
      </c>
      <c r="M171" s="1758">
        <f>49830000-330000</f>
        <v>49500000</v>
      </c>
      <c r="N171" s="1692">
        <v>196</v>
      </c>
      <c r="O171" s="1703">
        <v>49500000</v>
      </c>
      <c r="P171" s="1754">
        <v>208</v>
      </c>
      <c r="Q171" s="688"/>
      <c r="R171" s="507"/>
      <c r="S171" s="507">
        <f>VLOOKUP(N171,[9]Hoja2!N$2:T$77,7,0)</f>
        <v>4500000</v>
      </c>
      <c r="T171" s="507">
        <v>4500000</v>
      </c>
      <c r="U171" s="507">
        <v>4500000</v>
      </c>
      <c r="V171" s="507">
        <v>4500000</v>
      </c>
      <c r="W171" s="507">
        <f>1500000+3000000</f>
        <v>4500000</v>
      </c>
      <c r="X171" s="507">
        <f>1200000+3300000</f>
        <v>4500000</v>
      </c>
      <c r="Y171" s="507">
        <v>4500000</v>
      </c>
      <c r="Z171" s="507"/>
      <c r="AA171" s="507"/>
      <c r="AB171" s="702"/>
      <c r="AC171" s="690">
        <f t="shared" si="88"/>
        <v>31500000</v>
      </c>
      <c r="AD171" s="689">
        <f t="shared" si="83"/>
        <v>18000000</v>
      </c>
      <c r="AF171" s="903">
        <v>344</v>
      </c>
      <c r="AG171" s="1362" t="s">
        <v>252</v>
      </c>
      <c r="AH171" s="1124" t="s">
        <v>542</v>
      </c>
      <c r="AI171" s="1113">
        <f t="shared" si="84"/>
        <v>208</v>
      </c>
      <c r="AJ171" s="904">
        <v>49830000</v>
      </c>
      <c r="AK171" s="906">
        <f t="shared" si="85"/>
        <v>330000</v>
      </c>
      <c r="AL171" s="899"/>
      <c r="AM171" s="1604">
        <f t="shared" si="86"/>
        <v>330000</v>
      </c>
    </row>
    <row r="172" spans="1:39" s="687" customFormat="1" ht="15">
      <c r="A172" s="706" t="s">
        <v>913</v>
      </c>
      <c r="B172" s="516">
        <f t="shared" si="87"/>
        <v>49500000</v>
      </c>
      <c r="C172" s="269" t="s">
        <v>36</v>
      </c>
      <c r="D172" s="270" t="s">
        <v>865</v>
      </c>
      <c r="E172" s="270" t="s">
        <v>202</v>
      </c>
      <c r="F172" s="270" t="s">
        <v>868</v>
      </c>
      <c r="G172" s="1623" t="s">
        <v>80</v>
      </c>
      <c r="H172" s="2060" t="s">
        <v>1388</v>
      </c>
      <c r="I172" s="2046">
        <v>345</v>
      </c>
      <c r="J172" s="1749">
        <v>17</v>
      </c>
      <c r="K172" s="1813"/>
      <c r="L172" s="1751">
        <v>215</v>
      </c>
      <c r="M172" s="1758">
        <f>49830000-330000</f>
        <v>49500000</v>
      </c>
      <c r="N172" s="1692">
        <v>198</v>
      </c>
      <c r="O172" s="1703">
        <v>49500000</v>
      </c>
      <c r="P172" s="1754">
        <v>200</v>
      </c>
      <c r="Q172" s="688"/>
      <c r="R172" s="507"/>
      <c r="S172" s="507">
        <f>VLOOKUP(N172,[9]Hoja2!N$2:T$77,7,0)</f>
        <v>4500000</v>
      </c>
      <c r="T172" s="507">
        <v>4500000</v>
      </c>
      <c r="U172" s="507">
        <v>3750000</v>
      </c>
      <c r="V172" s="507">
        <v>5250000</v>
      </c>
      <c r="W172" s="507">
        <v>4500000</v>
      </c>
      <c r="X172" s="507">
        <v>4500000</v>
      </c>
      <c r="Y172" s="507">
        <v>4500000</v>
      </c>
      <c r="Z172" s="507"/>
      <c r="AA172" s="507"/>
      <c r="AB172" s="702"/>
      <c r="AC172" s="690">
        <f t="shared" si="88"/>
        <v>31500000</v>
      </c>
      <c r="AD172" s="689">
        <f t="shared" si="83"/>
        <v>18000000</v>
      </c>
      <c r="AF172" s="903">
        <v>345</v>
      </c>
      <c r="AG172" s="1362" t="s">
        <v>253</v>
      </c>
      <c r="AH172" s="1124" t="s">
        <v>543</v>
      </c>
      <c r="AI172" s="1113">
        <f t="shared" si="84"/>
        <v>200</v>
      </c>
      <c r="AJ172" s="904">
        <v>49830000</v>
      </c>
      <c r="AK172" s="906">
        <f t="shared" si="85"/>
        <v>330000</v>
      </c>
      <c r="AL172" s="899"/>
      <c r="AM172" s="1604">
        <f t="shared" si="86"/>
        <v>330000</v>
      </c>
    </row>
    <row r="173" spans="1:39" s="687" customFormat="1" ht="15">
      <c r="A173" s="706" t="s">
        <v>913</v>
      </c>
      <c r="B173" s="516">
        <f t="shared" si="87"/>
        <v>72600000</v>
      </c>
      <c r="C173" s="269" t="s">
        <v>36</v>
      </c>
      <c r="D173" s="270" t="s">
        <v>865</v>
      </c>
      <c r="E173" s="270" t="s">
        <v>203</v>
      </c>
      <c r="F173" s="270" t="s">
        <v>868</v>
      </c>
      <c r="G173" s="1623" t="s">
        <v>80</v>
      </c>
      <c r="H173" s="2060" t="s">
        <v>1388</v>
      </c>
      <c r="I173" s="2046">
        <v>346</v>
      </c>
      <c r="J173" s="1749">
        <v>18</v>
      </c>
      <c r="K173" s="1813"/>
      <c r="L173" s="1751">
        <v>120</v>
      </c>
      <c r="M173" s="1758">
        <v>72600000</v>
      </c>
      <c r="N173" s="1692">
        <v>88</v>
      </c>
      <c r="O173" s="1703">
        <v>72600000</v>
      </c>
      <c r="P173" s="1754">
        <v>98</v>
      </c>
      <c r="Q173" s="688"/>
      <c r="R173" s="507">
        <v>1100000</v>
      </c>
      <c r="S173" s="507">
        <f>VLOOKUP(N173,[9]Hoja2!N$2:T$77,7,0)</f>
        <v>6600000</v>
      </c>
      <c r="T173" s="507">
        <v>6600000</v>
      </c>
      <c r="U173" s="507">
        <v>6600000</v>
      </c>
      <c r="V173" s="507">
        <v>6600000</v>
      </c>
      <c r="W173" s="507">
        <v>6600000</v>
      </c>
      <c r="X173" s="507">
        <v>6600000</v>
      </c>
      <c r="Y173" s="507">
        <v>6600000</v>
      </c>
      <c r="Z173" s="507"/>
      <c r="AA173" s="507"/>
      <c r="AB173" s="702"/>
      <c r="AC173" s="690">
        <f t="shared" si="88"/>
        <v>47300000</v>
      </c>
      <c r="AD173" s="689">
        <f t="shared" si="83"/>
        <v>25300000</v>
      </c>
      <c r="AF173" s="903">
        <v>346</v>
      </c>
      <c r="AG173" s="1362" t="s">
        <v>254</v>
      </c>
      <c r="AH173" s="1124" t="s">
        <v>544</v>
      </c>
      <c r="AI173" s="1113">
        <f t="shared" si="84"/>
        <v>98</v>
      </c>
      <c r="AJ173" s="904">
        <v>72600000</v>
      </c>
      <c r="AK173" s="906">
        <f t="shared" si="85"/>
        <v>0</v>
      </c>
      <c r="AL173" s="899"/>
      <c r="AM173" s="1604">
        <f t="shared" si="86"/>
        <v>0</v>
      </c>
    </row>
    <row r="174" spans="1:39" s="687" customFormat="1" ht="15">
      <c r="A174" s="706" t="s">
        <v>913</v>
      </c>
      <c r="B174" s="516">
        <f t="shared" si="87"/>
        <v>44550000</v>
      </c>
      <c r="C174" s="269" t="s">
        <v>36</v>
      </c>
      <c r="D174" s="270" t="s">
        <v>865</v>
      </c>
      <c r="E174" s="270" t="s">
        <v>204</v>
      </c>
      <c r="F174" s="270" t="s">
        <v>868</v>
      </c>
      <c r="G174" s="1623" t="s">
        <v>80</v>
      </c>
      <c r="H174" s="2060" t="s">
        <v>1388</v>
      </c>
      <c r="I174" s="2046">
        <v>347</v>
      </c>
      <c r="J174" s="1749">
        <v>19</v>
      </c>
      <c r="K174" s="1813"/>
      <c r="L174" s="1751">
        <v>98</v>
      </c>
      <c r="M174" s="1758">
        <v>44550000</v>
      </c>
      <c r="N174" s="1692">
        <v>108</v>
      </c>
      <c r="O174" s="1703">
        <v>44550000</v>
      </c>
      <c r="P174" s="1754">
        <v>77</v>
      </c>
      <c r="Q174" s="688"/>
      <c r="R174" s="507">
        <v>945000</v>
      </c>
      <c r="S174" s="507">
        <f>VLOOKUP(N174,[9]Hoja2!N$2:T$77,7,0)</f>
        <v>4050000</v>
      </c>
      <c r="T174" s="507">
        <v>4050000</v>
      </c>
      <c r="U174" s="507">
        <v>4050000</v>
      </c>
      <c r="V174" s="507">
        <v>4050000</v>
      </c>
      <c r="W174" s="507">
        <v>4050000</v>
      </c>
      <c r="X174" s="507">
        <v>4050000</v>
      </c>
      <c r="Y174" s="507">
        <v>4050000</v>
      </c>
      <c r="Z174" s="507"/>
      <c r="AA174" s="507"/>
      <c r="AB174" s="702"/>
      <c r="AC174" s="690">
        <f t="shared" si="88"/>
        <v>29295000</v>
      </c>
      <c r="AD174" s="689">
        <f t="shared" si="83"/>
        <v>15255000</v>
      </c>
      <c r="AF174" s="903">
        <v>347</v>
      </c>
      <c r="AG174" s="1362" t="s">
        <v>255</v>
      </c>
      <c r="AH174" s="1124" t="s">
        <v>545</v>
      </c>
      <c r="AI174" s="1113">
        <f t="shared" si="84"/>
        <v>77</v>
      </c>
      <c r="AJ174" s="904">
        <v>44550000</v>
      </c>
      <c r="AK174" s="906">
        <f t="shared" si="85"/>
        <v>0</v>
      </c>
      <c r="AL174" s="899"/>
      <c r="AM174" s="1604">
        <f t="shared" si="86"/>
        <v>0</v>
      </c>
    </row>
    <row r="175" spans="1:39" s="687" customFormat="1" ht="15">
      <c r="A175" s="706" t="s">
        <v>913</v>
      </c>
      <c r="B175" s="516">
        <f t="shared" si="87"/>
        <v>44550000</v>
      </c>
      <c r="C175" s="269" t="s">
        <v>36</v>
      </c>
      <c r="D175" s="270" t="s">
        <v>865</v>
      </c>
      <c r="E175" s="270" t="s">
        <v>205</v>
      </c>
      <c r="F175" s="270" t="s">
        <v>868</v>
      </c>
      <c r="G175" s="1623" t="s">
        <v>80</v>
      </c>
      <c r="H175" s="2060" t="s">
        <v>1388</v>
      </c>
      <c r="I175" s="2049">
        <v>348</v>
      </c>
      <c r="J175" s="1815">
        <v>20</v>
      </c>
      <c r="K175" s="1816"/>
      <c r="L175" s="1751">
        <v>233</v>
      </c>
      <c r="M175" s="1758">
        <v>44550000</v>
      </c>
      <c r="N175" s="1692">
        <v>221</v>
      </c>
      <c r="O175" s="1703">
        <v>44550000</v>
      </c>
      <c r="P175" s="1754">
        <v>203</v>
      </c>
      <c r="Q175" s="688"/>
      <c r="R175" s="507"/>
      <c r="S175" s="507">
        <f>VLOOKUP(N175,[9]Hoja2!N$2:T$77,7,0)</f>
        <v>3645000</v>
      </c>
      <c r="T175" s="507">
        <v>4050000</v>
      </c>
      <c r="U175" s="507">
        <v>4050000</v>
      </c>
      <c r="V175" s="507">
        <v>4050000</v>
      </c>
      <c r="W175" s="507">
        <v>4050000</v>
      </c>
      <c r="X175" s="507">
        <v>4050000</v>
      </c>
      <c r="Y175" s="507">
        <v>4050000</v>
      </c>
      <c r="Z175" s="507"/>
      <c r="AA175" s="507"/>
      <c r="AB175" s="702"/>
      <c r="AC175" s="690">
        <f t="shared" si="88"/>
        <v>27945000</v>
      </c>
      <c r="AD175" s="689">
        <f t="shared" si="83"/>
        <v>16605000</v>
      </c>
      <c r="AF175" s="903">
        <v>348</v>
      </c>
      <c r="AG175" s="1362" t="s">
        <v>255</v>
      </c>
      <c r="AH175" s="1124" t="s">
        <v>770</v>
      </c>
      <c r="AI175" s="1113">
        <f t="shared" si="84"/>
        <v>203</v>
      </c>
      <c r="AJ175" s="904">
        <v>44550000</v>
      </c>
      <c r="AK175" s="906">
        <f t="shared" si="85"/>
        <v>0</v>
      </c>
      <c r="AL175" s="899"/>
      <c r="AM175" s="1604">
        <f t="shared" si="86"/>
        <v>0</v>
      </c>
    </row>
    <row r="176" spans="1:39" s="687" customFormat="1">
      <c r="A176" s="706" t="s">
        <v>913</v>
      </c>
      <c r="B176" s="516">
        <f>M176</f>
        <v>14207100</v>
      </c>
      <c r="C176" s="269" t="s">
        <v>36</v>
      </c>
      <c r="D176" s="270" t="s">
        <v>865</v>
      </c>
      <c r="E176" s="270" t="s">
        <v>206</v>
      </c>
      <c r="F176" s="270" t="s">
        <v>868</v>
      </c>
      <c r="G176" s="1623" t="s">
        <v>80</v>
      </c>
      <c r="H176" s="2060" t="s">
        <v>1388</v>
      </c>
      <c r="I176" s="2046" t="s">
        <v>774</v>
      </c>
      <c r="J176" s="1384" t="s">
        <v>1339</v>
      </c>
      <c r="K176" s="1540">
        <f>670800+1596600+1781900+1836600+1799800+1758100+2435100+2328200</f>
        <v>14207100</v>
      </c>
      <c r="L176" s="1757" t="s">
        <v>1352</v>
      </c>
      <c r="M176" s="1540">
        <f>670800+1596600+1781900+1836600+1799800+1758100+2435100+2328200</f>
        <v>14207100</v>
      </c>
      <c r="N176" s="1772" t="s">
        <v>1351</v>
      </c>
      <c r="O176" s="1758">
        <f>670800+1596600+1781900+1836600+1799800+1758100+2435100+2328200</f>
        <v>14207100</v>
      </c>
      <c r="P176" s="1754" t="s">
        <v>774</v>
      </c>
      <c r="Q176" s="688"/>
      <c r="R176" s="197">
        <v>670800</v>
      </c>
      <c r="S176" s="507">
        <v>1596600</v>
      </c>
      <c r="T176" s="507">
        <v>1781900</v>
      </c>
      <c r="U176" s="507">
        <v>1836600</v>
      </c>
      <c r="V176" s="507">
        <v>1799800</v>
      </c>
      <c r="W176" s="507">
        <v>1758100</v>
      </c>
      <c r="X176" s="507">
        <v>2435100</v>
      </c>
      <c r="Y176" s="507">
        <v>2328200</v>
      </c>
      <c r="Z176" s="507"/>
      <c r="AA176" s="507"/>
      <c r="AB176" s="702"/>
      <c r="AC176" s="690">
        <f t="shared" si="88"/>
        <v>14207100</v>
      </c>
      <c r="AD176" s="689">
        <f t="shared" si="83"/>
        <v>0</v>
      </c>
      <c r="AF176" s="903" t="s">
        <v>150</v>
      </c>
      <c r="AG176" s="1362" t="s">
        <v>187</v>
      </c>
      <c r="AH176" s="1124" t="s">
        <v>178</v>
      </c>
      <c r="AI176" s="1113" t="str">
        <f t="shared" si="84"/>
        <v>ARL</v>
      </c>
      <c r="AJ176" s="904">
        <f>8281053+12983000</f>
        <v>21264053</v>
      </c>
      <c r="AK176" s="906">
        <f t="shared" si="85"/>
        <v>7056953</v>
      </c>
      <c r="AL176" s="899"/>
      <c r="AM176" s="1604">
        <f t="shared" si="86"/>
        <v>7056953</v>
      </c>
    </row>
    <row r="177" spans="1:39" s="687" customFormat="1" ht="15">
      <c r="A177" s="706" t="s">
        <v>913</v>
      </c>
      <c r="B177" s="516">
        <f t="shared" si="87"/>
        <v>11880000</v>
      </c>
      <c r="C177" s="269" t="s">
        <v>36</v>
      </c>
      <c r="D177" s="270" t="s">
        <v>865</v>
      </c>
      <c r="E177" s="270" t="s">
        <v>207</v>
      </c>
      <c r="F177" s="270" t="s">
        <v>868</v>
      </c>
      <c r="G177" s="1623" t="s">
        <v>80</v>
      </c>
      <c r="H177" s="2060" t="s">
        <v>1388</v>
      </c>
      <c r="I177" s="1626">
        <v>467</v>
      </c>
      <c r="J177" s="1817"/>
      <c r="K177" s="1818"/>
      <c r="L177" s="1757">
        <v>623</v>
      </c>
      <c r="M177" s="1758">
        <f>12960000-1080000</f>
        <v>11880000</v>
      </c>
      <c r="N177" s="1692">
        <v>739</v>
      </c>
      <c r="O177" s="1758">
        <v>11880000</v>
      </c>
      <c r="P177" s="1754">
        <v>439</v>
      </c>
      <c r="Q177" s="688"/>
      <c r="R177" s="197"/>
      <c r="S177" s="507"/>
      <c r="T177" s="507"/>
      <c r="U177" s="507"/>
      <c r="V177" s="507"/>
      <c r="W177" s="507"/>
      <c r="X177" s="507"/>
      <c r="Y177" s="507">
        <v>2376000</v>
      </c>
      <c r="Z177" s="507"/>
      <c r="AA177" s="507"/>
      <c r="AB177" s="702"/>
      <c r="AC177" s="690">
        <f t="shared" si="88"/>
        <v>2376000</v>
      </c>
      <c r="AD177" s="689">
        <f t="shared" si="83"/>
        <v>9504000</v>
      </c>
      <c r="AF177" s="903">
        <v>467</v>
      </c>
      <c r="AG177" s="1362" t="s">
        <v>245</v>
      </c>
      <c r="AH177" s="1124" t="s">
        <v>1267</v>
      </c>
      <c r="AI177" s="1113">
        <f t="shared" si="84"/>
        <v>439</v>
      </c>
      <c r="AJ177" s="904">
        <v>12960000</v>
      </c>
      <c r="AK177" s="906">
        <f t="shared" si="85"/>
        <v>1080000</v>
      </c>
      <c r="AL177" s="899"/>
      <c r="AM177" s="1604">
        <f t="shared" si="86"/>
        <v>1080000</v>
      </c>
    </row>
    <row r="178" spans="1:39" s="687" customFormat="1" ht="15">
      <c r="A178" s="706" t="s">
        <v>913</v>
      </c>
      <c r="B178" s="516">
        <f t="shared" si="87"/>
        <v>15200000</v>
      </c>
      <c r="C178" s="269" t="s">
        <v>36</v>
      </c>
      <c r="D178" s="270" t="s">
        <v>865</v>
      </c>
      <c r="E178" s="270" t="s">
        <v>914</v>
      </c>
      <c r="F178" s="270" t="s">
        <v>868</v>
      </c>
      <c r="G178" s="1623" t="s">
        <v>80</v>
      </c>
      <c r="H178" s="2060" t="s">
        <v>1388</v>
      </c>
      <c r="I178" s="1360">
        <v>468</v>
      </c>
      <c r="J178" s="1749"/>
      <c r="K178" s="1813"/>
      <c r="L178" s="1757">
        <v>535</v>
      </c>
      <c r="M178" s="1758">
        <v>15200000</v>
      </c>
      <c r="N178" s="1692">
        <v>659</v>
      </c>
      <c r="O178" s="1758">
        <v>15200000</v>
      </c>
      <c r="P178" s="1754">
        <v>393</v>
      </c>
      <c r="Q178" s="688"/>
      <c r="R178" s="197"/>
      <c r="S178" s="507"/>
      <c r="T178" s="507"/>
      <c r="U178" s="507"/>
      <c r="V178" s="507"/>
      <c r="W178" s="507"/>
      <c r="X178" s="507">
        <v>3293333</v>
      </c>
      <c r="Y178" s="507">
        <v>3800000</v>
      </c>
      <c r="Z178" s="507"/>
      <c r="AA178" s="507"/>
      <c r="AB178" s="702"/>
      <c r="AC178" s="690">
        <f t="shared" si="88"/>
        <v>7093333</v>
      </c>
      <c r="AD178" s="689">
        <f t="shared" si="83"/>
        <v>8106667</v>
      </c>
      <c r="AF178" s="903">
        <v>468</v>
      </c>
      <c r="AG178" s="1362" t="s">
        <v>251</v>
      </c>
      <c r="AH178" s="1124" t="s">
        <v>1176</v>
      </c>
      <c r="AI178" s="1113">
        <f t="shared" si="84"/>
        <v>393</v>
      </c>
      <c r="AJ178" s="904">
        <v>15200000</v>
      </c>
      <c r="AK178" s="906">
        <f t="shared" si="85"/>
        <v>0</v>
      </c>
      <c r="AL178" s="899"/>
      <c r="AM178" s="1604">
        <f t="shared" si="86"/>
        <v>0</v>
      </c>
    </row>
    <row r="179" spans="1:39" s="687" customFormat="1">
      <c r="A179" s="706" t="s">
        <v>913</v>
      </c>
      <c r="B179" s="516">
        <f t="shared" si="87"/>
        <v>13150000</v>
      </c>
      <c r="C179" s="269" t="s">
        <v>36</v>
      </c>
      <c r="D179" s="270" t="s">
        <v>865</v>
      </c>
      <c r="E179" s="270" t="s">
        <v>915</v>
      </c>
      <c r="F179" s="270" t="s">
        <v>868</v>
      </c>
      <c r="G179" s="1623" t="s">
        <v>80</v>
      </c>
      <c r="H179" s="2060" t="s">
        <v>1388</v>
      </c>
      <c r="I179" s="1360">
        <v>469</v>
      </c>
      <c r="J179" s="1749">
        <v>575</v>
      </c>
      <c r="K179" s="1750">
        <v>9205000</v>
      </c>
      <c r="L179" s="1757">
        <v>528</v>
      </c>
      <c r="M179" s="1758">
        <v>13150000</v>
      </c>
      <c r="N179" s="1692">
        <v>817</v>
      </c>
      <c r="O179" s="1758">
        <v>9205000</v>
      </c>
      <c r="P179" s="1754">
        <v>456</v>
      </c>
      <c r="Q179" s="688"/>
      <c r="R179" s="197"/>
      <c r="S179" s="507"/>
      <c r="T179" s="507"/>
      <c r="U179" s="507"/>
      <c r="V179" s="507"/>
      <c r="W179" s="507"/>
      <c r="X179" s="507"/>
      <c r="Y179" s="507"/>
      <c r="Z179" s="507"/>
      <c r="AA179" s="507"/>
      <c r="AB179" s="702"/>
      <c r="AC179" s="690">
        <f t="shared" si="88"/>
        <v>0</v>
      </c>
      <c r="AD179" s="689">
        <f t="shared" si="83"/>
        <v>9205000</v>
      </c>
      <c r="AF179" s="903">
        <v>469</v>
      </c>
      <c r="AG179" s="1362" t="s">
        <v>247</v>
      </c>
      <c r="AH179" s="1124" t="s">
        <v>1350</v>
      </c>
      <c r="AI179" s="1113">
        <f t="shared" si="84"/>
        <v>456</v>
      </c>
      <c r="AJ179" s="904">
        <v>13150000</v>
      </c>
      <c r="AK179" s="906">
        <f t="shared" si="85"/>
        <v>3945000</v>
      </c>
      <c r="AL179" s="899"/>
      <c r="AM179" s="1604">
        <f t="shared" si="86"/>
        <v>0</v>
      </c>
    </row>
    <row r="180" spans="1:39" s="687" customFormat="1" ht="15">
      <c r="A180" s="706" t="s">
        <v>913</v>
      </c>
      <c r="B180" s="516">
        <f t="shared" si="87"/>
        <v>13150000</v>
      </c>
      <c r="C180" s="269" t="s">
        <v>36</v>
      </c>
      <c r="D180" s="270" t="s">
        <v>865</v>
      </c>
      <c r="E180" s="270" t="s">
        <v>916</v>
      </c>
      <c r="F180" s="270" t="s">
        <v>868</v>
      </c>
      <c r="G180" s="1623" t="s">
        <v>80</v>
      </c>
      <c r="H180" s="2060" t="s">
        <v>1388</v>
      </c>
      <c r="I180" s="1360">
        <v>470</v>
      </c>
      <c r="J180" s="1749"/>
      <c r="K180" s="1813"/>
      <c r="L180" s="1757">
        <v>529</v>
      </c>
      <c r="M180" s="1758">
        <v>13150000</v>
      </c>
      <c r="N180" s="1692">
        <v>666</v>
      </c>
      <c r="O180" s="1758">
        <v>13150000</v>
      </c>
      <c r="P180" s="1754">
        <v>399</v>
      </c>
      <c r="Q180" s="688"/>
      <c r="R180" s="197"/>
      <c r="S180" s="507"/>
      <c r="T180" s="507"/>
      <c r="U180" s="507"/>
      <c r="V180" s="507"/>
      <c r="W180" s="507"/>
      <c r="X180" s="507">
        <v>1928667</v>
      </c>
      <c r="Y180" s="507">
        <v>2630000</v>
      </c>
      <c r="Z180" s="507"/>
      <c r="AA180" s="507"/>
      <c r="AB180" s="702"/>
      <c r="AC180" s="690">
        <f t="shared" si="88"/>
        <v>4558667</v>
      </c>
      <c r="AD180" s="689">
        <f t="shared" si="83"/>
        <v>8591333</v>
      </c>
      <c r="AF180" s="903">
        <v>470</v>
      </c>
      <c r="AG180" s="1362" t="s">
        <v>247</v>
      </c>
      <c r="AH180" s="1124" t="s">
        <v>1184</v>
      </c>
      <c r="AI180" s="1113">
        <f t="shared" si="84"/>
        <v>399</v>
      </c>
      <c r="AJ180" s="904">
        <v>13150000</v>
      </c>
      <c r="AK180" s="906">
        <f t="shared" si="85"/>
        <v>0</v>
      </c>
      <c r="AL180" s="899"/>
      <c r="AM180" s="1604">
        <f t="shared" si="86"/>
        <v>0</v>
      </c>
    </row>
    <row r="181" spans="1:39" s="687" customFormat="1" ht="15">
      <c r="A181" s="706" t="s">
        <v>913</v>
      </c>
      <c r="B181" s="516">
        <f t="shared" si="87"/>
        <v>9850000</v>
      </c>
      <c r="C181" s="269" t="s">
        <v>36</v>
      </c>
      <c r="D181" s="270" t="s">
        <v>865</v>
      </c>
      <c r="E181" s="270" t="s">
        <v>917</v>
      </c>
      <c r="F181" s="270" t="s">
        <v>868</v>
      </c>
      <c r="G181" s="1623" t="s">
        <v>80</v>
      </c>
      <c r="H181" s="2060" t="s">
        <v>1388</v>
      </c>
      <c r="I181" s="1360">
        <v>471</v>
      </c>
      <c r="J181" s="1749"/>
      <c r="K181" s="1813"/>
      <c r="L181" s="1757">
        <v>530</v>
      </c>
      <c r="M181" s="1758">
        <v>9850000</v>
      </c>
      <c r="N181" s="1692">
        <v>671</v>
      </c>
      <c r="O181" s="1758">
        <v>9850000</v>
      </c>
      <c r="P181" s="1754">
        <v>397</v>
      </c>
      <c r="Q181" s="688"/>
      <c r="R181" s="197"/>
      <c r="S181" s="507"/>
      <c r="T181" s="507"/>
      <c r="U181" s="507"/>
      <c r="V181" s="507"/>
      <c r="W181" s="507"/>
      <c r="X181" s="507">
        <v>1379000</v>
      </c>
      <c r="Y181" s="507">
        <v>1970000</v>
      </c>
      <c r="Z181" s="507"/>
      <c r="AA181" s="507"/>
      <c r="AB181" s="702"/>
      <c r="AC181" s="690">
        <f t="shared" si="88"/>
        <v>3349000</v>
      </c>
      <c r="AD181" s="689">
        <f t="shared" si="83"/>
        <v>6501000</v>
      </c>
      <c r="AF181" s="903">
        <v>471</v>
      </c>
      <c r="AG181" s="1362" t="s">
        <v>248</v>
      </c>
      <c r="AH181" s="1124" t="s">
        <v>1175</v>
      </c>
      <c r="AI181" s="1113">
        <f t="shared" si="84"/>
        <v>397</v>
      </c>
      <c r="AJ181" s="904">
        <v>9850000</v>
      </c>
      <c r="AK181" s="906">
        <f t="shared" si="85"/>
        <v>0</v>
      </c>
      <c r="AL181" s="899"/>
      <c r="AM181" s="1604">
        <f t="shared" si="86"/>
        <v>0</v>
      </c>
    </row>
    <row r="182" spans="1:39" s="687" customFormat="1" ht="15">
      <c r="A182" s="706" t="s">
        <v>913</v>
      </c>
      <c r="B182" s="516">
        <f t="shared" si="87"/>
        <v>9850000</v>
      </c>
      <c r="C182" s="269" t="s">
        <v>36</v>
      </c>
      <c r="D182" s="270" t="s">
        <v>865</v>
      </c>
      <c r="E182" s="270" t="s">
        <v>918</v>
      </c>
      <c r="F182" s="270" t="s">
        <v>868</v>
      </c>
      <c r="G182" s="1623" t="s">
        <v>80</v>
      </c>
      <c r="H182" s="2060" t="s">
        <v>1388</v>
      </c>
      <c r="I182" s="1360">
        <v>472</v>
      </c>
      <c r="J182" s="1749"/>
      <c r="K182" s="1813"/>
      <c r="L182" s="1757">
        <v>538</v>
      </c>
      <c r="M182" s="1758">
        <v>9850000</v>
      </c>
      <c r="N182" s="1692">
        <v>664</v>
      </c>
      <c r="O182" s="1758">
        <v>9850000</v>
      </c>
      <c r="P182" s="1754">
        <v>398</v>
      </c>
      <c r="Q182" s="688"/>
      <c r="R182" s="197"/>
      <c r="S182" s="507"/>
      <c r="T182" s="507"/>
      <c r="U182" s="507"/>
      <c r="V182" s="507"/>
      <c r="W182" s="507"/>
      <c r="X182" s="507">
        <v>1707333</v>
      </c>
      <c r="Y182" s="507">
        <v>1970000</v>
      </c>
      <c r="Z182" s="507"/>
      <c r="AA182" s="507"/>
      <c r="AB182" s="702"/>
      <c r="AC182" s="690">
        <f t="shared" si="88"/>
        <v>3677333</v>
      </c>
      <c r="AD182" s="689">
        <f t="shared" si="83"/>
        <v>6172667</v>
      </c>
      <c r="AF182" s="903">
        <v>472</v>
      </c>
      <c r="AG182" s="1362" t="s">
        <v>248</v>
      </c>
      <c r="AH182" s="1124" t="s">
        <v>1177</v>
      </c>
      <c r="AI182" s="1113">
        <f t="shared" si="84"/>
        <v>398</v>
      </c>
      <c r="AJ182" s="904">
        <v>9850000</v>
      </c>
      <c r="AK182" s="906">
        <f t="shared" si="85"/>
        <v>0</v>
      </c>
      <c r="AL182" s="899"/>
      <c r="AM182" s="1604">
        <f t="shared" si="86"/>
        <v>0</v>
      </c>
    </row>
    <row r="183" spans="1:39" s="687" customFormat="1" ht="15">
      <c r="A183" s="706" t="s">
        <v>913</v>
      </c>
      <c r="B183" s="516">
        <f t="shared" si="87"/>
        <v>9850000</v>
      </c>
      <c r="C183" s="269" t="s">
        <v>36</v>
      </c>
      <c r="D183" s="270" t="s">
        <v>865</v>
      </c>
      <c r="E183" s="270" t="s">
        <v>919</v>
      </c>
      <c r="F183" s="270" t="s">
        <v>868</v>
      </c>
      <c r="G183" s="1623" t="s">
        <v>80</v>
      </c>
      <c r="H183" s="2060" t="s">
        <v>1388</v>
      </c>
      <c r="I183" s="1360">
        <v>473</v>
      </c>
      <c r="J183" s="1749"/>
      <c r="K183" s="1813"/>
      <c r="L183" s="1757">
        <v>539</v>
      </c>
      <c r="M183" s="1758">
        <v>9850000</v>
      </c>
      <c r="N183" s="1692">
        <v>653</v>
      </c>
      <c r="O183" s="1758">
        <v>9850000</v>
      </c>
      <c r="P183" s="1754">
        <v>394</v>
      </c>
      <c r="Q183" s="688"/>
      <c r="R183" s="197"/>
      <c r="S183" s="507"/>
      <c r="T183" s="507"/>
      <c r="U183" s="507"/>
      <c r="V183" s="507"/>
      <c r="W183" s="507"/>
      <c r="X183" s="507">
        <v>1838667</v>
      </c>
      <c r="Y183" s="507">
        <v>1970000</v>
      </c>
      <c r="Z183" s="507"/>
      <c r="AA183" s="507"/>
      <c r="AB183" s="702"/>
      <c r="AC183" s="690">
        <f t="shared" si="88"/>
        <v>3808667</v>
      </c>
      <c r="AD183" s="689">
        <f t="shared" si="83"/>
        <v>6041333</v>
      </c>
      <c r="AF183" s="903">
        <v>473</v>
      </c>
      <c r="AG183" s="1362" t="s">
        <v>248</v>
      </c>
      <c r="AH183" s="1124" t="s">
        <v>1178</v>
      </c>
      <c r="AI183" s="1113">
        <f t="shared" si="84"/>
        <v>394</v>
      </c>
      <c r="AJ183" s="904">
        <v>9850000</v>
      </c>
      <c r="AK183" s="906">
        <f t="shared" si="85"/>
        <v>0</v>
      </c>
      <c r="AL183" s="899"/>
      <c r="AM183" s="1604">
        <f t="shared" si="86"/>
        <v>0</v>
      </c>
    </row>
    <row r="184" spans="1:39" s="687" customFormat="1" ht="15">
      <c r="A184" s="706" t="s">
        <v>913</v>
      </c>
      <c r="B184" s="516">
        <f t="shared" si="87"/>
        <v>9850000</v>
      </c>
      <c r="C184" s="269" t="s">
        <v>36</v>
      </c>
      <c r="D184" s="270" t="s">
        <v>865</v>
      </c>
      <c r="E184" s="270" t="s">
        <v>920</v>
      </c>
      <c r="F184" s="270" t="s">
        <v>868</v>
      </c>
      <c r="G184" s="1623" t="s">
        <v>80</v>
      </c>
      <c r="H184" s="2060" t="s">
        <v>1388</v>
      </c>
      <c r="I184" s="1360">
        <v>474</v>
      </c>
      <c r="J184" s="1749"/>
      <c r="K184" s="1813"/>
      <c r="L184" s="1757">
        <v>585</v>
      </c>
      <c r="M184" s="1758">
        <v>9850000</v>
      </c>
      <c r="N184" s="1692">
        <v>680</v>
      </c>
      <c r="O184" s="1758">
        <v>9850000</v>
      </c>
      <c r="P184" s="1754">
        <v>423</v>
      </c>
      <c r="Q184" s="688"/>
      <c r="R184" s="197"/>
      <c r="S184" s="507"/>
      <c r="T184" s="507"/>
      <c r="U184" s="507"/>
      <c r="V184" s="507"/>
      <c r="W184" s="507"/>
      <c r="X184" s="507">
        <v>1050667</v>
      </c>
      <c r="Y184" s="507">
        <v>1970000</v>
      </c>
      <c r="Z184" s="507"/>
      <c r="AA184" s="507"/>
      <c r="AB184" s="702"/>
      <c r="AC184" s="690">
        <f t="shared" si="88"/>
        <v>3020667</v>
      </c>
      <c r="AD184" s="689">
        <f t="shared" si="83"/>
        <v>6829333</v>
      </c>
      <c r="AF184" s="903">
        <v>474</v>
      </c>
      <c r="AG184" s="1362" t="s">
        <v>248</v>
      </c>
      <c r="AH184" s="1124" t="s">
        <v>1180</v>
      </c>
      <c r="AI184" s="1113">
        <f t="shared" si="84"/>
        <v>423</v>
      </c>
      <c r="AJ184" s="904">
        <v>9850000</v>
      </c>
      <c r="AK184" s="906">
        <f t="shared" si="85"/>
        <v>0</v>
      </c>
      <c r="AL184" s="899"/>
      <c r="AM184" s="1604">
        <f t="shared" si="86"/>
        <v>0</v>
      </c>
    </row>
    <row r="185" spans="1:39" s="687" customFormat="1" ht="15">
      <c r="A185" s="706" t="s">
        <v>913</v>
      </c>
      <c r="B185" s="516">
        <f t="shared" si="87"/>
        <v>9850000</v>
      </c>
      <c r="C185" s="269" t="s">
        <v>36</v>
      </c>
      <c r="D185" s="270" t="s">
        <v>865</v>
      </c>
      <c r="E185" s="270" t="s">
        <v>921</v>
      </c>
      <c r="F185" s="270" t="s">
        <v>868</v>
      </c>
      <c r="G185" s="1623" t="s">
        <v>80</v>
      </c>
      <c r="H185" s="2060" t="s">
        <v>1388</v>
      </c>
      <c r="I185" s="1360">
        <v>475</v>
      </c>
      <c r="J185" s="1749"/>
      <c r="K185" s="1813"/>
      <c r="L185" s="1757">
        <v>586</v>
      </c>
      <c r="M185" s="1758">
        <v>9850000</v>
      </c>
      <c r="N185" s="1692">
        <v>688</v>
      </c>
      <c r="O185" s="1758">
        <v>9850000</v>
      </c>
      <c r="P185" s="1754">
        <v>421</v>
      </c>
      <c r="Q185" s="688"/>
      <c r="R185" s="197"/>
      <c r="S185" s="507"/>
      <c r="T185" s="507"/>
      <c r="U185" s="507"/>
      <c r="V185" s="507"/>
      <c r="W185" s="507"/>
      <c r="X185" s="507">
        <v>985000</v>
      </c>
      <c r="Y185" s="507">
        <v>1970000</v>
      </c>
      <c r="Z185" s="507"/>
      <c r="AA185" s="507"/>
      <c r="AB185" s="702"/>
      <c r="AC185" s="690">
        <f t="shared" si="88"/>
        <v>2955000</v>
      </c>
      <c r="AD185" s="689">
        <f t="shared" si="83"/>
        <v>6895000</v>
      </c>
      <c r="AF185" s="903">
        <v>475</v>
      </c>
      <c r="AG185" s="1362" t="s">
        <v>248</v>
      </c>
      <c r="AH185" s="1124" t="s">
        <v>1181</v>
      </c>
      <c r="AI185" s="1113">
        <f t="shared" si="84"/>
        <v>421</v>
      </c>
      <c r="AJ185" s="904">
        <v>9850000</v>
      </c>
      <c r="AK185" s="906">
        <f t="shared" si="85"/>
        <v>0</v>
      </c>
      <c r="AL185" s="899"/>
      <c r="AM185" s="1604">
        <f t="shared" si="86"/>
        <v>0</v>
      </c>
    </row>
    <row r="186" spans="1:39" s="687" customFormat="1" ht="15">
      <c r="A186" s="706" t="s">
        <v>913</v>
      </c>
      <c r="B186" s="516">
        <f t="shared" si="87"/>
        <v>9850000</v>
      </c>
      <c r="C186" s="269" t="s">
        <v>36</v>
      </c>
      <c r="D186" s="270" t="s">
        <v>865</v>
      </c>
      <c r="E186" s="270" t="s">
        <v>922</v>
      </c>
      <c r="F186" s="270" t="s">
        <v>868</v>
      </c>
      <c r="G186" s="1623" t="s">
        <v>80</v>
      </c>
      <c r="H186" s="2060" t="s">
        <v>1388</v>
      </c>
      <c r="I186" s="1360">
        <v>476</v>
      </c>
      <c r="J186" s="1749"/>
      <c r="K186" s="1813"/>
      <c r="L186" s="1757">
        <v>587</v>
      </c>
      <c r="M186" s="1758">
        <v>9850000</v>
      </c>
      <c r="N186" s="1692">
        <v>689</v>
      </c>
      <c r="O186" s="1758">
        <v>9850000</v>
      </c>
      <c r="P186" s="1754">
        <v>422</v>
      </c>
      <c r="Q186" s="688"/>
      <c r="R186" s="197"/>
      <c r="S186" s="507"/>
      <c r="T186" s="507"/>
      <c r="U186" s="507"/>
      <c r="V186" s="507"/>
      <c r="W186" s="507"/>
      <c r="X186" s="507">
        <v>985000</v>
      </c>
      <c r="Y186" s="507">
        <v>1970000</v>
      </c>
      <c r="Z186" s="507"/>
      <c r="AA186" s="507"/>
      <c r="AB186" s="702"/>
      <c r="AC186" s="690">
        <f t="shared" si="88"/>
        <v>2955000</v>
      </c>
      <c r="AD186" s="689">
        <f t="shared" si="83"/>
        <v>6895000</v>
      </c>
      <c r="AF186" s="903">
        <v>476</v>
      </c>
      <c r="AG186" s="1362" t="s">
        <v>248</v>
      </c>
      <c r="AH186" s="1124" t="s">
        <v>1182</v>
      </c>
      <c r="AI186" s="1113">
        <f t="shared" si="84"/>
        <v>422</v>
      </c>
      <c r="AJ186" s="904">
        <v>9850000</v>
      </c>
      <c r="AK186" s="906">
        <f t="shared" si="85"/>
        <v>0</v>
      </c>
      <c r="AL186" s="899"/>
      <c r="AM186" s="1604">
        <f t="shared" si="86"/>
        <v>0</v>
      </c>
    </row>
    <row r="187" spans="1:39" s="687" customFormat="1" ht="15">
      <c r="A187" s="706" t="s">
        <v>913</v>
      </c>
      <c r="B187" s="516">
        <f t="shared" si="87"/>
        <v>56890947</v>
      </c>
      <c r="C187" s="269" t="s">
        <v>36</v>
      </c>
      <c r="D187" s="270" t="s">
        <v>865</v>
      </c>
      <c r="E187" s="270" t="s">
        <v>923</v>
      </c>
      <c r="F187" s="270" t="s">
        <v>868</v>
      </c>
      <c r="G187" s="1623" t="s">
        <v>80</v>
      </c>
      <c r="H187" s="2060" t="s">
        <v>1388</v>
      </c>
      <c r="I187" s="1360">
        <v>477</v>
      </c>
      <c r="J187" s="1749"/>
      <c r="K187" s="1813"/>
      <c r="L187" s="1757">
        <v>527</v>
      </c>
      <c r="M187" s="1758">
        <v>56890947</v>
      </c>
      <c r="N187" s="1692">
        <v>686</v>
      </c>
      <c r="O187" s="1758">
        <v>56890947</v>
      </c>
      <c r="P187" s="1754">
        <v>417</v>
      </c>
      <c r="Q187" s="688"/>
      <c r="R187" s="197"/>
      <c r="S187" s="507"/>
      <c r="T187" s="507"/>
      <c r="U187" s="507"/>
      <c r="V187" s="507"/>
      <c r="W187" s="507"/>
      <c r="X187" s="507"/>
      <c r="Y187" s="507">
        <v>28318550</v>
      </c>
      <c r="Z187" s="507"/>
      <c r="AA187" s="507"/>
      <c r="AB187" s="702"/>
      <c r="AC187" s="690">
        <f t="shared" si="88"/>
        <v>28318550</v>
      </c>
      <c r="AD187" s="689">
        <f t="shared" si="83"/>
        <v>28572397</v>
      </c>
      <c r="AF187" s="903">
        <v>477</v>
      </c>
      <c r="AG187" s="1362" t="s">
        <v>925</v>
      </c>
      <c r="AH187" s="1124" t="s">
        <v>1179</v>
      </c>
      <c r="AI187" s="1113">
        <f t="shared" si="84"/>
        <v>417</v>
      </c>
      <c r="AJ187" s="904">
        <v>56890947.213333331</v>
      </c>
      <c r="AK187" s="906">
        <f t="shared" si="85"/>
        <v>0.21333333104848862</v>
      </c>
      <c r="AL187" s="899"/>
      <c r="AM187" s="1604">
        <f t="shared" si="86"/>
        <v>0.21333333104848862</v>
      </c>
    </row>
    <row r="188" spans="1:39" s="687" customFormat="1">
      <c r="A188" s="706" t="s">
        <v>913</v>
      </c>
      <c r="B188" s="516">
        <f t="shared" si="87"/>
        <v>5483334</v>
      </c>
      <c r="C188" s="269" t="s">
        <v>36</v>
      </c>
      <c r="D188" s="270" t="s">
        <v>865</v>
      </c>
      <c r="E188" s="270" t="s">
        <v>924</v>
      </c>
      <c r="F188" s="270" t="s">
        <v>868</v>
      </c>
      <c r="G188" s="1623" t="s">
        <v>80</v>
      </c>
      <c r="H188" s="2060" t="s">
        <v>1388</v>
      </c>
      <c r="I188" s="1360">
        <v>570</v>
      </c>
      <c r="J188" s="1819" t="s">
        <v>1365</v>
      </c>
      <c r="K188" s="1750">
        <f>5483334-5483334+5483334-5483334+5483334</f>
        <v>5483334</v>
      </c>
      <c r="L188" s="1757">
        <v>677</v>
      </c>
      <c r="M188" s="1758">
        <v>5483334</v>
      </c>
      <c r="N188" s="1692"/>
      <c r="O188" s="1758"/>
      <c r="P188" s="1754"/>
      <c r="Q188" s="688"/>
      <c r="R188" s="197"/>
      <c r="S188" s="507"/>
      <c r="T188" s="507"/>
      <c r="U188" s="507"/>
      <c r="V188" s="507"/>
      <c r="W188" s="507"/>
      <c r="X188" s="507"/>
      <c r="Y188" s="507"/>
      <c r="Z188" s="507"/>
      <c r="AA188" s="507"/>
      <c r="AB188" s="702"/>
      <c r="AC188" s="690">
        <f t="shared" si="88"/>
        <v>0</v>
      </c>
      <c r="AD188" s="689">
        <f t="shared" si="83"/>
        <v>0</v>
      </c>
      <c r="AF188" s="903">
        <v>570</v>
      </c>
      <c r="AG188" s="1362" t="s">
        <v>1304</v>
      </c>
      <c r="AH188" s="1124"/>
      <c r="AI188" s="1113">
        <f t="shared" si="84"/>
        <v>0</v>
      </c>
      <c r="AJ188" s="904">
        <v>6000000</v>
      </c>
      <c r="AK188" s="906">
        <f t="shared" si="85"/>
        <v>6000000</v>
      </c>
      <c r="AL188" s="899"/>
      <c r="AM188" s="1604">
        <f t="shared" si="86"/>
        <v>516666</v>
      </c>
    </row>
    <row r="189" spans="1:39" s="687" customFormat="1">
      <c r="A189" s="706" t="s">
        <v>913</v>
      </c>
      <c r="B189" s="516">
        <f t="shared" si="87"/>
        <v>5910000</v>
      </c>
      <c r="C189" s="269" t="s">
        <v>36</v>
      </c>
      <c r="D189" s="270" t="s">
        <v>865</v>
      </c>
      <c r="E189" s="270" t="s">
        <v>1299</v>
      </c>
      <c r="F189" s="270" t="s">
        <v>868</v>
      </c>
      <c r="G189" s="1623" t="s">
        <v>80</v>
      </c>
      <c r="H189" s="2060" t="s">
        <v>1388</v>
      </c>
      <c r="I189" s="1360">
        <v>587</v>
      </c>
      <c r="J189" s="1749" t="s">
        <v>1368</v>
      </c>
      <c r="K189" s="1750">
        <f>5910000-5910000+5910000</f>
        <v>5910000</v>
      </c>
      <c r="L189" s="1757">
        <v>719</v>
      </c>
      <c r="M189" s="1758">
        <v>5910000</v>
      </c>
      <c r="N189" s="1692"/>
      <c r="O189" s="1758"/>
      <c r="P189" s="1754"/>
      <c r="Q189" s="688"/>
      <c r="R189" s="197"/>
      <c r="S189" s="507"/>
      <c r="T189" s="507"/>
      <c r="U189" s="507"/>
      <c r="V189" s="507"/>
      <c r="W189" s="507"/>
      <c r="X189" s="507"/>
      <c r="Y189" s="507"/>
      <c r="Z189" s="507"/>
      <c r="AA189" s="507"/>
      <c r="AB189" s="702"/>
      <c r="AC189" s="690">
        <f t="shared" ref="AC189:AC192" si="89">SUM(Q189:AB189)</f>
        <v>0</v>
      </c>
      <c r="AD189" s="689">
        <f t="shared" si="83"/>
        <v>0</v>
      </c>
      <c r="AF189" s="903">
        <v>587</v>
      </c>
      <c r="AG189" s="1362" t="s">
        <v>248</v>
      </c>
      <c r="AH189" s="1124"/>
      <c r="AI189" s="1113">
        <f t="shared" si="84"/>
        <v>0</v>
      </c>
      <c r="AJ189" s="904">
        <v>9205000</v>
      </c>
      <c r="AK189" s="906">
        <f t="shared" si="85"/>
        <v>9205000</v>
      </c>
      <c r="AL189" s="899"/>
      <c r="AM189" s="1604">
        <f t="shared" si="86"/>
        <v>3295000</v>
      </c>
    </row>
    <row r="190" spans="1:39" s="687" customFormat="1">
      <c r="A190" s="706" t="s">
        <v>913</v>
      </c>
      <c r="B190" s="516">
        <f t="shared" si="87"/>
        <v>5910000</v>
      </c>
      <c r="C190" s="269" t="s">
        <v>36</v>
      </c>
      <c r="D190" s="270" t="s">
        <v>865</v>
      </c>
      <c r="E190" s="270" t="s">
        <v>1300</v>
      </c>
      <c r="F190" s="270" t="s">
        <v>868</v>
      </c>
      <c r="G190" s="1623" t="s">
        <v>80</v>
      </c>
      <c r="H190" s="2060" t="s">
        <v>1388</v>
      </c>
      <c r="I190" s="1360">
        <v>588</v>
      </c>
      <c r="J190" s="1749" t="s">
        <v>1369</v>
      </c>
      <c r="K190" s="1750">
        <v>5910000</v>
      </c>
      <c r="L190" s="1757">
        <v>720</v>
      </c>
      <c r="M190" s="1758">
        <v>5910000</v>
      </c>
      <c r="N190" s="1692"/>
      <c r="O190" s="1758"/>
      <c r="P190" s="1754"/>
      <c r="Q190" s="688"/>
      <c r="R190" s="197"/>
      <c r="S190" s="507"/>
      <c r="T190" s="507"/>
      <c r="U190" s="507"/>
      <c r="V190" s="507"/>
      <c r="W190" s="507"/>
      <c r="X190" s="507"/>
      <c r="Y190" s="507"/>
      <c r="Z190" s="507"/>
      <c r="AA190" s="507"/>
      <c r="AB190" s="702"/>
      <c r="AC190" s="690">
        <f t="shared" si="89"/>
        <v>0</v>
      </c>
      <c r="AD190" s="689">
        <f t="shared" si="83"/>
        <v>0</v>
      </c>
      <c r="AF190" s="903">
        <v>588</v>
      </c>
      <c r="AG190" s="1362" t="s">
        <v>248</v>
      </c>
      <c r="AH190" s="1124"/>
      <c r="AI190" s="1113">
        <f t="shared" si="84"/>
        <v>0</v>
      </c>
      <c r="AJ190" s="904">
        <v>6895000</v>
      </c>
      <c r="AK190" s="906">
        <f t="shared" si="85"/>
        <v>6895000</v>
      </c>
      <c r="AL190" s="899"/>
      <c r="AM190" s="1604">
        <f t="shared" si="86"/>
        <v>985000</v>
      </c>
    </row>
    <row r="191" spans="1:39" s="687" customFormat="1">
      <c r="A191" s="706" t="s">
        <v>913</v>
      </c>
      <c r="B191" s="516">
        <f t="shared" si="87"/>
        <v>5910000</v>
      </c>
      <c r="C191" s="269" t="s">
        <v>36</v>
      </c>
      <c r="D191" s="270" t="s">
        <v>865</v>
      </c>
      <c r="E191" s="270" t="s">
        <v>1301</v>
      </c>
      <c r="F191" s="270" t="s">
        <v>868</v>
      </c>
      <c r="G191" s="1623" t="s">
        <v>80</v>
      </c>
      <c r="H191" s="2060" t="s">
        <v>1388</v>
      </c>
      <c r="I191" s="1360">
        <v>589</v>
      </c>
      <c r="J191" s="1749" t="s">
        <v>1370</v>
      </c>
      <c r="K191" s="1750">
        <v>5910000</v>
      </c>
      <c r="L191" s="1757">
        <v>721</v>
      </c>
      <c r="M191" s="1758">
        <v>5910000</v>
      </c>
      <c r="N191" s="1692"/>
      <c r="O191" s="1758"/>
      <c r="P191" s="1754"/>
      <c r="Q191" s="688"/>
      <c r="R191" s="197"/>
      <c r="S191" s="507"/>
      <c r="T191" s="507"/>
      <c r="U191" s="507"/>
      <c r="V191" s="507"/>
      <c r="W191" s="507"/>
      <c r="X191" s="507"/>
      <c r="Y191" s="507"/>
      <c r="Z191" s="507"/>
      <c r="AA191" s="507"/>
      <c r="AB191" s="702"/>
      <c r="AC191" s="690">
        <f t="shared" si="89"/>
        <v>0</v>
      </c>
      <c r="AD191" s="689">
        <f t="shared" si="83"/>
        <v>0</v>
      </c>
      <c r="AF191" s="903">
        <v>589</v>
      </c>
      <c r="AG191" s="1362" t="s">
        <v>248</v>
      </c>
      <c r="AH191" s="1124"/>
      <c r="AI191" s="1113">
        <f t="shared" si="84"/>
        <v>0</v>
      </c>
      <c r="AJ191" s="904">
        <v>6895000</v>
      </c>
      <c r="AK191" s="906">
        <f t="shared" si="85"/>
        <v>6895000</v>
      </c>
      <c r="AL191" s="899"/>
      <c r="AM191" s="1604">
        <f t="shared" si="86"/>
        <v>985000</v>
      </c>
    </row>
    <row r="192" spans="1:39" s="687" customFormat="1">
      <c r="A192" s="706" t="s">
        <v>913</v>
      </c>
      <c r="B192" s="516">
        <f t="shared" si="87"/>
        <v>5910000</v>
      </c>
      <c r="C192" s="269" t="s">
        <v>36</v>
      </c>
      <c r="D192" s="270" t="s">
        <v>865</v>
      </c>
      <c r="E192" s="270" t="s">
        <v>1302</v>
      </c>
      <c r="F192" s="270" t="s">
        <v>868</v>
      </c>
      <c r="G192" s="1623" t="s">
        <v>80</v>
      </c>
      <c r="H192" s="2060" t="s">
        <v>1388</v>
      </c>
      <c r="I192" s="1360">
        <v>590</v>
      </c>
      <c r="J192" s="1749" t="s">
        <v>1371</v>
      </c>
      <c r="K192" s="1750">
        <f>5910000-5910000+5910000</f>
        <v>5910000</v>
      </c>
      <c r="L192" s="1757">
        <v>722</v>
      </c>
      <c r="M192" s="1758">
        <v>5910000</v>
      </c>
      <c r="N192" s="1692"/>
      <c r="O192" s="1758"/>
      <c r="P192" s="1754"/>
      <c r="Q192" s="688"/>
      <c r="R192" s="197"/>
      <c r="S192" s="507"/>
      <c r="T192" s="507"/>
      <c r="U192" s="507"/>
      <c r="V192" s="507"/>
      <c r="W192" s="507"/>
      <c r="X192" s="507"/>
      <c r="Y192" s="507"/>
      <c r="Z192" s="507"/>
      <c r="AA192" s="507"/>
      <c r="AB192" s="702"/>
      <c r="AC192" s="690">
        <f t="shared" si="89"/>
        <v>0</v>
      </c>
      <c r="AD192" s="689">
        <f t="shared" si="83"/>
        <v>0</v>
      </c>
      <c r="AF192" s="903">
        <v>590</v>
      </c>
      <c r="AG192" s="1362" t="s">
        <v>248</v>
      </c>
      <c r="AH192" s="1124"/>
      <c r="AI192" s="1113">
        <f t="shared" si="84"/>
        <v>0</v>
      </c>
      <c r="AJ192" s="904">
        <v>6895000</v>
      </c>
      <c r="AK192" s="906">
        <f t="shared" si="85"/>
        <v>6895000</v>
      </c>
      <c r="AL192" s="899"/>
      <c r="AM192" s="1604">
        <f t="shared" si="86"/>
        <v>985000</v>
      </c>
    </row>
    <row r="193" spans="1:39" s="687" customFormat="1">
      <c r="A193" s="706" t="s">
        <v>913</v>
      </c>
      <c r="B193" s="516">
        <f t="shared" si="87"/>
        <v>0</v>
      </c>
      <c r="C193" s="269" t="s">
        <v>36</v>
      </c>
      <c r="D193" s="270" t="s">
        <v>865</v>
      </c>
      <c r="E193" s="270" t="s">
        <v>207</v>
      </c>
      <c r="F193" s="270" t="s">
        <v>868</v>
      </c>
      <c r="G193" s="1623" t="s">
        <v>80</v>
      </c>
      <c r="H193" s="2060" t="s">
        <v>1388</v>
      </c>
      <c r="I193" s="1360" t="s">
        <v>178</v>
      </c>
      <c r="J193" s="1749"/>
      <c r="K193" s="1750"/>
      <c r="L193" s="1751"/>
      <c r="M193" s="1758"/>
      <c r="N193" s="1692"/>
      <c r="O193" s="1703"/>
      <c r="P193" s="1754"/>
      <c r="Q193" s="688"/>
      <c r="R193" s="507"/>
      <c r="S193" s="507"/>
      <c r="T193" s="507"/>
      <c r="U193" s="507"/>
      <c r="V193" s="507"/>
      <c r="W193" s="507"/>
      <c r="X193" s="507"/>
      <c r="Y193" s="507"/>
      <c r="Z193" s="507"/>
      <c r="AA193" s="507"/>
      <c r="AB193" s="702"/>
      <c r="AC193" s="690">
        <f t="shared" si="88"/>
        <v>0</v>
      </c>
      <c r="AD193" s="689">
        <f t="shared" si="83"/>
        <v>0</v>
      </c>
      <c r="AF193" s="903" t="s">
        <v>349</v>
      </c>
      <c r="AG193" s="1362" t="s">
        <v>520</v>
      </c>
      <c r="AH193" s="1124" t="s">
        <v>178</v>
      </c>
      <c r="AI193" s="1113">
        <f t="shared" si="84"/>
        <v>0</v>
      </c>
      <c r="AJ193" s="904">
        <f>206367591-29890000-150000000</f>
        <v>26477591</v>
      </c>
      <c r="AK193" s="906">
        <f t="shared" si="85"/>
        <v>26477591</v>
      </c>
      <c r="AL193" s="899"/>
      <c r="AM193" s="1604">
        <f t="shared" si="86"/>
        <v>26477591</v>
      </c>
    </row>
    <row r="194" spans="1:39" s="656" customFormat="1" ht="15">
      <c r="A194" s="691" t="s">
        <v>81</v>
      </c>
      <c r="B194" s="692">
        <f>B154-SUM(B155:B193)</f>
        <v>49816838</v>
      </c>
      <c r="C194" s="693"/>
      <c r="D194" s="694"/>
      <c r="E194" s="694"/>
      <c r="F194" s="694"/>
      <c r="G194" s="1313"/>
      <c r="H194" s="2054"/>
      <c r="I194" s="1769"/>
      <c r="J194" s="1779"/>
      <c r="K194" s="1780"/>
      <c r="L194" s="1781"/>
      <c r="M194" s="1782">
        <f>SUM(M155:M193)</f>
        <v>1146523809</v>
      </c>
      <c r="N194" s="1688"/>
      <c r="O194" s="1782">
        <f>SUM(O155:O193)</f>
        <v>1113455475</v>
      </c>
      <c r="P194" s="1820"/>
      <c r="Q194" s="678">
        <f>SUM(Q155:Q193)</f>
        <v>0</v>
      </c>
      <c r="R194" s="678">
        <f>SUM(R155:R193)</f>
        <v>6209134</v>
      </c>
      <c r="S194" s="678">
        <f t="shared" ref="S194:AD194" si="90">SUM(S155:S193)</f>
        <v>57917600</v>
      </c>
      <c r="T194" s="678">
        <f>SUM(T155:T193)</f>
        <v>64129900</v>
      </c>
      <c r="U194" s="678">
        <f>SUM(U155:U193)</f>
        <v>64996600</v>
      </c>
      <c r="V194" s="678">
        <f t="shared" si="90"/>
        <v>66459800</v>
      </c>
      <c r="W194" s="678">
        <f t="shared" si="90"/>
        <v>65668100</v>
      </c>
      <c r="X194" s="678">
        <f>SUM(X155:X193)</f>
        <v>79512767</v>
      </c>
      <c r="Y194" s="678">
        <f t="shared" si="90"/>
        <v>147987900</v>
      </c>
      <c r="Z194" s="678">
        <f t="shared" si="90"/>
        <v>0</v>
      </c>
      <c r="AA194" s="678">
        <f t="shared" si="90"/>
        <v>0</v>
      </c>
      <c r="AB194" s="678">
        <f t="shared" si="90"/>
        <v>0</v>
      </c>
      <c r="AC194" s="678">
        <f t="shared" si="90"/>
        <v>552881801</v>
      </c>
      <c r="AD194" s="678">
        <f t="shared" si="90"/>
        <v>560573674</v>
      </c>
      <c r="AF194" s="907"/>
      <c r="AG194" s="14"/>
      <c r="AH194" s="14"/>
      <c r="AI194" s="1117"/>
      <c r="AJ194" s="14">
        <f>SUM(AJ155:AJ193)</f>
        <v>1196340647.2133334</v>
      </c>
      <c r="AK194" s="182">
        <f>SUM(AK155:AK193)</f>
        <v>82885172.213333338</v>
      </c>
      <c r="AL194" s="899">
        <f>B154-AJ194</f>
        <v>-0.2133333683013916</v>
      </c>
    </row>
    <row r="195" spans="1:39" s="656" customFormat="1" ht="46.5" customHeight="1">
      <c r="A195" s="800" t="s">
        <v>910</v>
      </c>
      <c r="B195" s="817">
        <f>760000000-208990056-269758406</f>
        <v>281251538</v>
      </c>
      <c r="C195" s="1351" t="s">
        <v>36</v>
      </c>
      <c r="D195" s="1352" t="s">
        <v>865</v>
      </c>
      <c r="E195" s="1352" t="s">
        <v>147</v>
      </c>
      <c r="F195" s="1352" t="s">
        <v>868</v>
      </c>
      <c r="G195" s="2034" t="s">
        <v>80</v>
      </c>
      <c r="H195" s="2059" t="s">
        <v>1388</v>
      </c>
      <c r="I195" s="1806"/>
      <c r="J195" s="1807"/>
      <c r="K195" s="1808"/>
      <c r="L195" s="1809"/>
      <c r="M195" s="1810"/>
      <c r="N195" s="1809"/>
      <c r="O195" s="1811"/>
      <c r="P195" s="1812"/>
      <c r="Q195" s="703"/>
      <c r="R195" s="704"/>
      <c r="S195" s="704"/>
      <c r="T195" s="704"/>
      <c r="U195" s="704"/>
      <c r="V195" s="704"/>
      <c r="W195" s="704"/>
      <c r="X195" s="704"/>
      <c r="Y195" s="704"/>
      <c r="Z195" s="704"/>
      <c r="AA195" s="704"/>
      <c r="AB195" s="705"/>
      <c r="AC195" s="703"/>
      <c r="AD195" s="705"/>
      <c r="AF195" s="1251"/>
      <c r="AG195" s="704"/>
      <c r="AH195" s="704"/>
      <c r="AI195" s="704"/>
      <c r="AJ195" s="704"/>
      <c r="AK195" s="705"/>
      <c r="AL195" s="899"/>
    </row>
    <row r="196" spans="1:39" s="656" customFormat="1">
      <c r="A196" s="1359" t="s">
        <v>909</v>
      </c>
      <c r="B196" s="695">
        <f>M196</f>
        <v>51251538</v>
      </c>
      <c r="C196" s="269" t="s">
        <v>36</v>
      </c>
      <c r="D196" s="270" t="s">
        <v>865</v>
      </c>
      <c r="E196" s="270" t="s">
        <v>207</v>
      </c>
      <c r="F196" s="270" t="s">
        <v>868</v>
      </c>
      <c r="G196" s="1623" t="s">
        <v>80</v>
      </c>
      <c r="H196" s="2060" t="s">
        <v>1388</v>
      </c>
      <c r="I196" s="1613">
        <v>464</v>
      </c>
      <c r="J196" s="1821"/>
      <c r="K196" s="1822"/>
      <c r="L196" s="1823">
        <v>460</v>
      </c>
      <c r="M196" s="1824">
        <v>51251538</v>
      </c>
      <c r="N196" s="1682">
        <v>597</v>
      </c>
      <c r="O196" s="1824">
        <v>51251538</v>
      </c>
      <c r="P196" s="1825">
        <v>1</v>
      </c>
      <c r="Q196" s="718"/>
      <c r="R196" s="719"/>
      <c r="S196" s="719"/>
      <c r="T196" s="719"/>
      <c r="U196" s="719"/>
      <c r="V196" s="507"/>
      <c r="W196" s="507">
        <v>15375461</v>
      </c>
      <c r="X196" s="507"/>
      <c r="Y196" s="507">
        <v>30750922</v>
      </c>
      <c r="Z196" s="719"/>
      <c r="AA196" s="719"/>
      <c r="AB196" s="702"/>
      <c r="AC196" s="690">
        <f t="shared" ref="AC196:AC198" si="91">SUM(Q196:AB196)</f>
        <v>46126383</v>
      </c>
      <c r="AD196" s="689">
        <f>O196-AC196</f>
        <v>5125155</v>
      </c>
      <c r="AF196" s="946">
        <v>464</v>
      </c>
      <c r="AG196" s="1357" t="s">
        <v>911</v>
      </c>
      <c r="AH196" s="1357" t="s">
        <v>1130</v>
      </c>
      <c r="AI196" s="1113">
        <f>P196</f>
        <v>1</v>
      </c>
      <c r="AJ196" s="105">
        <v>51251538</v>
      </c>
      <c r="AK196" s="906">
        <f>AJ196-O196</f>
        <v>0</v>
      </c>
      <c r="AL196" s="899"/>
      <c r="AM196" s="1604">
        <f>AJ196-M196</f>
        <v>0</v>
      </c>
    </row>
    <row r="197" spans="1:39" s="656" customFormat="1">
      <c r="A197" s="1359" t="s">
        <v>909</v>
      </c>
      <c r="B197" s="695">
        <f t="shared" ref="B197:B198" si="92">M197</f>
        <v>230000000</v>
      </c>
      <c r="C197" s="269" t="s">
        <v>36</v>
      </c>
      <c r="D197" s="270" t="s">
        <v>865</v>
      </c>
      <c r="E197" s="270" t="s">
        <v>207</v>
      </c>
      <c r="F197" s="270" t="s">
        <v>868</v>
      </c>
      <c r="G197" s="1623" t="s">
        <v>80</v>
      </c>
      <c r="H197" s="2060" t="s">
        <v>1388</v>
      </c>
      <c r="I197" s="1613">
        <v>465</v>
      </c>
      <c r="J197" s="1821" t="s">
        <v>1306</v>
      </c>
      <c r="K197" s="1822">
        <v>230000000</v>
      </c>
      <c r="L197" s="1823">
        <v>657</v>
      </c>
      <c r="M197" s="1824">
        <v>230000000</v>
      </c>
      <c r="N197" s="1682"/>
      <c r="O197" s="1824"/>
      <c r="P197" s="1825"/>
      <c r="Q197" s="718"/>
      <c r="R197" s="719"/>
      <c r="S197" s="719"/>
      <c r="T197" s="719"/>
      <c r="U197" s="719"/>
      <c r="V197" s="719"/>
      <c r="W197" s="719"/>
      <c r="X197" s="719"/>
      <c r="Y197" s="719"/>
      <c r="Z197" s="719"/>
      <c r="AA197" s="719"/>
      <c r="AB197" s="702"/>
      <c r="AC197" s="690">
        <f t="shared" si="91"/>
        <v>0</v>
      </c>
      <c r="AD197" s="689">
        <f>O197-AC197</f>
        <v>0</v>
      </c>
      <c r="AF197" s="946">
        <v>465</v>
      </c>
      <c r="AG197" s="1357" t="s">
        <v>1303</v>
      </c>
      <c r="AH197" s="7" t="s">
        <v>178</v>
      </c>
      <c r="AI197" s="1113">
        <f>P197</f>
        <v>0</v>
      </c>
      <c r="AJ197" s="105">
        <f>416465338-186465338</f>
        <v>230000000</v>
      </c>
      <c r="AK197" s="906">
        <f>AJ197-O197</f>
        <v>230000000</v>
      </c>
      <c r="AL197" s="899"/>
      <c r="AM197" s="1604">
        <f>AJ197-M197</f>
        <v>0</v>
      </c>
    </row>
    <row r="198" spans="1:39" s="656" customFormat="1">
      <c r="A198" s="1359" t="s">
        <v>909</v>
      </c>
      <c r="B198" s="695">
        <f t="shared" si="92"/>
        <v>0</v>
      </c>
      <c r="C198" s="269" t="s">
        <v>36</v>
      </c>
      <c r="D198" s="270" t="s">
        <v>865</v>
      </c>
      <c r="E198" s="270" t="s">
        <v>207</v>
      </c>
      <c r="F198" s="270" t="s">
        <v>868</v>
      </c>
      <c r="G198" s="1623" t="s">
        <v>80</v>
      </c>
      <c r="H198" s="2060" t="s">
        <v>1388</v>
      </c>
      <c r="I198" s="1613">
        <v>466</v>
      </c>
      <c r="J198" s="1821"/>
      <c r="K198" s="1822"/>
      <c r="L198" s="1823"/>
      <c r="M198" s="1824"/>
      <c r="N198" s="1682"/>
      <c r="O198" s="1824"/>
      <c r="P198" s="1825"/>
      <c r="Q198" s="718"/>
      <c r="R198" s="719"/>
      <c r="S198" s="719"/>
      <c r="T198" s="719"/>
      <c r="U198" s="719"/>
      <c r="V198" s="719"/>
      <c r="W198" s="719"/>
      <c r="X198" s="719"/>
      <c r="Y198" s="719"/>
      <c r="Z198" s="719"/>
      <c r="AA198" s="719"/>
      <c r="AB198" s="702"/>
      <c r="AC198" s="690">
        <f t="shared" si="91"/>
        <v>0</v>
      </c>
      <c r="AD198" s="689">
        <f>O198-AC198</f>
        <v>0</v>
      </c>
      <c r="AF198" s="946">
        <v>466</v>
      </c>
      <c r="AG198" s="1357" t="s">
        <v>912</v>
      </c>
      <c r="AH198" s="7" t="s">
        <v>178</v>
      </c>
      <c r="AI198" s="1113">
        <f>P198</f>
        <v>0</v>
      </c>
      <c r="AJ198" s="105">
        <f>83293068-83293068</f>
        <v>0</v>
      </c>
      <c r="AK198" s="906">
        <f>AJ198-O198</f>
        <v>0</v>
      </c>
      <c r="AL198" s="899"/>
      <c r="AM198" s="1604">
        <f>AJ198-M198</f>
        <v>0</v>
      </c>
    </row>
    <row r="199" spans="1:39" s="656" customFormat="1" ht="15">
      <c r="A199" s="691" t="s">
        <v>81</v>
      </c>
      <c r="B199" s="692">
        <f>B195-SUM(B196:B198)</f>
        <v>0</v>
      </c>
      <c r="C199" s="693"/>
      <c r="D199" s="694"/>
      <c r="E199" s="694"/>
      <c r="F199" s="694"/>
      <c r="G199" s="1313"/>
      <c r="H199" s="2054"/>
      <c r="I199" s="1769"/>
      <c r="J199" s="1779"/>
      <c r="K199" s="1780"/>
      <c r="L199" s="1781"/>
      <c r="M199" s="1782">
        <f>SUM(M196:M198)</f>
        <v>281251538</v>
      </c>
      <c r="N199" s="1688"/>
      <c r="O199" s="1782">
        <f>SUM(O196:O198)</f>
        <v>51251538</v>
      </c>
      <c r="P199" s="1820"/>
      <c r="Q199" s="678">
        <f>SUM(Q196:Q198)</f>
        <v>0</v>
      </c>
      <c r="R199" s="678">
        <f t="shared" ref="R199:AD199" si="93">SUM(R196:R198)</f>
        <v>0</v>
      </c>
      <c r="S199" s="678">
        <f t="shared" si="93"/>
        <v>0</v>
      </c>
      <c r="T199" s="678">
        <f t="shared" si="93"/>
        <v>0</v>
      </c>
      <c r="U199" s="678">
        <f t="shared" si="93"/>
        <v>0</v>
      </c>
      <c r="V199" s="678">
        <f t="shared" si="93"/>
        <v>0</v>
      </c>
      <c r="W199" s="678">
        <f t="shared" si="93"/>
        <v>15375461</v>
      </c>
      <c r="X199" s="678">
        <f t="shared" si="93"/>
        <v>0</v>
      </c>
      <c r="Y199" s="678">
        <f t="shared" si="93"/>
        <v>30750922</v>
      </c>
      <c r="Z199" s="678">
        <f t="shared" si="93"/>
        <v>0</v>
      </c>
      <c r="AA199" s="678">
        <f t="shared" si="93"/>
        <v>0</v>
      </c>
      <c r="AB199" s="678">
        <f t="shared" si="93"/>
        <v>0</v>
      </c>
      <c r="AC199" s="678">
        <f t="shared" si="93"/>
        <v>46126383</v>
      </c>
      <c r="AD199" s="678">
        <f t="shared" si="93"/>
        <v>5125155</v>
      </c>
      <c r="AF199" s="907"/>
      <c r="AG199" s="14"/>
      <c r="AH199" s="14"/>
      <c r="AI199" s="1117"/>
      <c r="AJ199" s="678">
        <f t="shared" ref="AJ199" si="94">SUM(AJ196:AJ198)</f>
        <v>281251538</v>
      </c>
      <c r="AK199" s="678">
        <f>SUM(AK196:AK198)</f>
        <v>230000000</v>
      </c>
      <c r="AL199" s="899">
        <f>B195-AJ199</f>
        <v>0</v>
      </c>
    </row>
    <row r="200" spans="1:39" s="687" customFormat="1" ht="27.75" customHeight="1">
      <c r="A200" s="1353" t="s">
        <v>174</v>
      </c>
      <c r="B200" s="817">
        <f>760000000-760000000</f>
        <v>0</v>
      </c>
      <c r="C200" s="1351" t="s">
        <v>36</v>
      </c>
      <c r="D200" s="1352" t="s">
        <v>865</v>
      </c>
      <c r="E200" s="1352" t="s">
        <v>147</v>
      </c>
      <c r="F200" s="1352" t="s">
        <v>868</v>
      </c>
      <c r="G200" s="2034" t="s">
        <v>80</v>
      </c>
      <c r="H200" s="2059" t="s">
        <v>1388</v>
      </c>
      <c r="I200" s="1806"/>
      <c r="J200" s="1807"/>
      <c r="K200" s="1808"/>
      <c r="L200" s="1809"/>
      <c r="M200" s="1810"/>
      <c r="N200" s="1809"/>
      <c r="O200" s="1811"/>
      <c r="P200" s="1812"/>
      <c r="Q200" s="703"/>
      <c r="R200" s="704"/>
      <c r="S200" s="704"/>
      <c r="T200" s="704"/>
      <c r="U200" s="704"/>
      <c r="V200" s="704"/>
      <c r="W200" s="704"/>
      <c r="X200" s="704"/>
      <c r="Y200" s="704"/>
      <c r="Z200" s="704"/>
      <c r="AA200" s="704"/>
      <c r="AB200" s="705"/>
      <c r="AC200" s="703"/>
      <c r="AD200" s="705"/>
      <c r="AF200" s="1251"/>
      <c r="AG200" s="704"/>
      <c r="AH200" s="704"/>
      <c r="AI200" s="704"/>
      <c r="AJ200" s="704"/>
      <c r="AK200" s="705"/>
      <c r="AL200" s="899"/>
      <c r="AM200" s="1603"/>
    </row>
    <row r="201" spans="1:39" s="687" customFormat="1" ht="15">
      <c r="A201" s="706" t="s">
        <v>174</v>
      </c>
      <c r="B201" s="516">
        <f>M201</f>
        <v>0</v>
      </c>
      <c r="C201" s="269" t="s">
        <v>36</v>
      </c>
      <c r="D201" s="270" t="s">
        <v>865</v>
      </c>
      <c r="E201" s="270" t="s">
        <v>147</v>
      </c>
      <c r="F201" s="270" t="s">
        <v>868</v>
      </c>
      <c r="G201" s="1623" t="s">
        <v>80</v>
      </c>
      <c r="H201" s="2060" t="s">
        <v>1388</v>
      </c>
      <c r="I201" s="2046">
        <v>326</v>
      </c>
      <c r="J201" s="1749">
        <v>0</v>
      </c>
      <c r="K201" s="1813"/>
      <c r="L201" s="1685"/>
      <c r="M201" s="1752"/>
      <c r="N201" s="1685"/>
      <c r="O201" s="1753"/>
      <c r="P201" s="1754"/>
      <c r="Q201" s="688"/>
      <c r="R201" s="507"/>
      <c r="S201" s="507"/>
      <c r="T201" s="507"/>
      <c r="U201" s="507"/>
      <c r="V201" s="507"/>
      <c r="W201" s="507"/>
      <c r="X201" s="507"/>
      <c r="Y201" s="507"/>
      <c r="Z201" s="507"/>
      <c r="AA201" s="507"/>
      <c r="AB201" s="702"/>
      <c r="AC201" s="690">
        <f>SUM(Q201:AB201)</f>
        <v>0</v>
      </c>
      <c r="AD201" s="689">
        <f>O201-AC201</f>
        <v>0</v>
      </c>
      <c r="AF201" s="903">
        <v>326</v>
      </c>
      <c r="AG201" s="1362" t="s">
        <v>510</v>
      </c>
      <c r="AH201" s="1125" t="s">
        <v>178</v>
      </c>
      <c r="AI201" s="1113">
        <f>P201</f>
        <v>0</v>
      </c>
      <c r="AJ201" s="904">
        <f>600000000-600000000</f>
        <v>0</v>
      </c>
      <c r="AK201" s="906">
        <f>AJ201-O201</f>
        <v>0</v>
      </c>
      <c r="AL201" s="899"/>
      <c r="AM201" s="1604">
        <f>AJ201-M201</f>
        <v>0</v>
      </c>
    </row>
    <row r="202" spans="1:39" s="687" customFormat="1" ht="15">
      <c r="A202" s="706" t="s">
        <v>174</v>
      </c>
      <c r="B202" s="516">
        <f>M202</f>
        <v>0</v>
      </c>
      <c r="C202" s="269" t="s">
        <v>36</v>
      </c>
      <c r="D202" s="270" t="s">
        <v>865</v>
      </c>
      <c r="E202" s="270" t="s">
        <v>147</v>
      </c>
      <c r="F202" s="270" t="s">
        <v>868</v>
      </c>
      <c r="G202" s="1623" t="s">
        <v>80</v>
      </c>
      <c r="H202" s="2060" t="s">
        <v>1388</v>
      </c>
      <c r="I202" s="2046">
        <v>327</v>
      </c>
      <c r="J202" s="1749">
        <v>0</v>
      </c>
      <c r="K202" s="1750"/>
      <c r="L202" s="1692"/>
      <c r="M202" s="1758"/>
      <c r="N202" s="1692"/>
      <c r="O202" s="1703"/>
      <c r="P202" s="1754"/>
      <c r="Q202" s="688"/>
      <c r="R202" s="507"/>
      <c r="S202" s="507"/>
      <c r="T202" s="507"/>
      <c r="U202" s="507"/>
      <c r="V202" s="507"/>
      <c r="W202" s="507"/>
      <c r="X202" s="507"/>
      <c r="Y202" s="507"/>
      <c r="Z202" s="507"/>
      <c r="AA202" s="507"/>
      <c r="AB202" s="702"/>
      <c r="AC202" s="690">
        <f>SUM(Q202:AB202)</f>
        <v>0</v>
      </c>
      <c r="AD202" s="689">
        <f>O202-AC202</f>
        <v>0</v>
      </c>
      <c r="AF202" s="903">
        <v>327</v>
      </c>
      <c r="AG202" s="1362" t="s">
        <v>511</v>
      </c>
      <c r="AH202" s="1125" t="s">
        <v>178</v>
      </c>
      <c r="AI202" s="1113">
        <f>P202</f>
        <v>0</v>
      </c>
      <c r="AJ202" s="904">
        <f>160000000-160000000</f>
        <v>0</v>
      </c>
      <c r="AK202" s="906">
        <f>AJ202-O202</f>
        <v>0</v>
      </c>
      <c r="AL202" s="899"/>
      <c r="AM202" s="1604">
        <f>AJ202-M202</f>
        <v>0</v>
      </c>
    </row>
    <row r="203" spans="1:39" s="656" customFormat="1" ht="15">
      <c r="A203" s="691" t="s">
        <v>81</v>
      </c>
      <c r="B203" s="692">
        <f>B200-SUM(B201:B202)</f>
        <v>0</v>
      </c>
      <c r="C203" s="693"/>
      <c r="D203" s="694"/>
      <c r="E203" s="694"/>
      <c r="F203" s="694"/>
      <c r="G203" s="1313"/>
      <c r="H203" s="2054"/>
      <c r="I203" s="1769"/>
      <c r="J203" s="1779"/>
      <c r="K203" s="1780"/>
      <c r="L203" s="1781"/>
      <c r="M203" s="1782">
        <f>SUM(M201:M202)</f>
        <v>0</v>
      </c>
      <c r="N203" s="1688"/>
      <c r="O203" s="1782">
        <f>SUM(O201:O202)</f>
        <v>0</v>
      </c>
      <c r="P203" s="1820"/>
      <c r="Q203" s="678">
        <f>SUM(Q201:Q202)</f>
        <v>0</v>
      </c>
      <c r="R203" s="678">
        <f t="shared" ref="R203:AK203" si="95">SUM(R201:R202)</f>
        <v>0</v>
      </c>
      <c r="S203" s="678">
        <f t="shared" si="95"/>
        <v>0</v>
      </c>
      <c r="T203" s="678">
        <f t="shared" si="95"/>
        <v>0</v>
      </c>
      <c r="U203" s="678">
        <f t="shared" si="95"/>
        <v>0</v>
      </c>
      <c r="V203" s="678">
        <f t="shared" si="95"/>
        <v>0</v>
      </c>
      <c r="W203" s="678">
        <f t="shared" si="95"/>
        <v>0</v>
      </c>
      <c r="X203" s="678">
        <f t="shared" si="95"/>
        <v>0</v>
      </c>
      <c r="Y203" s="678">
        <f t="shared" si="95"/>
        <v>0</v>
      </c>
      <c r="Z203" s="678">
        <f t="shared" si="95"/>
        <v>0</v>
      </c>
      <c r="AA203" s="678">
        <f t="shared" si="95"/>
        <v>0</v>
      </c>
      <c r="AB203" s="678">
        <f t="shared" si="95"/>
        <v>0</v>
      </c>
      <c r="AC203" s="678">
        <f t="shared" si="95"/>
        <v>0</v>
      </c>
      <c r="AD203" s="678">
        <f t="shared" si="95"/>
        <v>0</v>
      </c>
      <c r="AF203" s="907"/>
      <c r="AG203" s="14"/>
      <c r="AH203" s="14"/>
      <c r="AI203" s="1117"/>
      <c r="AJ203" s="14">
        <f t="shared" si="95"/>
        <v>0</v>
      </c>
      <c r="AK203" s="182">
        <f t="shared" si="95"/>
        <v>0</v>
      </c>
      <c r="AL203" s="899">
        <f>B200-AJ203</f>
        <v>0</v>
      </c>
    </row>
    <row r="204" spans="1:39" s="656" customFormat="1" ht="24.75" customHeight="1">
      <c r="A204" s="805" t="s">
        <v>164</v>
      </c>
      <c r="B204" s="682">
        <f>B205+B209+B246+B252+B258</f>
        <v>2824159293</v>
      </c>
      <c r="C204" s="803"/>
      <c r="D204" s="804"/>
      <c r="E204" s="804"/>
      <c r="F204" s="804"/>
      <c r="G204" s="2035"/>
      <c r="H204" s="2061"/>
      <c r="I204" s="1826"/>
      <c r="J204" s="1827"/>
      <c r="K204" s="1828"/>
      <c r="L204" s="1829"/>
      <c r="M204" s="1830"/>
      <c r="N204" s="1831"/>
      <c r="O204" s="1832"/>
      <c r="P204" s="1833"/>
      <c r="Q204" s="707"/>
      <c r="R204" s="708"/>
      <c r="S204" s="708"/>
      <c r="T204" s="708"/>
      <c r="U204" s="708"/>
      <c r="V204" s="708"/>
      <c r="W204" s="708"/>
      <c r="X204" s="708"/>
      <c r="Y204" s="708"/>
      <c r="Z204" s="708"/>
      <c r="AA204" s="708"/>
      <c r="AB204" s="709"/>
      <c r="AC204" s="707"/>
      <c r="AD204" s="709"/>
      <c r="AF204" s="1252"/>
      <c r="AG204" s="708"/>
      <c r="AH204" s="708"/>
      <c r="AI204" s="708"/>
      <c r="AJ204" s="708"/>
      <c r="AK204" s="709"/>
      <c r="AL204" s="899"/>
    </row>
    <row r="205" spans="1:39" s="656" customFormat="1" ht="29.25" customHeight="1">
      <c r="A205" s="805" t="s">
        <v>169</v>
      </c>
      <c r="B205" s="817">
        <f>100000000-100000000</f>
        <v>0</v>
      </c>
      <c r="C205" s="1354" t="s">
        <v>36</v>
      </c>
      <c r="D205" s="1355" t="s">
        <v>866</v>
      </c>
      <c r="E205" s="1355" t="s">
        <v>147</v>
      </c>
      <c r="F205" s="1355" t="s">
        <v>869</v>
      </c>
      <c r="G205" s="2036" t="s">
        <v>80</v>
      </c>
      <c r="H205" s="2062" t="s">
        <v>1388</v>
      </c>
      <c r="I205" s="1826"/>
      <c r="J205" s="1827"/>
      <c r="K205" s="1828"/>
      <c r="L205" s="1834"/>
      <c r="M205" s="1830"/>
      <c r="N205" s="1835"/>
      <c r="O205" s="1832"/>
      <c r="P205" s="1833"/>
      <c r="Q205" s="707"/>
      <c r="R205" s="708"/>
      <c r="S205" s="708"/>
      <c r="T205" s="708"/>
      <c r="U205" s="708"/>
      <c r="V205" s="708"/>
      <c r="W205" s="708"/>
      <c r="X205" s="708"/>
      <c r="Y205" s="708"/>
      <c r="Z205" s="708"/>
      <c r="AA205" s="708"/>
      <c r="AB205" s="709"/>
      <c r="AC205" s="707"/>
      <c r="AD205" s="709"/>
      <c r="AF205" s="1252"/>
      <c r="AG205" s="708"/>
      <c r="AH205" s="708"/>
      <c r="AI205" s="708"/>
      <c r="AJ205" s="708"/>
      <c r="AK205" s="709"/>
      <c r="AL205" s="899"/>
    </row>
    <row r="206" spans="1:39" s="687" customFormat="1" ht="15">
      <c r="A206" s="710" t="s">
        <v>165</v>
      </c>
      <c r="B206" s="697">
        <f>M206</f>
        <v>0</v>
      </c>
      <c r="C206" s="271" t="s">
        <v>36</v>
      </c>
      <c r="D206" s="272" t="s">
        <v>866</v>
      </c>
      <c r="E206" s="272" t="s">
        <v>147</v>
      </c>
      <c r="F206" s="272" t="s">
        <v>868</v>
      </c>
      <c r="G206" s="1624" t="s">
        <v>80</v>
      </c>
      <c r="H206" s="2063" t="s">
        <v>1388</v>
      </c>
      <c r="I206" s="2046" t="s">
        <v>178</v>
      </c>
      <c r="J206" s="1749"/>
      <c r="K206" s="1750"/>
      <c r="L206" s="1757"/>
      <c r="M206" s="1758"/>
      <c r="N206" s="1757"/>
      <c r="O206" s="1703"/>
      <c r="P206" s="1754"/>
      <c r="Q206" s="688"/>
      <c r="R206" s="507"/>
      <c r="S206" s="507"/>
      <c r="T206" s="507"/>
      <c r="U206" s="507"/>
      <c r="V206" s="507"/>
      <c r="W206" s="507"/>
      <c r="X206" s="507"/>
      <c r="Y206" s="507"/>
      <c r="Z206" s="507"/>
      <c r="AA206" s="507"/>
      <c r="AB206" s="702"/>
      <c r="AC206" s="690">
        <f>SUM(Q206:AB206)</f>
        <v>0</v>
      </c>
      <c r="AD206" s="689">
        <f>O206-AC206</f>
        <v>0</v>
      </c>
      <c r="AF206" s="903">
        <v>324</v>
      </c>
      <c r="AG206" s="1362" t="s">
        <v>496</v>
      </c>
      <c r="AH206" s="1125" t="s">
        <v>178</v>
      </c>
      <c r="AI206" s="1113">
        <f>P206</f>
        <v>0</v>
      </c>
      <c r="AJ206" s="904">
        <f>100000000-100000000</f>
        <v>0</v>
      </c>
      <c r="AK206" s="906">
        <f>AJ206-O206</f>
        <v>0</v>
      </c>
      <c r="AL206" s="899"/>
      <c r="AM206" s="1604">
        <f>AJ206-M206</f>
        <v>0</v>
      </c>
    </row>
    <row r="207" spans="1:39" s="687" customFormat="1" ht="15">
      <c r="A207" s="710" t="s">
        <v>165</v>
      </c>
      <c r="B207" s="697">
        <f>M207</f>
        <v>0</v>
      </c>
      <c r="C207" s="271" t="s">
        <v>36</v>
      </c>
      <c r="D207" s="272" t="s">
        <v>866</v>
      </c>
      <c r="E207" s="272" t="s">
        <v>183</v>
      </c>
      <c r="F207" s="272" t="s">
        <v>868</v>
      </c>
      <c r="G207" s="1624" t="s">
        <v>80</v>
      </c>
      <c r="H207" s="2063" t="s">
        <v>1388</v>
      </c>
      <c r="I207" s="2046">
        <v>324</v>
      </c>
      <c r="J207" s="1749">
        <v>0</v>
      </c>
      <c r="K207" s="1750"/>
      <c r="L207" s="1757">
        <v>405</v>
      </c>
      <c r="M207" s="1758">
        <f>100000000-100000000</f>
        <v>0</v>
      </c>
      <c r="N207" s="1757"/>
      <c r="O207" s="1836"/>
      <c r="P207" s="1754"/>
      <c r="Q207" s="698"/>
      <c r="R207" s="699"/>
      <c r="S207" s="699"/>
      <c r="T207" s="699"/>
      <c r="U207" s="699"/>
      <c r="V207" s="699"/>
      <c r="W207" s="699"/>
      <c r="X207" s="699"/>
      <c r="Y207" s="699"/>
      <c r="Z207" s="699"/>
      <c r="AA207" s="699"/>
      <c r="AB207" s="720"/>
      <c r="AC207" s="690">
        <f>SUM(Q207:AB207)</f>
        <v>0</v>
      </c>
      <c r="AD207" s="689">
        <f>O207-AC207</f>
        <v>0</v>
      </c>
      <c r="AF207" s="903" t="s">
        <v>349</v>
      </c>
      <c r="AG207" s="1362" t="s">
        <v>932</v>
      </c>
      <c r="AH207" s="1125"/>
      <c r="AI207" s="1113"/>
      <c r="AJ207" s="904">
        <f>100000000-100000000</f>
        <v>0</v>
      </c>
      <c r="AK207" s="906">
        <f>AJ207-O207</f>
        <v>0</v>
      </c>
      <c r="AL207" s="899"/>
      <c r="AM207" s="1604">
        <f>AJ207-M207</f>
        <v>0</v>
      </c>
    </row>
    <row r="208" spans="1:39" s="656" customFormat="1" ht="15">
      <c r="A208" s="691" t="s">
        <v>81</v>
      </c>
      <c r="B208" s="692">
        <f>B205-B206-B207</f>
        <v>0</v>
      </c>
      <c r="C208" s="693"/>
      <c r="D208" s="694"/>
      <c r="E208" s="694"/>
      <c r="F208" s="694"/>
      <c r="G208" s="1313"/>
      <c r="H208" s="2054"/>
      <c r="I208" s="1769"/>
      <c r="J208" s="1779"/>
      <c r="K208" s="1780"/>
      <c r="L208" s="1781"/>
      <c r="M208" s="1782">
        <f>SUM(M206:M207)</f>
        <v>0</v>
      </c>
      <c r="N208" s="1688"/>
      <c r="O208" s="1782">
        <f>SUM(O206:O207)</f>
        <v>0</v>
      </c>
      <c r="P208" s="1763"/>
      <c r="Q208" s="678">
        <f>SUM(Q206:Q207)</f>
        <v>0</v>
      </c>
      <c r="R208" s="678">
        <f t="shared" ref="R208:AD208" si="96">SUM(R206:R207)</f>
        <v>0</v>
      </c>
      <c r="S208" s="678">
        <f t="shared" si="96"/>
        <v>0</v>
      </c>
      <c r="T208" s="678">
        <f t="shared" si="96"/>
        <v>0</v>
      </c>
      <c r="U208" s="678">
        <f t="shared" si="96"/>
        <v>0</v>
      </c>
      <c r="V208" s="678">
        <f t="shared" si="96"/>
        <v>0</v>
      </c>
      <c r="W208" s="678">
        <f t="shared" si="96"/>
        <v>0</v>
      </c>
      <c r="X208" s="678">
        <f t="shared" si="96"/>
        <v>0</v>
      </c>
      <c r="Y208" s="678">
        <f t="shared" si="96"/>
        <v>0</v>
      </c>
      <c r="Z208" s="678">
        <f t="shared" si="96"/>
        <v>0</v>
      </c>
      <c r="AA208" s="678">
        <f t="shared" si="96"/>
        <v>0</v>
      </c>
      <c r="AB208" s="678">
        <f t="shared" si="96"/>
        <v>0</v>
      </c>
      <c r="AC208" s="678">
        <f t="shared" si="96"/>
        <v>0</v>
      </c>
      <c r="AD208" s="678">
        <f t="shared" si="96"/>
        <v>0</v>
      </c>
      <c r="AF208" s="907">
        <f t="shared" ref="AF208:AI208" si="97">SUM(AF206:AF206)</f>
        <v>324</v>
      </c>
      <c r="AG208" s="14">
        <f t="shared" si="97"/>
        <v>0</v>
      </c>
      <c r="AH208" s="14">
        <f t="shared" si="97"/>
        <v>0</v>
      </c>
      <c r="AI208" s="1117">
        <f t="shared" si="97"/>
        <v>0</v>
      </c>
      <c r="AJ208" s="678">
        <f>SUM(AJ206:AJ207)</f>
        <v>0</v>
      </c>
      <c r="AK208" s="678">
        <f>SUM(AK206:AK207)</f>
        <v>0</v>
      </c>
      <c r="AL208" s="899">
        <f>B205-AJ208</f>
        <v>0</v>
      </c>
    </row>
    <row r="209" spans="1:39" s="656" customFormat="1" ht="28.5" customHeight="1">
      <c r="A209" s="805" t="s">
        <v>170</v>
      </c>
      <c r="B209" s="817">
        <f>1003000000+55320000+8584767</f>
        <v>1066904767</v>
      </c>
      <c r="C209" s="1354" t="s">
        <v>36</v>
      </c>
      <c r="D209" s="1355" t="s">
        <v>866</v>
      </c>
      <c r="E209" s="1355" t="s">
        <v>147</v>
      </c>
      <c r="F209" s="1355" t="s">
        <v>869</v>
      </c>
      <c r="G209" s="2036" t="s">
        <v>80</v>
      </c>
      <c r="H209" s="2062" t="s">
        <v>1388</v>
      </c>
      <c r="I209" s="1826"/>
      <c r="J209" s="1827"/>
      <c r="K209" s="1828"/>
      <c r="L209" s="1834"/>
      <c r="M209" s="1830"/>
      <c r="N209" s="1835"/>
      <c r="O209" s="1832"/>
      <c r="P209" s="1833"/>
      <c r="Q209" s="707"/>
      <c r="R209" s="708"/>
      <c r="S209" s="708"/>
      <c r="T209" s="708"/>
      <c r="U209" s="708"/>
      <c r="V209" s="708"/>
      <c r="W209" s="708"/>
      <c r="X209" s="708"/>
      <c r="Y209" s="708"/>
      <c r="Z209" s="708"/>
      <c r="AA209" s="708"/>
      <c r="AB209" s="709"/>
      <c r="AC209" s="707"/>
      <c r="AD209" s="709"/>
      <c r="AF209" s="1252"/>
      <c r="AG209" s="708"/>
      <c r="AH209" s="708"/>
      <c r="AI209" s="708"/>
      <c r="AJ209" s="708"/>
      <c r="AK209" s="709"/>
      <c r="AL209" s="899"/>
    </row>
    <row r="210" spans="1:39" s="656" customFormat="1" ht="15">
      <c r="A210" s="710" t="s">
        <v>166</v>
      </c>
      <c r="B210" s="697">
        <f t="shared" ref="B210:B244" si="98">M210</f>
        <v>73069800</v>
      </c>
      <c r="C210" s="271" t="s">
        <v>36</v>
      </c>
      <c r="D210" s="272" t="s">
        <v>866</v>
      </c>
      <c r="E210" s="272" t="s">
        <v>147</v>
      </c>
      <c r="F210" s="272" t="s">
        <v>868</v>
      </c>
      <c r="G210" s="1624" t="s">
        <v>80</v>
      </c>
      <c r="H210" s="2063" t="s">
        <v>1388</v>
      </c>
      <c r="I210" s="2046">
        <v>328</v>
      </c>
      <c r="J210" s="1821">
        <v>0</v>
      </c>
      <c r="K210" s="1776"/>
      <c r="L210" s="1751">
        <v>516</v>
      </c>
      <c r="M210" s="1824">
        <v>73069800</v>
      </c>
      <c r="N210" s="1804">
        <v>698</v>
      </c>
      <c r="O210" s="1703">
        <v>73069800</v>
      </c>
      <c r="P210" s="1805">
        <v>416</v>
      </c>
      <c r="Q210" s="688"/>
      <c r="R210" s="507"/>
      <c r="S210" s="507"/>
      <c r="T210" s="507"/>
      <c r="U210" s="507"/>
      <c r="V210" s="507"/>
      <c r="W210" s="507"/>
      <c r="X210" s="507"/>
      <c r="Y210" s="507">
        <v>8700000</v>
      </c>
      <c r="Z210" s="507"/>
      <c r="AA210" s="507"/>
      <c r="AB210" s="702"/>
      <c r="AC210" s="690">
        <f t="shared" ref="AC210" si="99">SUM(Q210:AB210)</f>
        <v>8700000</v>
      </c>
      <c r="AD210" s="689">
        <f t="shared" ref="AD210:AD244" si="100">O210-AC210</f>
        <v>64369800</v>
      </c>
      <c r="AF210" s="903">
        <v>328</v>
      </c>
      <c r="AG210" s="1362" t="s">
        <v>999</v>
      </c>
      <c r="AH210" s="1124" t="s">
        <v>1074</v>
      </c>
      <c r="AI210" s="1113">
        <f t="shared" ref="AI210:AI244" si="101">P210</f>
        <v>416</v>
      </c>
      <c r="AJ210" s="904">
        <f>83309800-10240000</f>
        <v>73069800</v>
      </c>
      <c r="AK210" s="906">
        <f t="shared" ref="AK210:AK244" si="102">AJ210-O210</f>
        <v>0</v>
      </c>
      <c r="AL210" s="899"/>
      <c r="AM210" s="1604">
        <f t="shared" ref="AM210:AM244" si="103">AJ210-M210</f>
        <v>0</v>
      </c>
    </row>
    <row r="211" spans="1:39" s="656" customFormat="1" ht="15">
      <c r="A211" s="710" t="s">
        <v>166</v>
      </c>
      <c r="B211" s="697">
        <f t="shared" si="98"/>
        <v>148051325</v>
      </c>
      <c r="C211" s="271" t="s">
        <v>36</v>
      </c>
      <c r="D211" s="272" t="s">
        <v>866</v>
      </c>
      <c r="E211" s="272" t="s">
        <v>147</v>
      </c>
      <c r="F211" s="272" t="s">
        <v>868</v>
      </c>
      <c r="G211" s="1624" t="s">
        <v>80</v>
      </c>
      <c r="H211" s="2063" t="s">
        <v>1388</v>
      </c>
      <c r="I211" s="2046">
        <v>329</v>
      </c>
      <c r="J211" s="1821">
        <v>0</v>
      </c>
      <c r="K211" s="1776"/>
      <c r="L211" s="1751">
        <v>493</v>
      </c>
      <c r="M211" s="1824">
        <v>148051325</v>
      </c>
      <c r="N211" s="1804">
        <v>723</v>
      </c>
      <c r="O211" s="1824">
        <v>148051325</v>
      </c>
      <c r="P211" s="1754">
        <v>429</v>
      </c>
      <c r="Q211" s="688"/>
      <c r="R211" s="507"/>
      <c r="S211" s="507"/>
      <c r="T211" s="507"/>
      <c r="U211" s="507"/>
      <c r="V211" s="507"/>
      <c r="W211" s="507"/>
      <c r="X211" s="507"/>
      <c r="Y211" s="507">
        <v>17756800</v>
      </c>
      <c r="Z211" s="507"/>
      <c r="AA211" s="507"/>
      <c r="AB211" s="702"/>
      <c r="AC211" s="690">
        <f t="shared" ref="AC211:AC244" si="104">SUM(Q211:AB211)</f>
        <v>17756800</v>
      </c>
      <c r="AD211" s="689">
        <f t="shared" si="100"/>
        <v>130294525</v>
      </c>
      <c r="AF211" s="903">
        <v>329</v>
      </c>
      <c r="AG211" s="1362" t="s">
        <v>244</v>
      </c>
      <c r="AH211" s="1124" t="s">
        <v>1225</v>
      </c>
      <c r="AI211" s="1113">
        <f t="shared" si="101"/>
        <v>429</v>
      </c>
      <c r="AJ211" s="904">
        <f>211081567+30000000-64600000</f>
        <v>176481567</v>
      </c>
      <c r="AK211" s="906">
        <f t="shared" si="102"/>
        <v>28430242</v>
      </c>
      <c r="AL211" s="899"/>
      <c r="AM211" s="1604">
        <f t="shared" si="103"/>
        <v>28430242</v>
      </c>
    </row>
    <row r="212" spans="1:39" s="656" customFormat="1" ht="15">
      <c r="A212" s="710" t="s">
        <v>166</v>
      </c>
      <c r="B212" s="697">
        <f t="shared" si="98"/>
        <v>26300000</v>
      </c>
      <c r="C212" s="271" t="s">
        <v>36</v>
      </c>
      <c r="D212" s="272" t="s">
        <v>866</v>
      </c>
      <c r="E212" s="272" t="s">
        <v>147</v>
      </c>
      <c r="F212" s="272" t="s">
        <v>868</v>
      </c>
      <c r="G212" s="1624" t="s">
        <v>80</v>
      </c>
      <c r="H212" s="2063" t="s">
        <v>1388</v>
      </c>
      <c r="I212" s="2046">
        <v>349</v>
      </c>
      <c r="J212" s="1821">
        <v>0</v>
      </c>
      <c r="K212" s="1776"/>
      <c r="L212" s="1751">
        <v>207</v>
      </c>
      <c r="M212" s="1758">
        <v>26300000</v>
      </c>
      <c r="N212" s="1692">
        <v>237</v>
      </c>
      <c r="O212" s="1703">
        <v>26300000</v>
      </c>
      <c r="P212" s="1754">
        <v>221</v>
      </c>
      <c r="Q212" s="688"/>
      <c r="R212" s="507"/>
      <c r="S212" s="507">
        <f>VLOOKUP(N212,[9]Hoja2!N$2:T$77,7,0)</f>
        <v>2104000</v>
      </c>
      <c r="T212" s="507">
        <v>2630000</v>
      </c>
      <c r="U212" s="507">
        <v>2630000</v>
      </c>
      <c r="V212" s="507">
        <v>2630000</v>
      </c>
      <c r="W212" s="507">
        <v>2630000</v>
      </c>
      <c r="X212" s="507">
        <v>2630000</v>
      </c>
      <c r="Y212" s="507">
        <v>2630000</v>
      </c>
      <c r="Z212" s="507"/>
      <c r="AA212" s="507"/>
      <c r="AB212" s="702"/>
      <c r="AC212" s="690">
        <f t="shared" si="104"/>
        <v>17884000</v>
      </c>
      <c r="AD212" s="689">
        <f t="shared" si="100"/>
        <v>8416000</v>
      </c>
      <c r="AF212" s="903">
        <v>349</v>
      </c>
      <c r="AG212" s="1362" t="s">
        <v>500</v>
      </c>
      <c r="AH212" s="1124" t="s">
        <v>764</v>
      </c>
      <c r="AI212" s="1113">
        <f t="shared" si="101"/>
        <v>221</v>
      </c>
      <c r="AJ212" s="904">
        <v>26300000</v>
      </c>
      <c r="AK212" s="906">
        <f t="shared" si="102"/>
        <v>0</v>
      </c>
      <c r="AL212" s="899"/>
      <c r="AM212" s="1604">
        <f t="shared" si="103"/>
        <v>0</v>
      </c>
    </row>
    <row r="213" spans="1:39" s="656" customFormat="1" ht="15">
      <c r="A213" s="710" t="s">
        <v>166</v>
      </c>
      <c r="B213" s="697">
        <f t="shared" si="98"/>
        <v>26300000</v>
      </c>
      <c r="C213" s="271" t="s">
        <v>36</v>
      </c>
      <c r="D213" s="272" t="s">
        <v>866</v>
      </c>
      <c r="E213" s="272" t="s">
        <v>147</v>
      </c>
      <c r="F213" s="272" t="s">
        <v>868</v>
      </c>
      <c r="G213" s="1624" t="s">
        <v>80</v>
      </c>
      <c r="H213" s="2063" t="s">
        <v>1388</v>
      </c>
      <c r="I213" s="2046">
        <v>350</v>
      </c>
      <c r="J213" s="1821">
        <v>0</v>
      </c>
      <c r="K213" s="1776"/>
      <c r="L213" s="1751">
        <v>46</v>
      </c>
      <c r="M213" s="1758">
        <v>26300000</v>
      </c>
      <c r="N213" s="1692">
        <v>48</v>
      </c>
      <c r="O213" s="1703">
        <v>26300000</v>
      </c>
      <c r="P213" s="1754">
        <v>65</v>
      </c>
      <c r="Q213" s="688"/>
      <c r="R213" s="507">
        <v>1139667</v>
      </c>
      <c r="S213" s="507">
        <f>VLOOKUP(N213,[9]Hoja2!N$2:T$77,7,0)</f>
        <v>2630000</v>
      </c>
      <c r="T213" s="507">
        <v>2630000</v>
      </c>
      <c r="U213" s="507">
        <v>2630000</v>
      </c>
      <c r="V213" s="507">
        <v>2630000</v>
      </c>
      <c r="W213" s="507">
        <v>2630000</v>
      </c>
      <c r="X213" s="507">
        <v>2630000</v>
      </c>
      <c r="Y213" s="507">
        <v>2630000</v>
      </c>
      <c r="Z213" s="507"/>
      <c r="AA213" s="507"/>
      <c r="AB213" s="702"/>
      <c r="AC213" s="690">
        <f t="shared" si="104"/>
        <v>19549667</v>
      </c>
      <c r="AD213" s="689">
        <f t="shared" si="100"/>
        <v>6750333</v>
      </c>
      <c r="AF213" s="903">
        <v>350</v>
      </c>
      <c r="AG213" s="1362" t="s">
        <v>501</v>
      </c>
      <c r="AH213" s="1124" t="s">
        <v>546</v>
      </c>
      <c r="AI213" s="1113">
        <f t="shared" si="101"/>
        <v>65</v>
      </c>
      <c r="AJ213" s="904">
        <v>26300000</v>
      </c>
      <c r="AK213" s="906">
        <f t="shared" si="102"/>
        <v>0</v>
      </c>
      <c r="AL213" s="899"/>
      <c r="AM213" s="1604">
        <f t="shared" si="103"/>
        <v>0</v>
      </c>
    </row>
    <row r="214" spans="1:39" s="656" customFormat="1" ht="15">
      <c r="A214" s="710" t="s">
        <v>166</v>
      </c>
      <c r="B214" s="697">
        <f t="shared" si="98"/>
        <v>26300000</v>
      </c>
      <c r="C214" s="271" t="s">
        <v>36</v>
      </c>
      <c r="D214" s="272" t="s">
        <v>866</v>
      </c>
      <c r="E214" s="272" t="s">
        <v>147</v>
      </c>
      <c r="F214" s="272" t="s">
        <v>868</v>
      </c>
      <c r="G214" s="1624" t="s">
        <v>80</v>
      </c>
      <c r="H214" s="2063" t="s">
        <v>1388</v>
      </c>
      <c r="I214" s="2046">
        <v>351</v>
      </c>
      <c r="J214" s="1821">
        <v>0</v>
      </c>
      <c r="K214" s="1776"/>
      <c r="L214" s="1751">
        <v>44</v>
      </c>
      <c r="M214" s="1758">
        <v>26300000</v>
      </c>
      <c r="N214" s="1692">
        <v>62</v>
      </c>
      <c r="O214" s="1703">
        <v>26300000</v>
      </c>
      <c r="P214" s="1754">
        <v>66</v>
      </c>
      <c r="Q214" s="688"/>
      <c r="R214" s="507">
        <v>876667</v>
      </c>
      <c r="S214" s="507">
        <f>VLOOKUP(N214,[9]Hoja2!N$2:T$77,7,0)</f>
        <v>2630000</v>
      </c>
      <c r="T214" s="507">
        <v>2630000</v>
      </c>
      <c r="U214" s="507">
        <v>2630000</v>
      </c>
      <c r="V214" s="507">
        <v>2630000</v>
      </c>
      <c r="W214" s="507">
        <v>2630000</v>
      </c>
      <c r="X214" s="507">
        <v>2630000</v>
      </c>
      <c r="Y214" s="507">
        <v>2630000</v>
      </c>
      <c r="Z214" s="507"/>
      <c r="AA214" s="507"/>
      <c r="AB214" s="702"/>
      <c r="AC214" s="690">
        <f t="shared" si="104"/>
        <v>19286667</v>
      </c>
      <c r="AD214" s="689">
        <f t="shared" si="100"/>
        <v>7013333</v>
      </c>
      <c r="AF214" s="903">
        <v>351</v>
      </c>
      <c r="AG214" s="1362" t="s">
        <v>501</v>
      </c>
      <c r="AH214" s="1124" t="s">
        <v>547</v>
      </c>
      <c r="AI214" s="1113">
        <f t="shared" si="101"/>
        <v>66</v>
      </c>
      <c r="AJ214" s="904">
        <v>26300000</v>
      </c>
      <c r="AK214" s="906">
        <f t="shared" si="102"/>
        <v>0</v>
      </c>
      <c r="AL214" s="899"/>
      <c r="AM214" s="1604">
        <f t="shared" si="103"/>
        <v>0</v>
      </c>
    </row>
    <row r="215" spans="1:39" s="656" customFormat="1" ht="15">
      <c r="A215" s="710" t="s">
        <v>166</v>
      </c>
      <c r="B215" s="697">
        <f t="shared" si="98"/>
        <v>26300000</v>
      </c>
      <c r="C215" s="271" t="s">
        <v>36</v>
      </c>
      <c r="D215" s="272" t="s">
        <v>866</v>
      </c>
      <c r="E215" s="272" t="s">
        <v>147</v>
      </c>
      <c r="F215" s="272" t="s">
        <v>868</v>
      </c>
      <c r="G215" s="1624" t="s">
        <v>80</v>
      </c>
      <c r="H215" s="2063" t="s">
        <v>1388</v>
      </c>
      <c r="I215" s="2046">
        <v>352</v>
      </c>
      <c r="J215" s="1821">
        <v>0</v>
      </c>
      <c r="K215" s="1776"/>
      <c r="L215" s="1751">
        <v>43</v>
      </c>
      <c r="M215" s="1758">
        <v>26300000</v>
      </c>
      <c r="N215" s="1692">
        <v>50</v>
      </c>
      <c r="O215" s="1703">
        <v>26300000</v>
      </c>
      <c r="P215" s="1754">
        <v>30</v>
      </c>
      <c r="Q215" s="688"/>
      <c r="R215" s="507">
        <v>526000</v>
      </c>
      <c r="S215" s="507">
        <f>VLOOKUP(N215,[9]Hoja2!N$2:T$77,7,0)</f>
        <v>2630000</v>
      </c>
      <c r="T215" s="507">
        <v>2630000</v>
      </c>
      <c r="U215" s="507">
        <v>2630000</v>
      </c>
      <c r="V215" s="507">
        <v>2630000</v>
      </c>
      <c r="W215" s="507">
        <v>2630000</v>
      </c>
      <c r="X215" s="507">
        <v>2630000</v>
      </c>
      <c r="Y215" s="507">
        <v>2630000</v>
      </c>
      <c r="Z215" s="507"/>
      <c r="AA215" s="507"/>
      <c r="AB215" s="702"/>
      <c r="AC215" s="690">
        <f t="shared" si="104"/>
        <v>18936000</v>
      </c>
      <c r="AD215" s="689">
        <f t="shared" si="100"/>
        <v>7364000</v>
      </c>
      <c r="AF215" s="903">
        <v>352</v>
      </c>
      <c r="AG215" s="1362" t="s">
        <v>501</v>
      </c>
      <c r="AH215" s="1124" t="s">
        <v>548</v>
      </c>
      <c r="AI215" s="1113">
        <f t="shared" si="101"/>
        <v>30</v>
      </c>
      <c r="AJ215" s="904">
        <v>26300000</v>
      </c>
      <c r="AK215" s="906">
        <f t="shared" si="102"/>
        <v>0</v>
      </c>
      <c r="AL215" s="899"/>
      <c r="AM215" s="1604">
        <f t="shared" si="103"/>
        <v>0</v>
      </c>
    </row>
    <row r="216" spans="1:39" s="656" customFormat="1" ht="15">
      <c r="A216" s="710" t="s">
        <v>166</v>
      </c>
      <c r="B216" s="697">
        <f t="shared" si="98"/>
        <v>26300000</v>
      </c>
      <c r="C216" s="271" t="s">
        <v>36</v>
      </c>
      <c r="D216" s="272" t="s">
        <v>866</v>
      </c>
      <c r="E216" s="272" t="s">
        <v>147</v>
      </c>
      <c r="F216" s="272" t="s">
        <v>868</v>
      </c>
      <c r="G216" s="1624" t="s">
        <v>80</v>
      </c>
      <c r="H216" s="2063" t="s">
        <v>1388</v>
      </c>
      <c r="I216" s="2046">
        <v>353</v>
      </c>
      <c r="J216" s="1821">
        <v>0</v>
      </c>
      <c r="K216" s="1776"/>
      <c r="L216" s="1751">
        <v>48</v>
      </c>
      <c r="M216" s="1758">
        <v>26300000</v>
      </c>
      <c r="N216" s="1692">
        <v>64</v>
      </c>
      <c r="O216" s="1703">
        <v>26300000</v>
      </c>
      <c r="P216" s="1754">
        <v>71</v>
      </c>
      <c r="Q216" s="688"/>
      <c r="R216" s="507">
        <v>876667</v>
      </c>
      <c r="S216" s="507">
        <f>VLOOKUP(N216,[9]Hoja2!N$2:T$77,7,0)</f>
        <v>2630000</v>
      </c>
      <c r="T216" s="507">
        <v>2630000</v>
      </c>
      <c r="U216" s="507">
        <v>2630000</v>
      </c>
      <c r="V216" s="507">
        <v>2630000</v>
      </c>
      <c r="W216" s="507">
        <v>2630000</v>
      </c>
      <c r="X216" s="507">
        <v>2630000</v>
      </c>
      <c r="Y216" s="507">
        <v>2630000</v>
      </c>
      <c r="Z216" s="507"/>
      <c r="AA216" s="507"/>
      <c r="AB216" s="702"/>
      <c r="AC216" s="690">
        <f t="shared" si="104"/>
        <v>19286667</v>
      </c>
      <c r="AD216" s="689">
        <f t="shared" si="100"/>
        <v>7013333</v>
      </c>
      <c r="AF216" s="903">
        <v>353</v>
      </c>
      <c r="AG216" s="1362" t="s">
        <v>501</v>
      </c>
      <c r="AH216" s="1124" t="s">
        <v>549</v>
      </c>
      <c r="AI216" s="1113">
        <f t="shared" si="101"/>
        <v>71</v>
      </c>
      <c r="AJ216" s="904">
        <v>26300000</v>
      </c>
      <c r="AK216" s="906">
        <f t="shared" si="102"/>
        <v>0</v>
      </c>
      <c r="AL216" s="899"/>
      <c r="AM216" s="1604">
        <f t="shared" si="103"/>
        <v>0</v>
      </c>
    </row>
    <row r="217" spans="1:39" s="656" customFormat="1" ht="15">
      <c r="A217" s="710" t="s">
        <v>166</v>
      </c>
      <c r="B217" s="697">
        <f t="shared" si="98"/>
        <v>26300000</v>
      </c>
      <c r="C217" s="271" t="s">
        <v>36</v>
      </c>
      <c r="D217" s="272" t="s">
        <v>866</v>
      </c>
      <c r="E217" s="272" t="s">
        <v>147</v>
      </c>
      <c r="F217" s="272" t="s">
        <v>868</v>
      </c>
      <c r="G217" s="1624" t="s">
        <v>80</v>
      </c>
      <c r="H217" s="2063" t="s">
        <v>1388</v>
      </c>
      <c r="I217" s="2046">
        <v>354</v>
      </c>
      <c r="J217" s="1821">
        <v>0</v>
      </c>
      <c r="K217" s="1776"/>
      <c r="L217" s="1751">
        <v>99</v>
      </c>
      <c r="M217" s="1758">
        <v>26300000</v>
      </c>
      <c r="N217" s="1692">
        <v>109</v>
      </c>
      <c r="O217" s="1703">
        <v>26300000</v>
      </c>
      <c r="P217" s="1754">
        <v>78</v>
      </c>
      <c r="Q217" s="688"/>
      <c r="R217" s="507">
        <v>789000</v>
      </c>
      <c r="S217" s="507">
        <f>VLOOKUP(N217,[9]Hoja2!N$2:T$77,7,0)</f>
        <v>2630000</v>
      </c>
      <c r="T217" s="507">
        <v>2630000</v>
      </c>
      <c r="U217" s="507">
        <v>2630000</v>
      </c>
      <c r="V217" s="507">
        <v>2630000</v>
      </c>
      <c r="W217" s="507">
        <v>2630000</v>
      </c>
      <c r="X217" s="507">
        <v>2630000</v>
      </c>
      <c r="Y217" s="507">
        <v>2630000</v>
      </c>
      <c r="Z217" s="507"/>
      <c r="AA217" s="507"/>
      <c r="AB217" s="702"/>
      <c r="AC217" s="690">
        <f t="shared" si="104"/>
        <v>19199000</v>
      </c>
      <c r="AD217" s="689">
        <f t="shared" si="100"/>
        <v>7101000</v>
      </c>
      <c r="AF217" s="903">
        <v>354</v>
      </c>
      <c r="AG217" s="1362" t="s">
        <v>501</v>
      </c>
      <c r="AH217" s="1124" t="s">
        <v>550</v>
      </c>
      <c r="AI217" s="1113">
        <f t="shared" si="101"/>
        <v>78</v>
      </c>
      <c r="AJ217" s="904">
        <v>26300000</v>
      </c>
      <c r="AK217" s="906">
        <f t="shared" si="102"/>
        <v>0</v>
      </c>
      <c r="AL217" s="899"/>
      <c r="AM217" s="1604">
        <f t="shared" si="103"/>
        <v>0</v>
      </c>
    </row>
    <row r="218" spans="1:39" s="656" customFormat="1" ht="15">
      <c r="A218" s="710" t="s">
        <v>166</v>
      </c>
      <c r="B218" s="697">
        <f t="shared" si="98"/>
        <v>63800000</v>
      </c>
      <c r="C218" s="271" t="s">
        <v>36</v>
      </c>
      <c r="D218" s="272" t="s">
        <v>866</v>
      </c>
      <c r="E218" s="272" t="s">
        <v>147</v>
      </c>
      <c r="F218" s="272" t="s">
        <v>868</v>
      </c>
      <c r="G218" s="1624" t="s">
        <v>80</v>
      </c>
      <c r="H218" s="2063" t="s">
        <v>1388</v>
      </c>
      <c r="I218" s="2046">
        <v>355</v>
      </c>
      <c r="J218" s="1821">
        <v>0</v>
      </c>
      <c r="K218" s="1776"/>
      <c r="L218" s="1751">
        <v>340</v>
      </c>
      <c r="M218" s="1758">
        <v>63800000</v>
      </c>
      <c r="N218" s="1804">
        <v>348</v>
      </c>
      <c r="O218" s="1703">
        <v>63800000</v>
      </c>
      <c r="P218" s="1754">
        <v>282</v>
      </c>
      <c r="Q218" s="688"/>
      <c r="R218" s="507"/>
      <c r="S218" s="507"/>
      <c r="T218" s="507">
        <v>5060000</v>
      </c>
      <c r="U218" s="507">
        <v>6600000</v>
      </c>
      <c r="V218" s="507">
        <v>6600000</v>
      </c>
      <c r="W218" s="507">
        <v>6600000</v>
      </c>
      <c r="X218" s="507">
        <v>6600000</v>
      </c>
      <c r="Y218" s="507">
        <v>6600000</v>
      </c>
      <c r="Z218" s="507"/>
      <c r="AA218" s="507"/>
      <c r="AB218" s="702"/>
      <c r="AC218" s="690">
        <f t="shared" si="104"/>
        <v>38060000</v>
      </c>
      <c r="AD218" s="689">
        <f t="shared" si="100"/>
        <v>25740000</v>
      </c>
      <c r="AF218" s="903">
        <v>355</v>
      </c>
      <c r="AG218" s="1362" t="s">
        <v>502</v>
      </c>
      <c r="AH218" s="1124" t="s">
        <v>830</v>
      </c>
      <c r="AI218" s="1113">
        <f t="shared" si="101"/>
        <v>282</v>
      </c>
      <c r="AJ218" s="904">
        <f>48200000+17800000</f>
        <v>66000000</v>
      </c>
      <c r="AK218" s="906">
        <f t="shared" si="102"/>
        <v>2200000</v>
      </c>
      <c r="AL218" s="899"/>
      <c r="AM218" s="1604">
        <f t="shared" si="103"/>
        <v>2200000</v>
      </c>
    </row>
    <row r="219" spans="1:39" s="656" customFormat="1" ht="15">
      <c r="A219" s="710" t="s">
        <v>166</v>
      </c>
      <c r="B219" s="697">
        <f t="shared" si="98"/>
        <v>48200000</v>
      </c>
      <c r="C219" s="271" t="s">
        <v>36</v>
      </c>
      <c r="D219" s="272" t="s">
        <v>866</v>
      </c>
      <c r="E219" s="272" t="s">
        <v>147</v>
      </c>
      <c r="F219" s="272" t="s">
        <v>868</v>
      </c>
      <c r="G219" s="1624" t="s">
        <v>80</v>
      </c>
      <c r="H219" s="2063" t="s">
        <v>1388</v>
      </c>
      <c r="I219" s="2046">
        <v>356</v>
      </c>
      <c r="J219" s="1821">
        <v>0</v>
      </c>
      <c r="K219" s="1776"/>
      <c r="L219" s="1751">
        <v>208</v>
      </c>
      <c r="M219" s="1758">
        <v>48200000</v>
      </c>
      <c r="N219" s="1692">
        <v>257</v>
      </c>
      <c r="O219" s="1703">
        <v>48200000</v>
      </c>
      <c r="P219" s="1754">
        <v>220</v>
      </c>
      <c r="Q219" s="688"/>
      <c r="R219" s="507"/>
      <c r="S219" s="507">
        <f>VLOOKUP(N219,[9]Hoja2!N$2:T$77,7,0)</f>
        <v>3534667</v>
      </c>
      <c r="T219" s="507">
        <v>4820000</v>
      </c>
      <c r="U219" s="507">
        <v>4820000</v>
      </c>
      <c r="V219" s="507">
        <f>3213333+1606667</f>
        <v>4820000</v>
      </c>
      <c r="W219" s="507">
        <v>4820000</v>
      </c>
      <c r="X219" s="507">
        <v>4820000</v>
      </c>
      <c r="Y219" s="507">
        <v>4820000</v>
      </c>
      <c r="Z219" s="507"/>
      <c r="AA219" s="507"/>
      <c r="AB219" s="702"/>
      <c r="AC219" s="690">
        <f t="shared" si="104"/>
        <v>32454667</v>
      </c>
      <c r="AD219" s="689">
        <f t="shared" si="100"/>
        <v>15745333</v>
      </c>
      <c r="AF219" s="903">
        <v>356</v>
      </c>
      <c r="AG219" s="1362" t="s">
        <v>503</v>
      </c>
      <c r="AH219" s="1124" t="s">
        <v>765</v>
      </c>
      <c r="AI219" s="1113">
        <f t="shared" si="101"/>
        <v>220</v>
      </c>
      <c r="AJ219" s="904">
        <v>48200000</v>
      </c>
      <c r="AK219" s="906">
        <f t="shared" si="102"/>
        <v>0</v>
      </c>
      <c r="AL219" s="899"/>
      <c r="AM219" s="1604">
        <f t="shared" si="103"/>
        <v>0</v>
      </c>
    </row>
    <row r="220" spans="1:39" s="656" customFormat="1" ht="15">
      <c r="A220" s="710" t="s">
        <v>166</v>
      </c>
      <c r="B220" s="697">
        <f t="shared" si="98"/>
        <v>48200000</v>
      </c>
      <c r="C220" s="271" t="s">
        <v>36</v>
      </c>
      <c r="D220" s="272" t="s">
        <v>866</v>
      </c>
      <c r="E220" s="272" t="s">
        <v>147</v>
      </c>
      <c r="F220" s="272" t="s">
        <v>868</v>
      </c>
      <c r="G220" s="1624" t="s">
        <v>80</v>
      </c>
      <c r="H220" s="2063" t="s">
        <v>1388</v>
      </c>
      <c r="I220" s="2046">
        <v>357</v>
      </c>
      <c r="J220" s="1821">
        <v>0</v>
      </c>
      <c r="K220" s="1776"/>
      <c r="L220" s="1751">
        <v>47</v>
      </c>
      <c r="M220" s="1758">
        <v>48200000</v>
      </c>
      <c r="N220" s="1692">
        <v>49</v>
      </c>
      <c r="O220" s="1703">
        <v>48200000</v>
      </c>
      <c r="P220" s="1754">
        <v>70</v>
      </c>
      <c r="Q220" s="688"/>
      <c r="R220" s="507">
        <v>964000</v>
      </c>
      <c r="S220" s="507">
        <f>VLOOKUP(N220,[9]Hoja2!N$2:T$77,7,0)</f>
        <v>4820000</v>
      </c>
      <c r="T220" s="507">
        <v>4820000</v>
      </c>
      <c r="U220" s="507">
        <v>4820000</v>
      </c>
      <c r="V220" s="507">
        <v>4820000</v>
      </c>
      <c r="W220" s="507">
        <v>4820000</v>
      </c>
      <c r="X220" s="507">
        <v>4820000</v>
      </c>
      <c r="Y220" s="507">
        <v>4820000</v>
      </c>
      <c r="Z220" s="507"/>
      <c r="AA220" s="507"/>
      <c r="AB220" s="702"/>
      <c r="AC220" s="690">
        <f t="shared" si="104"/>
        <v>34704000</v>
      </c>
      <c r="AD220" s="689">
        <f t="shared" si="100"/>
        <v>13496000</v>
      </c>
      <c r="AF220" s="903">
        <v>357</v>
      </c>
      <c r="AG220" s="1362" t="s">
        <v>503</v>
      </c>
      <c r="AH220" s="1124" t="s">
        <v>551</v>
      </c>
      <c r="AI220" s="1113">
        <f t="shared" si="101"/>
        <v>70</v>
      </c>
      <c r="AJ220" s="904">
        <v>48200000</v>
      </c>
      <c r="AK220" s="906">
        <f t="shared" si="102"/>
        <v>0</v>
      </c>
      <c r="AL220" s="899"/>
      <c r="AM220" s="1604">
        <f t="shared" si="103"/>
        <v>0</v>
      </c>
    </row>
    <row r="221" spans="1:39" s="656" customFormat="1" ht="15">
      <c r="A221" s="710" t="s">
        <v>166</v>
      </c>
      <c r="B221" s="697">
        <f t="shared" si="98"/>
        <v>30666666</v>
      </c>
      <c r="C221" s="271" t="s">
        <v>36</v>
      </c>
      <c r="D221" s="272" t="s">
        <v>866</v>
      </c>
      <c r="E221" s="272" t="s">
        <v>147</v>
      </c>
      <c r="F221" s="272" t="s">
        <v>868</v>
      </c>
      <c r="G221" s="1624" t="s">
        <v>80</v>
      </c>
      <c r="H221" s="2063" t="s">
        <v>1388</v>
      </c>
      <c r="I221" s="2046">
        <v>358</v>
      </c>
      <c r="J221" s="1821">
        <v>0</v>
      </c>
      <c r="K221" s="1776"/>
      <c r="L221" s="1751">
        <v>434</v>
      </c>
      <c r="M221" s="1758">
        <f>32310000-1643334</f>
        <v>30666666</v>
      </c>
      <c r="N221" s="1804">
        <v>450</v>
      </c>
      <c r="O221" s="1703">
        <v>30666666</v>
      </c>
      <c r="P221" s="1754">
        <v>331</v>
      </c>
      <c r="Q221" s="688"/>
      <c r="R221" s="507"/>
      <c r="S221" s="507"/>
      <c r="T221" s="507"/>
      <c r="U221" s="507"/>
      <c r="V221" s="507">
        <v>3733333</v>
      </c>
      <c r="W221" s="507">
        <v>4000000</v>
      </c>
      <c r="X221" s="507">
        <v>4000000</v>
      </c>
      <c r="Y221" s="507">
        <v>4000000</v>
      </c>
      <c r="Z221" s="507"/>
      <c r="AA221" s="507"/>
      <c r="AB221" s="702"/>
      <c r="AC221" s="690">
        <f t="shared" si="104"/>
        <v>15733333</v>
      </c>
      <c r="AD221" s="689">
        <f t="shared" si="100"/>
        <v>14933333</v>
      </c>
      <c r="AF221" s="903">
        <v>358</v>
      </c>
      <c r="AG221" s="1362" t="s">
        <v>794</v>
      </c>
      <c r="AH221" s="1124" t="s">
        <v>969</v>
      </c>
      <c r="AI221" s="1113">
        <f t="shared" si="101"/>
        <v>331</v>
      </c>
      <c r="AJ221" s="904">
        <f>38560000-6250000</f>
        <v>32310000</v>
      </c>
      <c r="AK221" s="906">
        <f t="shared" si="102"/>
        <v>1643334</v>
      </c>
      <c r="AL221" s="899"/>
      <c r="AM221" s="1604">
        <f t="shared" si="103"/>
        <v>1643334</v>
      </c>
    </row>
    <row r="222" spans="1:39" s="656" customFormat="1" ht="15">
      <c r="A222" s="710" t="s">
        <v>166</v>
      </c>
      <c r="B222" s="697">
        <f t="shared" si="98"/>
        <v>48000000</v>
      </c>
      <c r="C222" s="271" t="s">
        <v>36</v>
      </c>
      <c r="D222" s="272" t="s">
        <v>866</v>
      </c>
      <c r="E222" s="272" t="s">
        <v>147</v>
      </c>
      <c r="F222" s="272" t="s">
        <v>868</v>
      </c>
      <c r="G222" s="1624" t="s">
        <v>80</v>
      </c>
      <c r="H222" s="2063" t="s">
        <v>1388</v>
      </c>
      <c r="I222" s="2046">
        <v>359</v>
      </c>
      <c r="J222" s="1821">
        <v>0</v>
      </c>
      <c r="K222" s="1776"/>
      <c r="L222" s="1751">
        <v>45</v>
      </c>
      <c r="M222" s="1758">
        <v>48000000</v>
      </c>
      <c r="N222" s="1692">
        <v>54</v>
      </c>
      <c r="O222" s="1703">
        <v>48000000</v>
      </c>
      <c r="P222" s="1754">
        <v>31</v>
      </c>
      <c r="Q222" s="688"/>
      <c r="R222" s="507">
        <v>2080000</v>
      </c>
      <c r="S222" s="507">
        <f>VLOOKUP(N222,[9]Hoja2!N$2:T$77,7,0)</f>
        <v>4800000</v>
      </c>
      <c r="T222" s="507">
        <v>4800000</v>
      </c>
      <c r="U222" s="507">
        <v>4800000</v>
      </c>
      <c r="V222" s="507">
        <v>3200000</v>
      </c>
      <c r="W222" s="507"/>
      <c r="X222" s="507"/>
      <c r="Y222" s="507"/>
      <c r="Z222" s="507"/>
      <c r="AA222" s="507"/>
      <c r="AB222" s="702"/>
      <c r="AC222" s="690">
        <f t="shared" si="104"/>
        <v>19680000</v>
      </c>
      <c r="AD222" s="689">
        <f t="shared" si="100"/>
        <v>28320000</v>
      </c>
      <c r="AF222" s="903">
        <v>359</v>
      </c>
      <c r="AG222" s="1362" t="s">
        <v>504</v>
      </c>
      <c r="AH222" s="1124" t="s">
        <v>552</v>
      </c>
      <c r="AI222" s="1113">
        <f t="shared" si="101"/>
        <v>31</v>
      </c>
      <c r="AJ222" s="904">
        <v>48000000</v>
      </c>
      <c r="AK222" s="906">
        <f t="shared" si="102"/>
        <v>0</v>
      </c>
      <c r="AL222" s="899"/>
      <c r="AM222" s="1604">
        <f t="shared" si="103"/>
        <v>0</v>
      </c>
    </row>
    <row r="223" spans="1:39" s="656" customFormat="1" ht="15">
      <c r="A223" s="710" t="s">
        <v>166</v>
      </c>
      <c r="B223" s="697">
        <f t="shared" si="98"/>
        <v>32960000</v>
      </c>
      <c r="C223" s="271" t="s">
        <v>36</v>
      </c>
      <c r="D223" s="272" t="s">
        <v>866</v>
      </c>
      <c r="E223" s="272" t="s">
        <v>147</v>
      </c>
      <c r="F223" s="272" t="s">
        <v>868</v>
      </c>
      <c r="G223" s="1624" t="s">
        <v>80</v>
      </c>
      <c r="H223" s="2063" t="s">
        <v>1388</v>
      </c>
      <c r="I223" s="2046">
        <v>360</v>
      </c>
      <c r="J223" s="1821">
        <v>0</v>
      </c>
      <c r="K223" s="1776"/>
      <c r="L223" s="1751">
        <v>355</v>
      </c>
      <c r="M223" s="1758">
        <v>32960000</v>
      </c>
      <c r="N223" s="1804">
        <v>351</v>
      </c>
      <c r="O223" s="1703">
        <v>32960000</v>
      </c>
      <c r="P223" s="1754">
        <v>285</v>
      </c>
      <c r="Q223" s="688"/>
      <c r="R223" s="507"/>
      <c r="S223" s="507"/>
      <c r="T223" s="507">
        <v>2609333</v>
      </c>
      <c r="U223" s="507">
        <v>4120000</v>
      </c>
      <c r="V223" s="507">
        <v>4120000</v>
      </c>
      <c r="W223" s="507">
        <v>4120000</v>
      </c>
      <c r="X223" s="507">
        <v>4120000</v>
      </c>
      <c r="Y223" s="507">
        <v>4120000</v>
      </c>
      <c r="Z223" s="507"/>
      <c r="AA223" s="507"/>
      <c r="AB223" s="702"/>
      <c r="AC223" s="690">
        <f t="shared" si="104"/>
        <v>23209333</v>
      </c>
      <c r="AD223" s="689">
        <f t="shared" si="100"/>
        <v>9750667</v>
      </c>
      <c r="AF223" s="903">
        <v>360</v>
      </c>
      <c r="AG223" s="1362" t="s">
        <v>505</v>
      </c>
      <c r="AH223" s="1124" t="s">
        <v>832</v>
      </c>
      <c r="AI223" s="1113">
        <f t="shared" si="101"/>
        <v>285</v>
      </c>
      <c r="AJ223" s="904">
        <v>32960000</v>
      </c>
      <c r="AK223" s="906">
        <f t="shared" si="102"/>
        <v>0</v>
      </c>
      <c r="AL223" s="899"/>
      <c r="AM223" s="1604">
        <f t="shared" si="103"/>
        <v>0</v>
      </c>
    </row>
    <row r="224" spans="1:39" s="656" customFormat="1" ht="15">
      <c r="A224" s="710" t="s">
        <v>166</v>
      </c>
      <c r="B224" s="697">
        <f t="shared" si="98"/>
        <v>84700000</v>
      </c>
      <c r="C224" s="271" t="s">
        <v>36</v>
      </c>
      <c r="D224" s="272" t="s">
        <v>866</v>
      </c>
      <c r="E224" s="272" t="s">
        <v>147</v>
      </c>
      <c r="F224" s="272" t="s">
        <v>868</v>
      </c>
      <c r="G224" s="1624" t="s">
        <v>80</v>
      </c>
      <c r="H224" s="2063" t="s">
        <v>1388</v>
      </c>
      <c r="I224" s="2046">
        <v>361</v>
      </c>
      <c r="J224" s="1821">
        <v>0</v>
      </c>
      <c r="K224" s="1776"/>
      <c r="L224" s="1751">
        <v>209</v>
      </c>
      <c r="M224" s="1758">
        <f>96250000-11550000</f>
        <v>84700000</v>
      </c>
      <c r="N224" s="1692">
        <v>203</v>
      </c>
      <c r="O224" s="1703">
        <v>84700000</v>
      </c>
      <c r="P224" s="1754">
        <v>205</v>
      </c>
      <c r="Q224" s="688"/>
      <c r="R224" s="507"/>
      <c r="S224" s="507">
        <f>VLOOKUP(N224,[9]Hoja2!N$2:T$77,7,0)</f>
        <v>7700000</v>
      </c>
      <c r="T224" s="507">
        <v>7700000</v>
      </c>
      <c r="U224" s="507">
        <v>7700000</v>
      </c>
      <c r="V224" s="507">
        <v>7700000</v>
      </c>
      <c r="W224" s="507">
        <v>7700000</v>
      </c>
      <c r="X224" s="507">
        <v>7700000</v>
      </c>
      <c r="Y224" s="507">
        <v>7700000</v>
      </c>
      <c r="Z224" s="507"/>
      <c r="AA224" s="507"/>
      <c r="AB224" s="702"/>
      <c r="AC224" s="690">
        <f t="shared" si="104"/>
        <v>53900000</v>
      </c>
      <c r="AD224" s="689">
        <f t="shared" si="100"/>
        <v>30800000</v>
      </c>
      <c r="AF224" s="903">
        <v>361</v>
      </c>
      <c r="AG224" s="1362" t="s">
        <v>506</v>
      </c>
      <c r="AH224" s="1124" t="s">
        <v>553</v>
      </c>
      <c r="AI224" s="1113">
        <f t="shared" si="101"/>
        <v>205</v>
      </c>
      <c r="AJ224" s="904">
        <f>96250000-11550000</f>
        <v>84700000</v>
      </c>
      <c r="AK224" s="906">
        <f t="shared" si="102"/>
        <v>0</v>
      </c>
      <c r="AL224" s="899"/>
      <c r="AM224" s="1604">
        <f t="shared" si="103"/>
        <v>0</v>
      </c>
    </row>
    <row r="225" spans="1:39" s="656" customFormat="1" ht="15">
      <c r="A225" s="710" t="s">
        <v>166</v>
      </c>
      <c r="B225" s="697">
        <f t="shared" si="98"/>
        <v>51500000</v>
      </c>
      <c r="C225" s="271" t="s">
        <v>36</v>
      </c>
      <c r="D225" s="272" t="s">
        <v>866</v>
      </c>
      <c r="E225" s="272" t="s">
        <v>147</v>
      </c>
      <c r="F225" s="272" t="s">
        <v>868</v>
      </c>
      <c r="G225" s="1624" t="s">
        <v>80</v>
      </c>
      <c r="H225" s="2063" t="s">
        <v>1388</v>
      </c>
      <c r="I225" s="2046">
        <v>362</v>
      </c>
      <c r="J225" s="1821">
        <v>0</v>
      </c>
      <c r="K225" s="1776"/>
      <c r="L225" s="1751">
        <v>52</v>
      </c>
      <c r="M225" s="1758">
        <v>51500000</v>
      </c>
      <c r="N225" s="1692">
        <v>97</v>
      </c>
      <c r="O225" s="1703">
        <v>51500000</v>
      </c>
      <c r="P225" s="1754">
        <v>67</v>
      </c>
      <c r="Q225" s="688"/>
      <c r="R225" s="507">
        <v>1545000</v>
      </c>
      <c r="S225" s="507">
        <f>VLOOKUP(N225,[9]Hoja2!N$2:T$77,7,0)</f>
        <v>5150000</v>
      </c>
      <c r="T225" s="507">
        <v>5150000</v>
      </c>
      <c r="U225" s="507">
        <v>5150000</v>
      </c>
      <c r="V225" s="507">
        <v>5150000</v>
      </c>
      <c r="W225" s="507">
        <v>5150000</v>
      </c>
      <c r="X225" s="507">
        <v>5150000</v>
      </c>
      <c r="Y225" s="507">
        <v>5150000</v>
      </c>
      <c r="Z225" s="507"/>
      <c r="AA225" s="507"/>
      <c r="AB225" s="702"/>
      <c r="AC225" s="690">
        <f t="shared" si="104"/>
        <v>37595000</v>
      </c>
      <c r="AD225" s="689">
        <f t="shared" si="100"/>
        <v>13905000</v>
      </c>
      <c r="AF225" s="903">
        <v>362</v>
      </c>
      <c r="AG225" s="1362" t="s">
        <v>507</v>
      </c>
      <c r="AH225" s="1124" t="s">
        <v>554</v>
      </c>
      <c r="AI225" s="1113">
        <f t="shared" si="101"/>
        <v>67</v>
      </c>
      <c r="AJ225" s="904">
        <v>51500000</v>
      </c>
      <c r="AK225" s="906">
        <f t="shared" si="102"/>
        <v>0</v>
      </c>
      <c r="AL225" s="899"/>
      <c r="AM225" s="1604">
        <f t="shared" si="103"/>
        <v>0</v>
      </c>
    </row>
    <row r="226" spans="1:39" s="656" customFormat="1" ht="15">
      <c r="A226" s="710" t="s">
        <v>166</v>
      </c>
      <c r="B226" s="697">
        <f t="shared" si="98"/>
        <v>66000000</v>
      </c>
      <c r="C226" s="271" t="s">
        <v>36</v>
      </c>
      <c r="D226" s="272" t="s">
        <v>866</v>
      </c>
      <c r="E226" s="272" t="s">
        <v>147</v>
      </c>
      <c r="F226" s="272" t="s">
        <v>868</v>
      </c>
      <c r="G226" s="1624" t="s">
        <v>80</v>
      </c>
      <c r="H226" s="2063" t="s">
        <v>1388</v>
      </c>
      <c r="I226" s="2046">
        <v>363</v>
      </c>
      <c r="J226" s="1821">
        <v>0</v>
      </c>
      <c r="K226" s="1776"/>
      <c r="L226" s="1751">
        <v>210</v>
      </c>
      <c r="M226" s="1758">
        <v>66000000</v>
      </c>
      <c r="N226" s="1692">
        <v>238</v>
      </c>
      <c r="O226" s="1703">
        <v>66000000</v>
      </c>
      <c r="P226" s="1754">
        <v>224</v>
      </c>
      <c r="Q226" s="688"/>
      <c r="R226" s="507"/>
      <c r="S226" s="507">
        <f>VLOOKUP(N226,[9]Hoja2!N$2:T$77,7,0)</f>
        <v>5500000</v>
      </c>
      <c r="T226" s="507">
        <v>6600000</v>
      </c>
      <c r="U226" s="507">
        <v>6600000</v>
      </c>
      <c r="V226" s="507">
        <v>6600000</v>
      </c>
      <c r="W226" s="507">
        <v>6600000</v>
      </c>
      <c r="X226" s="507">
        <v>6600000</v>
      </c>
      <c r="Y226" s="507">
        <v>6600000</v>
      </c>
      <c r="Z226" s="507"/>
      <c r="AA226" s="507"/>
      <c r="AB226" s="702"/>
      <c r="AC226" s="690">
        <f t="shared" si="104"/>
        <v>45100000</v>
      </c>
      <c r="AD226" s="689">
        <f t="shared" si="100"/>
        <v>20900000</v>
      </c>
      <c r="AF226" s="903">
        <v>363</v>
      </c>
      <c r="AG226" s="1362" t="s">
        <v>508</v>
      </c>
      <c r="AH226" s="1124" t="s">
        <v>766</v>
      </c>
      <c r="AI226" s="1113">
        <f t="shared" si="101"/>
        <v>224</v>
      </c>
      <c r="AJ226" s="904">
        <v>66000000</v>
      </c>
      <c r="AK226" s="906">
        <f t="shared" si="102"/>
        <v>0</v>
      </c>
      <c r="AL226" s="899"/>
      <c r="AM226" s="1604">
        <f t="shared" si="103"/>
        <v>0</v>
      </c>
    </row>
    <row r="227" spans="1:39" s="656" customFormat="1" ht="15">
      <c r="A227" s="710" t="s">
        <v>166</v>
      </c>
      <c r="B227" s="697">
        <f t="shared" si="98"/>
        <v>40636970</v>
      </c>
      <c r="C227" s="271" t="s">
        <v>36</v>
      </c>
      <c r="D227" s="272" t="s">
        <v>866</v>
      </c>
      <c r="E227" s="272" t="s">
        <v>147</v>
      </c>
      <c r="F227" s="272" t="s">
        <v>868</v>
      </c>
      <c r="G227" s="1624" t="s">
        <v>80</v>
      </c>
      <c r="H227" s="2063" t="s">
        <v>1388</v>
      </c>
      <c r="I227" s="2049">
        <v>364</v>
      </c>
      <c r="J227" s="1821">
        <v>0</v>
      </c>
      <c r="K227" s="1776"/>
      <c r="L227" s="1751">
        <v>555</v>
      </c>
      <c r="M227" s="1824">
        <v>40636970</v>
      </c>
      <c r="N227" s="1804">
        <v>764</v>
      </c>
      <c r="O227" s="1703">
        <v>40636970</v>
      </c>
      <c r="P227" s="1754">
        <v>437</v>
      </c>
      <c r="Q227" s="688"/>
      <c r="R227" s="507"/>
      <c r="S227" s="507"/>
      <c r="T227" s="507"/>
      <c r="U227" s="507"/>
      <c r="V227" s="507"/>
      <c r="W227" s="507"/>
      <c r="X227" s="507"/>
      <c r="Y227" s="507"/>
      <c r="Z227" s="507"/>
      <c r="AA227" s="507"/>
      <c r="AB227" s="702"/>
      <c r="AC227" s="690">
        <f t="shared" si="104"/>
        <v>0</v>
      </c>
      <c r="AD227" s="689">
        <f t="shared" si="100"/>
        <v>40636970</v>
      </c>
      <c r="AF227" s="903">
        <v>364</v>
      </c>
      <c r="AG227" s="1362" t="s">
        <v>509</v>
      </c>
      <c r="AH227" s="1124" t="s">
        <v>1276</v>
      </c>
      <c r="AI227" s="1113">
        <f t="shared" si="101"/>
        <v>437</v>
      </c>
      <c r="AJ227" s="904">
        <f>60636970-20000000</f>
        <v>40636970</v>
      </c>
      <c r="AK227" s="906">
        <f t="shared" si="102"/>
        <v>0</v>
      </c>
      <c r="AL227" s="899"/>
      <c r="AM227" s="1604">
        <f t="shared" si="103"/>
        <v>0</v>
      </c>
    </row>
    <row r="228" spans="1:39" s="656" customFormat="1">
      <c r="A228" s="710" t="s">
        <v>166</v>
      </c>
      <c r="B228" s="697">
        <f>M228</f>
        <v>11931200</v>
      </c>
      <c r="C228" s="271" t="s">
        <v>36</v>
      </c>
      <c r="D228" s="272" t="s">
        <v>866</v>
      </c>
      <c r="E228" s="272" t="s">
        <v>147</v>
      </c>
      <c r="F228" s="272" t="s">
        <v>868</v>
      </c>
      <c r="G228" s="1624" t="s">
        <v>80</v>
      </c>
      <c r="H228" s="2063" t="s">
        <v>1388</v>
      </c>
      <c r="I228" s="2046" t="s">
        <v>774</v>
      </c>
      <c r="J228" s="1384" t="s">
        <v>1339</v>
      </c>
      <c r="K228" s="1709">
        <f>409200+1301600+1666800+1682100+1874200+1785100+1548400+1663800</f>
        <v>11931200</v>
      </c>
      <c r="L228" s="1757" t="s">
        <v>1352</v>
      </c>
      <c r="M228" s="1709">
        <f>409200+1301600+1666800+1682100+1874200+1785100+1548400+1663800</f>
        <v>11931200</v>
      </c>
      <c r="N228" s="1772" t="s">
        <v>1351</v>
      </c>
      <c r="O228" s="1824">
        <f>409200+1301600+1666800+1682100+1874200+1785100+1548400+1663800</f>
        <v>11931200</v>
      </c>
      <c r="P228" s="1754" t="s">
        <v>774</v>
      </c>
      <c r="Q228" s="688"/>
      <c r="R228" s="1222">
        <v>409200</v>
      </c>
      <c r="S228" s="507">
        <v>1301600</v>
      </c>
      <c r="T228" s="507">
        <v>1666800</v>
      </c>
      <c r="U228" s="507">
        <v>1682100</v>
      </c>
      <c r="V228" s="507">
        <v>1874200</v>
      </c>
      <c r="W228" s="507">
        <v>1785100</v>
      </c>
      <c r="X228" s="507">
        <v>1548400</v>
      </c>
      <c r="Y228" s="507">
        <v>1663800</v>
      </c>
      <c r="Z228" s="507"/>
      <c r="AA228" s="507"/>
      <c r="AB228" s="702"/>
      <c r="AC228" s="690">
        <f t="shared" si="104"/>
        <v>11931200</v>
      </c>
      <c r="AD228" s="689">
        <f t="shared" si="100"/>
        <v>0</v>
      </c>
      <c r="AF228" s="903" t="s">
        <v>150</v>
      </c>
      <c r="AG228" s="1362" t="s">
        <v>187</v>
      </c>
      <c r="AH228" s="1124" t="s">
        <v>178</v>
      </c>
      <c r="AI228" s="1113" t="str">
        <f t="shared" si="101"/>
        <v>ARL</v>
      </c>
      <c r="AJ228" s="904">
        <f>12301663+3482000</f>
        <v>15783663</v>
      </c>
      <c r="AK228" s="906">
        <f t="shared" si="102"/>
        <v>3852463</v>
      </c>
      <c r="AL228" s="899"/>
      <c r="AM228" s="1604">
        <f t="shared" si="103"/>
        <v>3852463</v>
      </c>
    </row>
    <row r="229" spans="1:39" s="656" customFormat="1" ht="15">
      <c r="A229" s="710" t="s">
        <v>166</v>
      </c>
      <c r="B229" s="697">
        <f t="shared" si="98"/>
        <v>5000000</v>
      </c>
      <c r="C229" s="271" t="s">
        <v>36</v>
      </c>
      <c r="D229" s="272" t="s">
        <v>866</v>
      </c>
      <c r="E229" s="272" t="s">
        <v>147</v>
      </c>
      <c r="F229" s="272" t="s">
        <v>868</v>
      </c>
      <c r="G229" s="1624" t="s">
        <v>80</v>
      </c>
      <c r="H229" s="2063" t="s">
        <v>1388</v>
      </c>
      <c r="I229" s="1837">
        <v>503</v>
      </c>
      <c r="J229" s="1838">
        <v>0</v>
      </c>
      <c r="K229" s="1839"/>
      <c r="L229" s="1840">
        <v>569</v>
      </c>
      <c r="M229" s="1824">
        <v>5000000</v>
      </c>
      <c r="N229" s="1804">
        <v>685</v>
      </c>
      <c r="O229" s="1703">
        <v>5000000</v>
      </c>
      <c r="P229" s="1754">
        <v>417</v>
      </c>
      <c r="Q229" s="688"/>
      <c r="R229" s="507"/>
      <c r="S229" s="507"/>
      <c r="T229" s="507"/>
      <c r="U229" s="507"/>
      <c r="V229" s="507"/>
      <c r="W229" s="507"/>
      <c r="X229" s="507"/>
      <c r="Y229" s="507"/>
      <c r="Z229" s="507"/>
      <c r="AA229" s="507"/>
      <c r="AB229" s="702"/>
      <c r="AC229" s="690">
        <f t="shared" si="104"/>
        <v>0</v>
      </c>
      <c r="AD229" s="689">
        <f t="shared" si="100"/>
        <v>5000000</v>
      </c>
      <c r="AF229" s="903">
        <v>503</v>
      </c>
      <c r="AG229" s="1362" t="s">
        <v>936</v>
      </c>
      <c r="AH229" s="1124" t="s">
        <v>1179</v>
      </c>
      <c r="AI229" s="1113">
        <f t="shared" si="101"/>
        <v>417</v>
      </c>
      <c r="AJ229" s="904">
        <v>5000000</v>
      </c>
      <c r="AK229" s="906">
        <f t="shared" si="102"/>
        <v>0</v>
      </c>
      <c r="AL229" s="899"/>
      <c r="AM229" s="1604">
        <f t="shared" si="103"/>
        <v>0</v>
      </c>
    </row>
    <row r="230" spans="1:39" s="656" customFormat="1" ht="15">
      <c r="A230" s="710" t="s">
        <v>166</v>
      </c>
      <c r="B230" s="697">
        <f t="shared" si="98"/>
        <v>3240000</v>
      </c>
      <c r="C230" s="271" t="s">
        <v>36</v>
      </c>
      <c r="D230" s="272" t="s">
        <v>866</v>
      </c>
      <c r="E230" s="272" t="s">
        <v>183</v>
      </c>
      <c r="F230" s="272" t="s">
        <v>868</v>
      </c>
      <c r="G230" s="1624" t="s">
        <v>80</v>
      </c>
      <c r="H230" s="2063" t="s">
        <v>1388</v>
      </c>
      <c r="I230" s="1755">
        <v>504</v>
      </c>
      <c r="J230" s="1821"/>
      <c r="K230" s="1776"/>
      <c r="L230" s="1840">
        <v>622</v>
      </c>
      <c r="M230" s="1824">
        <v>3240000</v>
      </c>
      <c r="N230" s="1804">
        <v>738</v>
      </c>
      <c r="O230" s="1703">
        <v>3240000</v>
      </c>
      <c r="P230" s="1754">
        <v>439</v>
      </c>
      <c r="Q230" s="688"/>
      <c r="R230" s="507"/>
      <c r="S230" s="507"/>
      <c r="T230" s="507"/>
      <c r="U230" s="507"/>
      <c r="V230" s="507"/>
      <c r="W230" s="507"/>
      <c r="X230" s="507"/>
      <c r="Y230" s="507"/>
      <c r="Z230" s="507"/>
      <c r="AA230" s="507"/>
      <c r="AB230" s="702"/>
      <c r="AC230" s="690">
        <f t="shared" si="104"/>
        <v>0</v>
      </c>
      <c r="AD230" s="689">
        <f t="shared" si="100"/>
        <v>3240000</v>
      </c>
      <c r="AF230" s="903">
        <v>504</v>
      </c>
      <c r="AG230" s="1362" t="s">
        <v>1146</v>
      </c>
      <c r="AH230" s="1124" t="s">
        <v>1267</v>
      </c>
      <c r="AI230" s="1113">
        <f t="shared" si="101"/>
        <v>439</v>
      </c>
      <c r="AJ230" s="904">
        <v>3240000</v>
      </c>
      <c r="AK230" s="906">
        <f t="shared" si="102"/>
        <v>0</v>
      </c>
      <c r="AL230" s="899"/>
      <c r="AM230" s="1604">
        <f t="shared" si="103"/>
        <v>0</v>
      </c>
    </row>
    <row r="231" spans="1:39" s="656" customFormat="1" ht="15">
      <c r="A231" s="710" t="s">
        <v>166</v>
      </c>
      <c r="B231" s="697">
        <f t="shared" si="98"/>
        <v>0</v>
      </c>
      <c r="C231" s="271" t="s">
        <v>36</v>
      </c>
      <c r="D231" s="272" t="s">
        <v>866</v>
      </c>
      <c r="E231" s="272" t="s">
        <v>184</v>
      </c>
      <c r="F231" s="272" t="s">
        <v>868</v>
      </c>
      <c r="G231" s="1624" t="s">
        <v>80</v>
      </c>
      <c r="H231" s="2063" t="s">
        <v>1388</v>
      </c>
      <c r="I231" s="1755">
        <v>506</v>
      </c>
      <c r="J231" s="1821"/>
      <c r="K231" s="1776"/>
      <c r="L231" s="1840"/>
      <c r="M231" s="1824"/>
      <c r="N231" s="1804"/>
      <c r="O231" s="1703"/>
      <c r="P231" s="1754"/>
      <c r="Q231" s="688"/>
      <c r="R231" s="507"/>
      <c r="S231" s="507"/>
      <c r="T231" s="507"/>
      <c r="U231" s="507"/>
      <c r="V231" s="507"/>
      <c r="W231" s="507"/>
      <c r="X231" s="507"/>
      <c r="Y231" s="507"/>
      <c r="Z231" s="507"/>
      <c r="AA231" s="507"/>
      <c r="AB231" s="702"/>
      <c r="AC231" s="690">
        <f t="shared" si="104"/>
        <v>0</v>
      </c>
      <c r="AD231" s="689">
        <f t="shared" si="100"/>
        <v>0</v>
      </c>
      <c r="AF231" s="903">
        <v>506</v>
      </c>
      <c r="AG231" s="1362" t="s">
        <v>1011</v>
      </c>
      <c r="AH231" s="1124" t="s">
        <v>178</v>
      </c>
      <c r="AI231" s="1113">
        <f t="shared" si="101"/>
        <v>0</v>
      </c>
      <c r="AJ231" s="904">
        <f>2630000+2630000-2020000</f>
        <v>3240000</v>
      </c>
      <c r="AK231" s="906">
        <f t="shared" si="102"/>
        <v>3240000</v>
      </c>
      <c r="AL231" s="899"/>
      <c r="AM231" s="1604">
        <f t="shared" si="103"/>
        <v>3240000</v>
      </c>
    </row>
    <row r="232" spans="1:39" s="656" customFormat="1" ht="15">
      <c r="A232" s="710" t="s">
        <v>166</v>
      </c>
      <c r="B232" s="697">
        <f t="shared" si="98"/>
        <v>3940000</v>
      </c>
      <c r="C232" s="271" t="s">
        <v>36</v>
      </c>
      <c r="D232" s="272" t="s">
        <v>866</v>
      </c>
      <c r="E232" s="272" t="s">
        <v>188</v>
      </c>
      <c r="F232" s="272" t="s">
        <v>868</v>
      </c>
      <c r="G232" s="1624" t="s">
        <v>80</v>
      </c>
      <c r="H232" s="2063" t="s">
        <v>1388</v>
      </c>
      <c r="I232" s="1755">
        <v>507</v>
      </c>
      <c r="J232" s="1821"/>
      <c r="K232" s="1776"/>
      <c r="L232" s="1840">
        <v>540</v>
      </c>
      <c r="M232" s="1824">
        <v>3940000</v>
      </c>
      <c r="N232" s="1804">
        <v>716</v>
      </c>
      <c r="O232" s="1703">
        <v>3940000</v>
      </c>
      <c r="P232" s="1754">
        <v>405</v>
      </c>
      <c r="Q232" s="688"/>
      <c r="R232" s="507"/>
      <c r="S232" s="507"/>
      <c r="T232" s="507"/>
      <c r="U232" s="507"/>
      <c r="V232" s="507"/>
      <c r="W232" s="507"/>
      <c r="X232" s="507"/>
      <c r="Y232" s="507">
        <v>2364000</v>
      </c>
      <c r="Z232" s="507"/>
      <c r="AA232" s="507"/>
      <c r="AB232" s="702"/>
      <c r="AC232" s="690">
        <f t="shared" si="104"/>
        <v>2364000</v>
      </c>
      <c r="AD232" s="689">
        <f t="shared" si="100"/>
        <v>1576000</v>
      </c>
      <c r="AF232" s="903">
        <v>507</v>
      </c>
      <c r="AG232" s="1362" t="s">
        <v>500</v>
      </c>
      <c r="AH232" s="1124" t="s">
        <v>1206</v>
      </c>
      <c r="AI232" s="1113">
        <f t="shared" si="101"/>
        <v>405</v>
      </c>
      <c r="AJ232" s="904">
        <f>1970000+1970000</f>
        <v>3940000</v>
      </c>
      <c r="AK232" s="906">
        <f t="shared" si="102"/>
        <v>0</v>
      </c>
      <c r="AL232" s="899"/>
      <c r="AM232" s="1604">
        <f t="shared" si="103"/>
        <v>0</v>
      </c>
    </row>
    <row r="233" spans="1:39" s="656" customFormat="1" ht="15">
      <c r="A233" s="710" t="s">
        <v>166</v>
      </c>
      <c r="B233" s="697">
        <f t="shared" si="98"/>
        <v>3940000</v>
      </c>
      <c r="C233" s="271" t="s">
        <v>36</v>
      </c>
      <c r="D233" s="272" t="s">
        <v>866</v>
      </c>
      <c r="E233" s="272" t="s">
        <v>189</v>
      </c>
      <c r="F233" s="272" t="s">
        <v>868</v>
      </c>
      <c r="G233" s="1624" t="s">
        <v>80</v>
      </c>
      <c r="H233" s="2063" t="s">
        <v>1388</v>
      </c>
      <c r="I233" s="1755">
        <v>508</v>
      </c>
      <c r="J233" s="1821"/>
      <c r="K233" s="1776"/>
      <c r="L233" s="1840">
        <v>565</v>
      </c>
      <c r="M233" s="1824">
        <v>3940000</v>
      </c>
      <c r="N233" s="1804">
        <v>729</v>
      </c>
      <c r="O233" s="1703">
        <v>3940000</v>
      </c>
      <c r="P233" s="1754">
        <v>408</v>
      </c>
      <c r="Q233" s="688"/>
      <c r="R233" s="507"/>
      <c r="S233" s="507"/>
      <c r="T233" s="507"/>
      <c r="U233" s="507"/>
      <c r="V233" s="507"/>
      <c r="W233" s="507"/>
      <c r="X233" s="507"/>
      <c r="Y233" s="507">
        <v>1970000</v>
      </c>
      <c r="Z233" s="507"/>
      <c r="AA233" s="507"/>
      <c r="AB233" s="702"/>
      <c r="AC233" s="690">
        <f t="shared" si="104"/>
        <v>1970000</v>
      </c>
      <c r="AD233" s="689">
        <f t="shared" si="100"/>
        <v>1970000</v>
      </c>
      <c r="AF233" s="903">
        <v>508</v>
      </c>
      <c r="AG233" s="1362" t="s">
        <v>500</v>
      </c>
      <c r="AH233" s="1124" t="s">
        <v>1205</v>
      </c>
      <c r="AI233" s="1113">
        <f t="shared" si="101"/>
        <v>408</v>
      </c>
      <c r="AJ233" s="904">
        <f>1970000+1970000</f>
        <v>3940000</v>
      </c>
      <c r="AK233" s="906">
        <f t="shared" si="102"/>
        <v>0</v>
      </c>
      <c r="AL233" s="899"/>
      <c r="AM233" s="1604">
        <f t="shared" si="103"/>
        <v>0</v>
      </c>
    </row>
    <row r="234" spans="1:39" s="656" customFormat="1" ht="15">
      <c r="A234" s="710" t="s">
        <v>166</v>
      </c>
      <c r="B234" s="697">
        <f t="shared" si="98"/>
        <v>0</v>
      </c>
      <c r="C234" s="271" t="s">
        <v>36</v>
      </c>
      <c r="D234" s="272" t="s">
        <v>866</v>
      </c>
      <c r="E234" s="272" t="s">
        <v>190</v>
      </c>
      <c r="F234" s="272" t="s">
        <v>868</v>
      </c>
      <c r="G234" s="1624" t="s">
        <v>80</v>
      </c>
      <c r="H234" s="2063" t="s">
        <v>1388</v>
      </c>
      <c r="I234" s="1755">
        <v>509</v>
      </c>
      <c r="J234" s="1821"/>
      <c r="K234" s="1776"/>
      <c r="L234" s="1840"/>
      <c r="M234" s="1824"/>
      <c r="N234" s="1804"/>
      <c r="O234" s="1703"/>
      <c r="P234" s="1754"/>
      <c r="Q234" s="688"/>
      <c r="R234" s="507"/>
      <c r="S234" s="507"/>
      <c r="T234" s="507"/>
      <c r="U234" s="507"/>
      <c r="V234" s="507"/>
      <c r="W234" s="507"/>
      <c r="X234" s="507"/>
      <c r="Y234" s="507"/>
      <c r="Z234" s="507"/>
      <c r="AA234" s="507"/>
      <c r="AB234" s="702"/>
      <c r="AC234" s="690">
        <f t="shared" si="104"/>
        <v>0</v>
      </c>
      <c r="AD234" s="689">
        <f t="shared" si="100"/>
        <v>0</v>
      </c>
      <c r="AF234" s="903">
        <v>509</v>
      </c>
      <c r="AG234" s="1362" t="s">
        <v>500</v>
      </c>
      <c r="AH234" s="1124" t="s">
        <v>178</v>
      </c>
      <c r="AI234" s="1113">
        <f t="shared" si="101"/>
        <v>0</v>
      </c>
      <c r="AJ234" s="904">
        <f>1970000+1970000</f>
        <v>3940000</v>
      </c>
      <c r="AK234" s="906">
        <f t="shared" si="102"/>
        <v>3940000</v>
      </c>
      <c r="AL234" s="899"/>
      <c r="AM234" s="1604">
        <f t="shared" si="103"/>
        <v>3940000</v>
      </c>
    </row>
    <row r="235" spans="1:39" s="656" customFormat="1" ht="15">
      <c r="A235" s="710" t="s">
        <v>166</v>
      </c>
      <c r="B235" s="697">
        <f t="shared" si="98"/>
        <v>0</v>
      </c>
      <c r="C235" s="271" t="s">
        <v>36</v>
      </c>
      <c r="D235" s="272" t="s">
        <v>866</v>
      </c>
      <c r="E235" s="272" t="s">
        <v>191</v>
      </c>
      <c r="F235" s="272" t="s">
        <v>868</v>
      </c>
      <c r="G235" s="1624" t="s">
        <v>80</v>
      </c>
      <c r="H235" s="2063" t="s">
        <v>1388</v>
      </c>
      <c r="I235" s="1755">
        <v>505</v>
      </c>
      <c r="J235" s="1821"/>
      <c r="K235" s="1776"/>
      <c r="L235" s="1840"/>
      <c r="M235" s="1824"/>
      <c r="N235" s="1804"/>
      <c r="O235" s="1703"/>
      <c r="P235" s="1754"/>
      <c r="Q235" s="688"/>
      <c r="R235" s="507"/>
      <c r="S235" s="507"/>
      <c r="T235" s="507"/>
      <c r="U235" s="507"/>
      <c r="V235" s="507"/>
      <c r="W235" s="507"/>
      <c r="X235" s="507"/>
      <c r="Y235" s="507"/>
      <c r="Z235" s="507"/>
      <c r="AA235" s="507"/>
      <c r="AB235" s="702"/>
      <c r="AC235" s="690">
        <f t="shared" si="104"/>
        <v>0</v>
      </c>
      <c r="AD235" s="689">
        <f t="shared" si="100"/>
        <v>0</v>
      </c>
      <c r="AF235" s="903">
        <v>505</v>
      </c>
      <c r="AG235" s="1362" t="s">
        <v>1011</v>
      </c>
      <c r="AH235" s="1124" t="s">
        <v>178</v>
      </c>
      <c r="AI235" s="1113">
        <f t="shared" si="101"/>
        <v>0</v>
      </c>
      <c r="AJ235" s="904">
        <f>2630000-2630000</f>
        <v>0</v>
      </c>
      <c r="AK235" s="906">
        <f t="shared" si="102"/>
        <v>0</v>
      </c>
      <c r="AL235" s="899"/>
      <c r="AM235" s="1604">
        <f t="shared" si="103"/>
        <v>0</v>
      </c>
    </row>
    <row r="236" spans="1:39" s="656" customFormat="1" ht="15">
      <c r="A236" s="710" t="s">
        <v>166</v>
      </c>
      <c r="B236" s="697">
        <f t="shared" si="98"/>
        <v>0</v>
      </c>
      <c r="C236" s="271" t="s">
        <v>36</v>
      </c>
      <c r="D236" s="272" t="s">
        <v>866</v>
      </c>
      <c r="E236" s="272" t="s">
        <v>192</v>
      </c>
      <c r="F236" s="272" t="s">
        <v>868</v>
      </c>
      <c r="G236" s="1624" t="s">
        <v>80</v>
      </c>
      <c r="H236" s="2063" t="s">
        <v>1388</v>
      </c>
      <c r="I236" s="1755">
        <v>510</v>
      </c>
      <c r="J236" s="1821"/>
      <c r="K236" s="1776"/>
      <c r="L236" s="1840"/>
      <c r="M236" s="1824"/>
      <c r="N236" s="1804"/>
      <c r="O236" s="1703"/>
      <c r="P236" s="1754"/>
      <c r="Q236" s="688"/>
      <c r="R236" s="507"/>
      <c r="S236" s="507"/>
      <c r="T236" s="507"/>
      <c r="U236" s="507"/>
      <c r="V236" s="507"/>
      <c r="W236" s="507"/>
      <c r="X236" s="507"/>
      <c r="Y236" s="507"/>
      <c r="Z236" s="507"/>
      <c r="AA236" s="507"/>
      <c r="AB236" s="702"/>
      <c r="AC236" s="690">
        <f t="shared" si="104"/>
        <v>0</v>
      </c>
      <c r="AD236" s="689">
        <f t="shared" si="100"/>
        <v>0</v>
      </c>
      <c r="AF236" s="903">
        <v>510</v>
      </c>
      <c r="AG236" s="1362" t="s">
        <v>500</v>
      </c>
      <c r="AH236" s="1124" t="s">
        <v>178</v>
      </c>
      <c r="AI236" s="1113">
        <f t="shared" si="101"/>
        <v>0</v>
      </c>
      <c r="AJ236" s="904">
        <f>1970000-1970000</f>
        <v>0</v>
      </c>
      <c r="AK236" s="906">
        <f t="shared" si="102"/>
        <v>0</v>
      </c>
      <c r="AL236" s="899"/>
      <c r="AM236" s="1604">
        <f t="shared" si="103"/>
        <v>0</v>
      </c>
    </row>
    <row r="237" spans="1:39" s="656" customFormat="1" ht="15">
      <c r="A237" s="710" t="s">
        <v>166</v>
      </c>
      <c r="B237" s="697">
        <f t="shared" si="98"/>
        <v>0</v>
      </c>
      <c r="C237" s="271" t="s">
        <v>36</v>
      </c>
      <c r="D237" s="272" t="s">
        <v>866</v>
      </c>
      <c r="E237" s="272" t="s">
        <v>193</v>
      </c>
      <c r="F237" s="272" t="s">
        <v>868</v>
      </c>
      <c r="G237" s="1624" t="s">
        <v>80</v>
      </c>
      <c r="H237" s="2063" t="s">
        <v>1388</v>
      </c>
      <c r="I237" s="1755">
        <v>511</v>
      </c>
      <c r="J237" s="1821"/>
      <c r="K237" s="1776"/>
      <c r="L237" s="1840"/>
      <c r="M237" s="1824"/>
      <c r="N237" s="1804"/>
      <c r="O237" s="1703"/>
      <c r="P237" s="1754"/>
      <c r="Q237" s="688"/>
      <c r="R237" s="507"/>
      <c r="S237" s="507"/>
      <c r="T237" s="507"/>
      <c r="U237" s="507"/>
      <c r="V237" s="507"/>
      <c r="W237" s="507"/>
      <c r="X237" s="507"/>
      <c r="Y237" s="507"/>
      <c r="Z237" s="507"/>
      <c r="AA237" s="507"/>
      <c r="AB237" s="702"/>
      <c r="AC237" s="690">
        <f t="shared" si="104"/>
        <v>0</v>
      </c>
      <c r="AD237" s="689">
        <f t="shared" si="100"/>
        <v>0</v>
      </c>
      <c r="AF237" s="903">
        <v>511</v>
      </c>
      <c r="AG237" s="1362" t="s">
        <v>500</v>
      </c>
      <c r="AH237" s="1124" t="s">
        <v>178</v>
      </c>
      <c r="AI237" s="1113">
        <f t="shared" si="101"/>
        <v>0</v>
      </c>
      <c r="AJ237" s="904">
        <f>1970000-1970000</f>
        <v>0</v>
      </c>
      <c r="AK237" s="906">
        <f t="shared" si="102"/>
        <v>0</v>
      </c>
      <c r="AL237" s="899"/>
      <c r="AM237" s="1604">
        <f t="shared" si="103"/>
        <v>0</v>
      </c>
    </row>
    <row r="238" spans="1:39" s="656" customFormat="1" ht="15">
      <c r="A238" s="710" t="s">
        <v>166</v>
      </c>
      <c r="B238" s="697">
        <f t="shared" si="98"/>
        <v>0</v>
      </c>
      <c r="C238" s="271" t="s">
        <v>36</v>
      </c>
      <c r="D238" s="272" t="s">
        <v>866</v>
      </c>
      <c r="E238" s="272" t="s">
        <v>194</v>
      </c>
      <c r="F238" s="272" t="s">
        <v>868</v>
      </c>
      <c r="G238" s="1624" t="s">
        <v>80</v>
      </c>
      <c r="H238" s="2063" t="s">
        <v>1388</v>
      </c>
      <c r="I238" s="1755">
        <v>512</v>
      </c>
      <c r="J238" s="1821"/>
      <c r="K238" s="1776"/>
      <c r="L238" s="1840"/>
      <c r="M238" s="1824"/>
      <c r="N238" s="1804"/>
      <c r="O238" s="1703"/>
      <c r="P238" s="1754"/>
      <c r="Q238" s="688"/>
      <c r="R238" s="507"/>
      <c r="S238" s="507"/>
      <c r="T238" s="507"/>
      <c r="U238" s="507"/>
      <c r="V238" s="507"/>
      <c r="W238" s="507"/>
      <c r="X238" s="507"/>
      <c r="Y238" s="507"/>
      <c r="Z238" s="507"/>
      <c r="AA238" s="507"/>
      <c r="AB238" s="702"/>
      <c r="AC238" s="690">
        <f t="shared" si="104"/>
        <v>0</v>
      </c>
      <c r="AD238" s="689">
        <f t="shared" si="100"/>
        <v>0</v>
      </c>
      <c r="AF238" s="903">
        <v>512</v>
      </c>
      <c r="AG238" s="1362" t="s">
        <v>500</v>
      </c>
      <c r="AH238" s="1124" t="s">
        <v>178</v>
      </c>
      <c r="AI238" s="1113">
        <f t="shared" si="101"/>
        <v>0</v>
      </c>
      <c r="AJ238" s="904">
        <f>1970000-1970000</f>
        <v>0</v>
      </c>
      <c r="AK238" s="906">
        <f t="shared" si="102"/>
        <v>0</v>
      </c>
      <c r="AL238" s="899"/>
      <c r="AM238" s="1604">
        <f t="shared" si="103"/>
        <v>0</v>
      </c>
    </row>
    <row r="239" spans="1:39" s="656" customFormat="1" ht="15">
      <c r="A239" s="710" t="s">
        <v>166</v>
      </c>
      <c r="B239" s="697">
        <f t="shared" si="98"/>
        <v>10240000</v>
      </c>
      <c r="C239" s="271" t="s">
        <v>36</v>
      </c>
      <c r="D239" s="272" t="s">
        <v>866</v>
      </c>
      <c r="E239" s="272" t="s">
        <v>195</v>
      </c>
      <c r="F239" s="272" t="s">
        <v>868</v>
      </c>
      <c r="G239" s="1624" t="s">
        <v>80</v>
      </c>
      <c r="H239" s="2063" t="s">
        <v>1388</v>
      </c>
      <c r="I239" s="1755">
        <v>0</v>
      </c>
      <c r="J239" s="1821"/>
      <c r="K239" s="1776"/>
      <c r="L239" s="1840">
        <v>511</v>
      </c>
      <c r="M239" s="1824">
        <v>10240000</v>
      </c>
      <c r="N239" s="1804">
        <v>549</v>
      </c>
      <c r="O239" s="1703">
        <v>10240000</v>
      </c>
      <c r="P239" s="1754" t="s">
        <v>979</v>
      </c>
      <c r="Q239" s="688"/>
      <c r="R239" s="507"/>
      <c r="S239" s="507"/>
      <c r="T239" s="507"/>
      <c r="U239" s="507"/>
      <c r="V239" s="507">
        <v>4096000</v>
      </c>
      <c r="W239" s="507">
        <v>0</v>
      </c>
      <c r="X239" s="507">
        <v>6144000</v>
      </c>
      <c r="Y239" s="507"/>
      <c r="Z239" s="507"/>
      <c r="AA239" s="507"/>
      <c r="AB239" s="702"/>
      <c r="AC239" s="690">
        <f t="shared" si="104"/>
        <v>10240000</v>
      </c>
      <c r="AD239" s="689">
        <f t="shared" si="100"/>
        <v>0</v>
      </c>
      <c r="AF239" s="903" t="s">
        <v>349</v>
      </c>
      <c r="AG239" s="1362" t="s">
        <v>980</v>
      </c>
      <c r="AH239" s="1124" t="s">
        <v>1074</v>
      </c>
      <c r="AI239" s="1113" t="str">
        <f t="shared" si="101"/>
        <v>317-2018</v>
      </c>
      <c r="AJ239" s="904">
        <v>10240000</v>
      </c>
      <c r="AK239" s="906">
        <f t="shared" si="102"/>
        <v>0</v>
      </c>
      <c r="AL239" s="899"/>
      <c r="AM239" s="1604">
        <f t="shared" si="103"/>
        <v>0</v>
      </c>
    </row>
    <row r="240" spans="1:39" s="656" customFormat="1" ht="15">
      <c r="A240" s="710" t="s">
        <v>939</v>
      </c>
      <c r="B240" s="697">
        <f t="shared" si="98"/>
        <v>35380718</v>
      </c>
      <c r="C240" s="271" t="s">
        <v>36</v>
      </c>
      <c r="D240" s="272" t="s">
        <v>866</v>
      </c>
      <c r="E240" s="272" t="s">
        <v>147</v>
      </c>
      <c r="F240" s="272" t="s">
        <v>868</v>
      </c>
      <c r="G240" s="1624" t="s">
        <v>80</v>
      </c>
      <c r="H240" s="2063" t="s">
        <v>1388</v>
      </c>
      <c r="I240" s="1755">
        <v>0</v>
      </c>
      <c r="J240" s="1821">
        <v>0</v>
      </c>
      <c r="K240" s="1776"/>
      <c r="L240" s="1840">
        <v>480</v>
      </c>
      <c r="M240" s="1824">
        <v>35380718</v>
      </c>
      <c r="N240" s="1804">
        <v>501</v>
      </c>
      <c r="O240" s="1703">
        <v>35379963</v>
      </c>
      <c r="P240" s="1790" t="s">
        <v>1008</v>
      </c>
      <c r="Q240" s="688"/>
      <c r="R240" s="507"/>
      <c r="S240" s="507"/>
      <c r="T240" s="507"/>
      <c r="U240" s="507"/>
      <c r="V240" s="507"/>
      <c r="W240" s="507"/>
      <c r="X240" s="507"/>
      <c r="Y240" s="507"/>
      <c r="Z240" s="507"/>
      <c r="AA240" s="507"/>
      <c r="AB240" s="702"/>
      <c r="AC240" s="690">
        <f t="shared" si="104"/>
        <v>0</v>
      </c>
      <c r="AD240" s="689">
        <f t="shared" si="100"/>
        <v>35379963</v>
      </c>
      <c r="AF240" s="903" t="s">
        <v>349</v>
      </c>
      <c r="AG240" s="1362" t="s">
        <v>1007</v>
      </c>
      <c r="AH240" s="1124" t="s">
        <v>1038</v>
      </c>
      <c r="AI240" s="1113" t="str">
        <f t="shared" si="101"/>
        <v>486/2018</v>
      </c>
      <c r="AJ240" s="904">
        <v>38000000</v>
      </c>
      <c r="AK240" s="906">
        <f t="shared" si="102"/>
        <v>2620037</v>
      </c>
      <c r="AL240" s="899"/>
      <c r="AM240" s="1604">
        <f t="shared" si="103"/>
        <v>2619282</v>
      </c>
    </row>
    <row r="241" spans="1:39" s="687" customFormat="1" ht="15">
      <c r="A241" s="710" t="s">
        <v>166</v>
      </c>
      <c r="B241" s="697">
        <f t="shared" si="98"/>
        <v>46566751</v>
      </c>
      <c r="C241" s="271" t="s">
        <v>36</v>
      </c>
      <c r="D241" s="272" t="s">
        <v>866</v>
      </c>
      <c r="E241" s="272" t="s">
        <v>147</v>
      </c>
      <c r="F241" s="272" t="s">
        <v>868</v>
      </c>
      <c r="G241" s="1624" t="s">
        <v>80</v>
      </c>
      <c r="H241" s="2063" t="s">
        <v>1388</v>
      </c>
      <c r="I241" s="1755">
        <v>0</v>
      </c>
      <c r="J241" s="1749">
        <v>0</v>
      </c>
      <c r="K241" s="1750"/>
      <c r="L241" s="1757">
        <v>479</v>
      </c>
      <c r="M241" s="1758">
        <v>46566751</v>
      </c>
      <c r="N241" s="1757">
        <v>569</v>
      </c>
      <c r="O241" s="1758">
        <v>46566751</v>
      </c>
      <c r="P241" s="1790" t="s">
        <v>1005</v>
      </c>
      <c r="Q241" s="688"/>
      <c r="R241" s="507"/>
      <c r="S241" s="507"/>
      <c r="T241" s="507"/>
      <c r="U241" s="507"/>
      <c r="V241" s="507"/>
      <c r="W241" s="507"/>
      <c r="X241" s="507"/>
      <c r="Y241" s="507"/>
      <c r="Z241" s="507"/>
      <c r="AA241" s="507"/>
      <c r="AB241" s="702"/>
      <c r="AC241" s="690">
        <f t="shared" si="104"/>
        <v>0</v>
      </c>
      <c r="AD241" s="689">
        <f t="shared" si="100"/>
        <v>46566751</v>
      </c>
      <c r="AF241" s="903" t="s">
        <v>349</v>
      </c>
      <c r="AG241" s="1362" t="s">
        <v>1006</v>
      </c>
      <c r="AH241" s="1422" t="s">
        <v>1081</v>
      </c>
      <c r="AI241" s="1113" t="str">
        <f t="shared" si="101"/>
        <v>481/2018</v>
      </c>
      <c r="AJ241" s="904">
        <v>46600000</v>
      </c>
      <c r="AK241" s="906">
        <f t="shared" si="102"/>
        <v>33249</v>
      </c>
      <c r="AL241" s="899"/>
      <c r="AM241" s="1604">
        <f t="shared" si="103"/>
        <v>33249</v>
      </c>
    </row>
    <row r="242" spans="1:39" s="687" customFormat="1" ht="15">
      <c r="A242" s="710" t="s">
        <v>166</v>
      </c>
      <c r="B242" s="697">
        <f t="shared" si="98"/>
        <v>0</v>
      </c>
      <c r="C242" s="271" t="s">
        <v>36</v>
      </c>
      <c r="D242" s="272" t="s">
        <v>866</v>
      </c>
      <c r="E242" s="272"/>
      <c r="F242" s="272"/>
      <c r="G242" s="1624"/>
      <c r="H242" s="2063" t="s">
        <v>1388</v>
      </c>
      <c r="I242" s="1755">
        <v>569</v>
      </c>
      <c r="J242" s="1815"/>
      <c r="K242" s="1841"/>
      <c r="L242" s="1842"/>
      <c r="M242" s="1843"/>
      <c r="N242" s="1757"/>
      <c r="O242" s="1843"/>
      <c r="P242" s="1790"/>
      <c r="Q242" s="698"/>
      <c r="R242" s="699"/>
      <c r="S242" s="699"/>
      <c r="T242" s="699"/>
      <c r="U242" s="699"/>
      <c r="V242" s="699"/>
      <c r="W242" s="699"/>
      <c r="X242" s="699"/>
      <c r="Y242" s="699"/>
      <c r="Z242" s="699"/>
      <c r="AA242" s="699"/>
      <c r="AB242" s="702"/>
      <c r="AC242" s="690">
        <f t="shared" si="104"/>
        <v>0</v>
      </c>
      <c r="AD242" s="689">
        <f t="shared" si="100"/>
        <v>0</v>
      </c>
      <c r="AF242" s="903">
        <v>569</v>
      </c>
      <c r="AG242" s="1362" t="s">
        <v>1242</v>
      </c>
      <c r="AH242" s="1422"/>
      <c r="AI242" s="1113">
        <f t="shared" si="101"/>
        <v>0</v>
      </c>
      <c r="AJ242" s="904">
        <v>7122767</v>
      </c>
      <c r="AK242" s="906">
        <f t="shared" si="102"/>
        <v>7122767</v>
      </c>
      <c r="AL242" s="899"/>
      <c r="AM242" s="1604">
        <f t="shared" si="103"/>
        <v>7122767</v>
      </c>
    </row>
    <row r="243" spans="1:39" s="687" customFormat="1" ht="15">
      <c r="A243" s="710" t="s">
        <v>166</v>
      </c>
      <c r="B243" s="697">
        <f t="shared" si="98"/>
        <v>0</v>
      </c>
      <c r="C243" s="271" t="s">
        <v>36</v>
      </c>
      <c r="D243" s="272" t="s">
        <v>866</v>
      </c>
      <c r="E243" s="272"/>
      <c r="F243" s="272"/>
      <c r="G243" s="1624"/>
      <c r="H243" s="2063" t="s">
        <v>1388</v>
      </c>
      <c r="I243" s="1755" t="s">
        <v>178</v>
      </c>
      <c r="J243" s="1815"/>
      <c r="K243" s="1841"/>
      <c r="L243" s="1842"/>
      <c r="M243" s="1843"/>
      <c r="N243" s="1757"/>
      <c r="O243" s="1843"/>
      <c r="P243" s="1790"/>
      <c r="Q243" s="698"/>
      <c r="R243" s="699"/>
      <c r="S243" s="699"/>
      <c r="T243" s="699"/>
      <c r="U243" s="699"/>
      <c r="V243" s="699"/>
      <c r="W243" s="699"/>
      <c r="X243" s="699"/>
      <c r="Y243" s="699"/>
      <c r="Z243" s="699"/>
      <c r="AA243" s="699"/>
      <c r="AB243" s="702"/>
      <c r="AC243" s="690">
        <f t="shared" si="104"/>
        <v>0</v>
      </c>
      <c r="AD243" s="689">
        <f t="shared" si="100"/>
        <v>0</v>
      </c>
      <c r="AF243" s="903"/>
      <c r="AG243" s="1362"/>
      <c r="AH243" s="1422"/>
      <c r="AI243" s="1113">
        <f t="shared" si="101"/>
        <v>0</v>
      </c>
      <c r="AJ243" s="904"/>
      <c r="AK243" s="906">
        <f t="shared" si="102"/>
        <v>0</v>
      </c>
      <c r="AL243" s="899"/>
      <c r="AM243" s="1604">
        <f t="shared" si="103"/>
        <v>0</v>
      </c>
    </row>
    <row r="244" spans="1:39" s="687" customFormat="1" ht="15">
      <c r="A244" s="710" t="s">
        <v>166</v>
      </c>
      <c r="B244" s="697">
        <f t="shared" si="98"/>
        <v>0</v>
      </c>
      <c r="C244" s="271" t="s">
        <v>36</v>
      </c>
      <c r="D244" s="272" t="s">
        <v>866</v>
      </c>
      <c r="E244" s="272"/>
      <c r="F244" s="272"/>
      <c r="G244" s="1624"/>
      <c r="H244" s="2063" t="s">
        <v>1388</v>
      </c>
      <c r="I244" s="1755" t="s">
        <v>178</v>
      </c>
      <c r="J244" s="1815"/>
      <c r="K244" s="1841"/>
      <c r="L244" s="1842"/>
      <c r="M244" s="1843"/>
      <c r="N244" s="1757"/>
      <c r="O244" s="1843"/>
      <c r="P244" s="1790"/>
      <c r="Q244" s="698"/>
      <c r="R244" s="699"/>
      <c r="S244" s="699"/>
      <c r="T244" s="699"/>
      <c r="U244" s="699"/>
      <c r="V244" s="699"/>
      <c r="W244" s="699"/>
      <c r="X244" s="699"/>
      <c r="Y244" s="699"/>
      <c r="Z244" s="699"/>
      <c r="AA244" s="699"/>
      <c r="AB244" s="702"/>
      <c r="AC244" s="690">
        <f t="shared" si="104"/>
        <v>0</v>
      </c>
      <c r="AD244" s="689">
        <f t="shared" si="100"/>
        <v>0</v>
      </c>
      <c r="AF244" s="903"/>
      <c r="AG244" s="1362"/>
      <c r="AH244" s="1422"/>
      <c r="AI244" s="1113">
        <f t="shared" si="101"/>
        <v>0</v>
      </c>
      <c r="AJ244" s="904"/>
      <c r="AK244" s="906">
        <f t="shared" si="102"/>
        <v>0</v>
      </c>
      <c r="AL244" s="899"/>
      <c r="AM244" s="1604">
        <f t="shared" si="103"/>
        <v>0</v>
      </c>
    </row>
    <row r="245" spans="1:39" s="656" customFormat="1" ht="15">
      <c r="A245" s="691" t="s">
        <v>81</v>
      </c>
      <c r="B245" s="692">
        <f>B209-SUM(B210:B244)</f>
        <v>53081337</v>
      </c>
      <c r="C245" s="693"/>
      <c r="D245" s="694"/>
      <c r="E245" s="694"/>
      <c r="F245" s="694"/>
      <c r="G245" s="1313"/>
      <c r="H245" s="2054"/>
      <c r="I245" s="1769"/>
      <c r="J245" s="1779"/>
      <c r="K245" s="1780"/>
      <c r="L245" s="1781"/>
      <c r="M245" s="1782">
        <f>SUM(M210:M244)</f>
        <v>1013823430</v>
      </c>
      <c r="N245" s="1688"/>
      <c r="O245" s="1782">
        <f>SUM(O210:O244)</f>
        <v>1013822675</v>
      </c>
      <c r="P245" s="1763"/>
      <c r="Q245" s="678">
        <f>SUM(Q210:Q244)</f>
        <v>0</v>
      </c>
      <c r="R245" s="678">
        <f t="shared" ref="R245:AD245" si="105">SUM(R210:R244)</f>
        <v>9206201</v>
      </c>
      <c r="S245" s="678">
        <f t="shared" si="105"/>
        <v>48060267</v>
      </c>
      <c r="T245" s="678">
        <f t="shared" si="105"/>
        <v>59006133</v>
      </c>
      <c r="U245" s="678">
        <f t="shared" si="105"/>
        <v>62072100</v>
      </c>
      <c r="V245" s="678">
        <f t="shared" si="105"/>
        <v>68493533</v>
      </c>
      <c r="W245" s="678">
        <f t="shared" si="105"/>
        <v>61375100</v>
      </c>
      <c r="X245" s="678">
        <f t="shared" si="105"/>
        <v>67282400</v>
      </c>
      <c r="Y245" s="678">
        <f t="shared" si="105"/>
        <v>92044600</v>
      </c>
      <c r="Z245" s="678">
        <f t="shared" si="105"/>
        <v>0</v>
      </c>
      <c r="AA245" s="678">
        <f>SUM(AA210:AA244)</f>
        <v>0</v>
      </c>
      <c r="AB245" s="678">
        <f t="shared" si="105"/>
        <v>0</v>
      </c>
      <c r="AC245" s="678">
        <f t="shared" si="105"/>
        <v>467540334</v>
      </c>
      <c r="AD245" s="678">
        <f t="shared" si="105"/>
        <v>546282341</v>
      </c>
      <c r="AF245" s="907"/>
      <c r="AG245" s="14">
        <f t="shared" ref="AG245:AI245" si="106">SUM(AG210:AG241)</f>
        <v>0</v>
      </c>
      <c r="AH245" s="14">
        <f t="shared" si="106"/>
        <v>0</v>
      </c>
      <c r="AI245" s="1117">
        <f t="shared" si="106"/>
        <v>5197</v>
      </c>
      <c r="AJ245" s="14">
        <f>SUM(AJ210:AJ244)</f>
        <v>1066904767</v>
      </c>
      <c r="AK245" s="182">
        <f>SUM(AK210:AK244)</f>
        <v>53082092</v>
      </c>
      <c r="AL245" s="899">
        <f>B209-AJ245</f>
        <v>0</v>
      </c>
    </row>
    <row r="246" spans="1:39" s="656" customFormat="1" ht="32.25" customHeight="1">
      <c r="A246" s="805" t="s">
        <v>171</v>
      </c>
      <c r="B246" s="817">
        <f>140000000+4137048</f>
        <v>144137048</v>
      </c>
      <c r="C246" s="1354" t="s">
        <v>36</v>
      </c>
      <c r="D246" s="1355" t="s">
        <v>866</v>
      </c>
      <c r="E246" s="1355" t="s">
        <v>147</v>
      </c>
      <c r="F246" s="1355" t="s">
        <v>869</v>
      </c>
      <c r="G246" s="2036" t="s">
        <v>80</v>
      </c>
      <c r="H246" s="2062" t="s">
        <v>1388</v>
      </c>
      <c r="I246" s="1826"/>
      <c r="J246" s="1827"/>
      <c r="K246" s="1828"/>
      <c r="L246" s="1834"/>
      <c r="M246" s="1830"/>
      <c r="N246" s="1835"/>
      <c r="O246" s="1832"/>
      <c r="P246" s="1833"/>
      <c r="Q246" s="707"/>
      <c r="R246" s="708"/>
      <c r="S246" s="708"/>
      <c r="T246" s="708"/>
      <c r="U246" s="708"/>
      <c r="V246" s="708"/>
      <c r="W246" s="708"/>
      <c r="X246" s="708"/>
      <c r="Y246" s="708"/>
      <c r="Z246" s="708"/>
      <c r="AA246" s="708"/>
      <c r="AB246" s="709"/>
      <c r="AC246" s="707"/>
      <c r="AD246" s="709"/>
      <c r="AF246" s="1252"/>
      <c r="AG246" s="707"/>
      <c r="AH246" s="707"/>
      <c r="AI246" s="707"/>
      <c r="AJ246" s="707"/>
      <c r="AK246" s="1253"/>
      <c r="AL246" s="899"/>
    </row>
    <row r="247" spans="1:39" s="687" customFormat="1" ht="15">
      <c r="A247" s="710" t="s">
        <v>167</v>
      </c>
      <c r="B247" s="697">
        <f>M247</f>
        <v>0</v>
      </c>
      <c r="C247" s="271" t="s">
        <v>36</v>
      </c>
      <c r="D247" s="272" t="s">
        <v>866</v>
      </c>
      <c r="E247" s="272" t="s">
        <v>147</v>
      </c>
      <c r="F247" s="272" t="s">
        <v>868</v>
      </c>
      <c r="G247" s="1624" t="s">
        <v>80</v>
      </c>
      <c r="H247" s="2063" t="s">
        <v>1388</v>
      </c>
      <c r="I247" s="2046">
        <v>365</v>
      </c>
      <c r="J247" s="1749">
        <v>0</v>
      </c>
      <c r="K247" s="1750"/>
      <c r="L247" s="1757"/>
      <c r="M247" s="1758"/>
      <c r="N247" s="1757"/>
      <c r="O247" s="1703"/>
      <c r="P247" s="1754"/>
      <c r="Q247" s="688"/>
      <c r="R247" s="507"/>
      <c r="S247" s="507"/>
      <c r="T247" s="507"/>
      <c r="U247" s="507"/>
      <c r="V247" s="507"/>
      <c r="W247" s="507"/>
      <c r="X247" s="507"/>
      <c r="Y247" s="507"/>
      <c r="Z247" s="507"/>
      <c r="AA247" s="507"/>
      <c r="AB247" s="702"/>
      <c r="AC247" s="690">
        <f>SUM(Q247:AB247)</f>
        <v>0</v>
      </c>
      <c r="AD247" s="689">
        <f>O247-AC247</f>
        <v>0</v>
      </c>
      <c r="AF247" s="903">
        <v>365</v>
      </c>
      <c r="AG247" s="1362" t="s">
        <v>499</v>
      </c>
      <c r="AH247" s="1125" t="s">
        <v>178</v>
      </c>
      <c r="AI247" s="1113">
        <f>P247</f>
        <v>0</v>
      </c>
      <c r="AJ247" s="904">
        <f>140000000-140000000</f>
        <v>0</v>
      </c>
      <c r="AK247" s="906">
        <f>AJ247-O247</f>
        <v>0</v>
      </c>
      <c r="AL247" s="899"/>
      <c r="AM247" s="1604">
        <f>AJ247-M247</f>
        <v>0</v>
      </c>
    </row>
    <row r="248" spans="1:39" s="687" customFormat="1">
      <c r="A248" s="710" t="s">
        <v>167</v>
      </c>
      <c r="B248" s="697">
        <f t="shared" ref="B248:B250" si="107">M248</f>
        <v>140000000</v>
      </c>
      <c r="C248" s="271" t="s">
        <v>36</v>
      </c>
      <c r="D248" s="272" t="s">
        <v>866</v>
      </c>
      <c r="E248" s="272" t="s">
        <v>183</v>
      </c>
      <c r="F248" s="272" t="s">
        <v>868</v>
      </c>
      <c r="G248" s="1624" t="s">
        <v>80</v>
      </c>
      <c r="H248" s="2063" t="s">
        <v>1388</v>
      </c>
      <c r="I248" s="1360">
        <v>365</v>
      </c>
      <c r="J248" s="1815"/>
      <c r="K248" s="1841"/>
      <c r="L248" s="1842">
        <v>474</v>
      </c>
      <c r="M248" s="1843">
        <v>140000000</v>
      </c>
      <c r="N248" s="1757">
        <v>655</v>
      </c>
      <c r="O248" s="1836">
        <v>134044476</v>
      </c>
      <c r="P248" s="1754">
        <v>387</v>
      </c>
      <c r="Q248" s="698"/>
      <c r="R248" s="699"/>
      <c r="S248" s="699"/>
      <c r="T248" s="699"/>
      <c r="U248" s="699"/>
      <c r="V248" s="699"/>
      <c r="W248" s="507"/>
      <c r="X248" s="507"/>
      <c r="Y248" s="507"/>
      <c r="Z248" s="699"/>
      <c r="AA248" s="699"/>
      <c r="AB248" s="720"/>
      <c r="AC248" s="690">
        <f t="shared" ref="AC248" si="108">SUM(Q248:AB248)</f>
        <v>0</v>
      </c>
      <c r="AD248" s="689">
        <f>O248-AC248</f>
        <v>134044476</v>
      </c>
      <c r="AF248" s="903">
        <v>365</v>
      </c>
      <c r="AG248" s="1362" t="s">
        <v>935</v>
      </c>
      <c r="AH248" s="1124" t="s">
        <v>1183</v>
      </c>
      <c r="AI248" s="1113">
        <f>P248</f>
        <v>387</v>
      </c>
      <c r="AJ248" s="904">
        <v>140000000</v>
      </c>
      <c r="AK248" s="906">
        <f>AJ248-O248</f>
        <v>5955524</v>
      </c>
      <c r="AL248" s="899"/>
      <c r="AM248" s="1604">
        <f>AJ248-M248</f>
        <v>0</v>
      </c>
    </row>
    <row r="249" spans="1:39" s="687" customFormat="1">
      <c r="A249" s="710" t="s">
        <v>167</v>
      </c>
      <c r="B249" s="697">
        <f t="shared" si="107"/>
        <v>4137048</v>
      </c>
      <c r="C249" s="271" t="s">
        <v>36</v>
      </c>
      <c r="D249" s="272" t="s">
        <v>866</v>
      </c>
      <c r="E249" s="272" t="s">
        <v>184</v>
      </c>
      <c r="F249" s="272" t="s">
        <v>868</v>
      </c>
      <c r="G249" s="1624" t="s">
        <v>80</v>
      </c>
      <c r="H249" s="2063" t="s">
        <v>1388</v>
      </c>
      <c r="I249" s="1360" t="s">
        <v>178</v>
      </c>
      <c r="J249" s="1815">
        <v>549</v>
      </c>
      <c r="K249" s="1841">
        <v>4137048</v>
      </c>
      <c r="L249" s="1842">
        <v>628</v>
      </c>
      <c r="M249" s="1843">
        <v>4137048</v>
      </c>
      <c r="N249" s="1757">
        <v>772</v>
      </c>
      <c r="O249" s="1843">
        <v>4137048</v>
      </c>
      <c r="P249" s="1754">
        <v>387</v>
      </c>
      <c r="Q249" s="698"/>
      <c r="R249" s="699"/>
      <c r="S249" s="699"/>
      <c r="T249" s="699"/>
      <c r="U249" s="699"/>
      <c r="V249" s="699"/>
      <c r="W249" s="699"/>
      <c r="X249" s="699"/>
      <c r="Y249" s="507"/>
      <c r="Z249" s="699"/>
      <c r="AA249" s="699"/>
      <c r="AB249" s="720"/>
      <c r="AC249" s="690">
        <f t="shared" ref="AC249:AC250" si="109">SUM(Q249:AB249)</f>
        <v>0</v>
      </c>
      <c r="AD249" s="689">
        <f>O249-AC249</f>
        <v>4137048</v>
      </c>
      <c r="AF249" s="903" t="s">
        <v>349</v>
      </c>
      <c r="AG249" s="1362" t="s">
        <v>1243</v>
      </c>
      <c r="AH249" s="1124" t="s">
        <v>1183</v>
      </c>
      <c r="AI249" s="1113">
        <f t="shared" ref="AI249:AI250" si="110">P249</f>
        <v>387</v>
      </c>
      <c r="AJ249" s="904">
        <v>4137048</v>
      </c>
      <c r="AK249" s="906">
        <f>AJ249-O249</f>
        <v>0</v>
      </c>
      <c r="AL249" s="899"/>
      <c r="AM249" s="1604">
        <f>AJ249-M249</f>
        <v>0</v>
      </c>
    </row>
    <row r="250" spans="1:39" s="687" customFormat="1" ht="15">
      <c r="A250" s="710" t="s">
        <v>167</v>
      </c>
      <c r="B250" s="697">
        <f t="shared" si="107"/>
        <v>0</v>
      </c>
      <c r="C250" s="271" t="s">
        <v>36</v>
      </c>
      <c r="D250" s="272" t="s">
        <v>866</v>
      </c>
      <c r="E250" s="272" t="s">
        <v>184</v>
      </c>
      <c r="F250" s="272" t="s">
        <v>868</v>
      </c>
      <c r="G250" s="1624" t="s">
        <v>80</v>
      </c>
      <c r="H250" s="2063" t="s">
        <v>1388</v>
      </c>
      <c r="I250" s="1360" t="s">
        <v>178</v>
      </c>
      <c r="J250" s="1815"/>
      <c r="K250" s="1841"/>
      <c r="L250" s="1842"/>
      <c r="M250" s="1843"/>
      <c r="N250" s="1757"/>
      <c r="O250" s="1836"/>
      <c r="P250" s="1754"/>
      <c r="Q250" s="698"/>
      <c r="R250" s="699"/>
      <c r="S250" s="699"/>
      <c r="T250" s="699"/>
      <c r="U250" s="699"/>
      <c r="V250" s="699"/>
      <c r="W250" s="699"/>
      <c r="X250" s="699"/>
      <c r="Y250" s="699"/>
      <c r="Z250" s="699"/>
      <c r="AA250" s="699"/>
      <c r="AB250" s="720"/>
      <c r="AC250" s="690">
        <f t="shared" si="109"/>
        <v>0</v>
      </c>
      <c r="AD250" s="689">
        <f>O250-AC250</f>
        <v>0</v>
      </c>
      <c r="AF250" s="903"/>
      <c r="AG250" s="1362"/>
      <c r="AH250" s="1125" t="s">
        <v>178</v>
      </c>
      <c r="AI250" s="1113">
        <f t="shared" si="110"/>
        <v>0</v>
      </c>
      <c r="AJ250" s="904"/>
      <c r="AK250" s="906">
        <f>AJ250-O250</f>
        <v>0</v>
      </c>
      <c r="AL250" s="899"/>
      <c r="AM250" s="1604">
        <f>AJ250-M250</f>
        <v>0</v>
      </c>
    </row>
    <row r="251" spans="1:39" s="656" customFormat="1" ht="15">
      <c r="A251" s="691" t="s">
        <v>81</v>
      </c>
      <c r="B251" s="692">
        <f>B246-SUM(B247:B250)</f>
        <v>0</v>
      </c>
      <c r="C251" s="693"/>
      <c r="D251" s="694"/>
      <c r="E251" s="694"/>
      <c r="F251" s="694"/>
      <c r="G251" s="1313"/>
      <c r="H251" s="2054"/>
      <c r="I251" s="1769"/>
      <c r="J251" s="1779"/>
      <c r="K251" s="1780"/>
      <c r="L251" s="1781"/>
      <c r="M251" s="1782">
        <f>SUM(M247:M250)</f>
        <v>144137048</v>
      </c>
      <c r="N251" s="1688"/>
      <c r="O251" s="1782">
        <f>SUM(O247:O250)</f>
        <v>138181524</v>
      </c>
      <c r="P251" s="1763"/>
      <c r="Q251" s="678">
        <f>SUM(Q247:Q250)</f>
        <v>0</v>
      </c>
      <c r="R251" s="678">
        <f t="shared" ref="R251:AD251" si="111">SUM(R247:R250)</f>
        <v>0</v>
      </c>
      <c r="S251" s="678">
        <f t="shared" si="111"/>
        <v>0</v>
      </c>
      <c r="T251" s="678">
        <f t="shared" si="111"/>
        <v>0</v>
      </c>
      <c r="U251" s="678">
        <f t="shared" si="111"/>
        <v>0</v>
      </c>
      <c r="V251" s="678">
        <f t="shared" si="111"/>
        <v>0</v>
      </c>
      <c r="W251" s="678">
        <f t="shared" si="111"/>
        <v>0</v>
      </c>
      <c r="X251" s="678">
        <f t="shared" si="111"/>
        <v>0</v>
      </c>
      <c r="Y251" s="678">
        <f t="shared" si="111"/>
        <v>0</v>
      </c>
      <c r="Z251" s="678">
        <f t="shared" si="111"/>
        <v>0</v>
      </c>
      <c r="AA251" s="678">
        <f t="shared" si="111"/>
        <v>0</v>
      </c>
      <c r="AB251" s="678">
        <f t="shared" si="111"/>
        <v>0</v>
      </c>
      <c r="AC251" s="678">
        <f t="shared" si="111"/>
        <v>0</v>
      </c>
      <c r="AD251" s="678">
        <f t="shared" si="111"/>
        <v>138181524</v>
      </c>
      <c r="AF251" s="907"/>
      <c r="AG251" s="14">
        <f t="shared" ref="AG251:AI251" si="112">SUM(AG247:AG247)</f>
        <v>0</v>
      </c>
      <c r="AH251" s="14">
        <f t="shared" si="112"/>
        <v>0</v>
      </c>
      <c r="AI251" s="1117">
        <f t="shared" si="112"/>
        <v>0</v>
      </c>
      <c r="AJ251" s="678">
        <f>SUM(AJ247:AJ250)</f>
        <v>144137048</v>
      </c>
      <c r="AK251" s="182">
        <f>SUM(AK247:AK250)</f>
        <v>5955524</v>
      </c>
      <c r="AL251" s="899">
        <f>B246-AJ251</f>
        <v>0</v>
      </c>
    </row>
    <row r="252" spans="1:39" s="656" customFormat="1" ht="34.5" customHeight="1">
      <c r="A252" s="805" t="s">
        <v>172</v>
      </c>
      <c r="B252" s="817">
        <f>2000000000-73125772-251888417-106548333</f>
        <v>1568437478</v>
      </c>
      <c r="C252" s="1354" t="s">
        <v>36</v>
      </c>
      <c r="D252" s="1355" t="s">
        <v>866</v>
      </c>
      <c r="E252" s="1355" t="s">
        <v>147</v>
      </c>
      <c r="F252" s="1355" t="s">
        <v>869</v>
      </c>
      <c r="G252" s="2036" t="s">
        <v>80</v>
      </c>
      <c r="H252" s="2062" t="s">
        <v>1388</v>
      </c>
      <c r="I252" s="1826"/>
      <c r="J252" s="1827"/>
      <c r="K252" s="1828"/>
      <c r="L252" s="1834"/>
      <c r="M252" s="1830"/>
      <c r="N252" s="1835"/>
      <c r="O252" s="1832"/>
      <c r="P252" s="1833"/>
      <c r="Q252" s="707"/>
      <c r="R252" s="708"/>
      <c r="S252" s="708"/>
      <c r="T252" s="708"/>
      <c r="U252" s="708"/>
      <c r="V252" s="708"/>
      <c r="W252" s="708"/>
      <c r="X252" s="708"/>
      <c r="Y252" s="708"/>
      <c r="Z252" s="708"/>
      <c r="AA252" s="708"/>
      <c r="AB252" s="709"/>
      <c r="AC252" s="707"/>
      <c r="AD252" s="709"/>
      <c r="AF252" s="1252"/>
      <c r="AG252" s="708"/>
      <c r="AH252" s="708"/>
      <c r="AI252" s="708"/>
      <c r="AJ252" s="708"/>
      <c r="AK252" s="709"/>
      <c r="AL252" s="899"/>
    </row>
    <row r="253" spans="1:39" s="687" customFormat="1" ht="15">
      <c r="A253" s="710" t="s">
        <v>168</v>
      </c>
      <c r="B253" s="697">
        <f>M253</f>
        <v>0</v>
      </c>
      <c r="C253" s="271" t="s">
        <v>36</v>
      </c>
      <c r="D253" s="272" t="s">
        <v>866</v>
      </c>
      <c r="E253" s="272" t="s">
        <v>147</v>
      </c>
      <c r="F253" s="272" t="s">
        <v>868</v>
      </c>
      <c r="G253" s="1624" t="s">
        <v>80</v>
      </c>
      <c r="H253" s="2063" t="s">
        <v>1388</v>
      </c>
      <c r="I253" s="2046">
        <v>366</v>
      </c>
      <c r="J253" s="1749">
        <v>0</v>
      </c>
      <c r="K253" s="1750"/>
      <c r="L253" s="1757"/>
      <c r="M253" s="1758"/>
      <c r="N253" s="1757"/>
      <c r="O253" s="1703"/>
      <c r="P253" s="1754"/>
      <c r="Q253" s="688"/>
      <c r="R253" s="507"/>
      <c r="S253" s="507"/>
      <c r="T253" s="507"/>
      <c r="U253" s="507"/>
      <c r="V253" s="507"/>
      <c r="W253" s="507"/>
      <c r="X253" s="507"/>
      <c r="Y253" s="507"/>
      <c r="Z253" s="507"/>
      <c r="AA253" s="507"/>
      <c r="AB253" s="702"/>
      <c r="AC253" s="690">
        <f>SUM(Q253:AB253)</f>
        <v>0</v>
      </c>
      <c r="AD253" s="689">
        <f>O253-AC253</f>
        <v>0</v>
      </c>
      <c r="AF253" s="903">
        <v>366</v>
      </c>
      <c r="AG253" s="1362" t="s">
        <v>497</v>
      </c>
      <c r="AH253" s="1125" t="s">
        <v>178</v>
      </c>
      <c r="AI253" s="1113">
        <f>P253</f>
        <v>0</v>
      </c>
      <c r="AJ253" s="904">
        <f>2000000000-2000000000</f>
        <v>0</v>
      </c>
      <c r="AK253" s="906">
        <f>AJ253-O253</f>
        <v>0</v>
      </c>
      <c r="AL253" s="899"/>
      <c r="AM253" s="1604">
        <f>AJ253-M253</f>
        <v>0</v>
      </c>
    </row>
    <row r="254" spans="1:39" s="687" customFormat="1">
      <c r="A254" s="710" t="s">
        <v>168</v>
      </c>
      <c r="B254" s="697">
        <f t="shared" ref="B254:B256" si="113">M254</f>
        <v>1178096861</v>
      </c>
      <c r="C254" s="271" t="s">
        <v>36</v>
      </c>
      <c r="D254" s="272" t="s">
        <v>866</v>
      </c>
      <c r="E254" s="272" t="s">
        <v>183</v>
      </c>
      <c r="F254" s="272" t="s">
        <v>868</v>
      </c>
      <c r="G254" s="1624" t="s">
        <v>80</v>
      </c>
      <c r="H254" s="2063" t="s">
        <v>1388</v>
      </c>
      <c r="I254" s="2046">
        <v>501</v>
      </c>
      <c r="J254" s="1815"/>
      <c r="K254" s="1841"/>
      <c r="L254" s="1842">
        <v>490</v>
      </c>
      <c r="M254" s="1843">
        <v>1178096861</v>
      </c>
      <c r="N254" s="1757">
        <v>792</v>
      </c>
      <c r="O254" s="1836">
        <v>1160599837</v>
      </c>
      <c r="P254" s="1754">
        <v>442</v>
      </c>
      <c r="Q254" s="698"/>
      <c r="R254" s="699"/>
      <c r="S254" s="699"/>
      <c r="T254" s="699"/>
      <c r="U254" s="699"/>
      <c r="V254" s="699"/>
      <c r="W254" s="699"/>
      <c r="X254" s="699"/>
      <c r="Y254" s="507"/>
      <c r="Z254" s="699"/>
      <c r="AA254" s="699"/>
      <c r="AB254" s="720"/>
      <c r="AC254" s="690">
        <f t="shared" ref="AC254:AC256" si="114">SUM(Q254:AB254)</f>
        <v>0</v>
      </c>
      <c r="AD254" s="689">
        <f>O254-AC254</f>
        <v>1160599837</v>
      </c>
      <c r="AF254" s="903">
        <v>501</v>
      </c>
      <c r="AG254" s="1362" t="s">
        <v>933</v>
      </c>
      <c r="AH254" s="1124" t="s">
        <v>1289</v>
      </c>
      <c r="AI254" s="1113">
        <f>P254</f>
        <v>442</v>
      </c>
      <c r="AJ254" s="904">
        <v>1306922520</v>
      </c>
      <c r="AK254" s="906">
        <f>AJ254-O254</f>
        <v>146322683</v>
      </c>
      <c r="AL254" s="899"/>
      <c r="AM254" s="1604">
        <f>AJ254-M254</f>
        <v>128825659</v>
      </c>
    </row>
    <row r="255" spans="1:39" s="687" customFormat="1">
      <c r="A255" s="710" t="s">
        <v>168</v>
      </c>
      <c r="B255" s="697">
        <f t="shared" si="113"/>
        <v>193077480</v>
      </c>
      <c r="C255" s="271" t="s">
        <v>36</v>
      </c>
      <c r="D255" s="272" t="s">
        <v>866</v>
      </c>
      <c r="E255" s="272" t="s">
        <v>184</v>
      </c>
      <c r="F255" s="272" t="s">
        <v>868</v>
      </c>
      <c r="G255" s="1624" t="s">
        <v>80</v>
      </c>
      <c r="H255" s="2063" t="s">
        <v>1388</v>
      </c>
      <c r="I255" s="2046">
        <v>502</v>
      </c>
      <c r="J255" s="1815"/>
      <c r="K255" s="1841"/>
      <c r="L255" s="1842">
        <v>574</v>
      </c>
      <c r="M255" s="1843">
        <v>193077480</v>
      </c>
      <c r="N255" s="1757">
        <v>793</v>
      </c>
      <c r="O255" s="1836">
        <v>193077000</v>
      </c>
      <c r="P255" s="1754">
        <v>444</v>
      </c>
      <c r="Q255" s="698"/>
      <c r="R255" s="699"/>
      <c r="S255" s="699"/>
      <c r="T255" s="699"/>
      <c r="U255" s="699"/>
      <c r="V255" s="699"/>
      <c r="W255" s="699"/>
      <c r="X255" s="699"/>
      <c r="Y255" s="507"/>
      <c r="Z255" s="699"/>
      <c r="AA255" s="699"/>
      <c r="AB255" s="720"/>
      <c r="AC255" s="690">
        <f t="shared" si="114"/>
        <v>0</v>
      </c>
      <c r="AD255" s="689">
        <f>O255-AC255</f>
        <v>193077000</v>
      </c>
      <c r="AF255" s="903">
        <v>502</v>
      </c>
      <c r="AG255" s="1362" t="s">
        <v>934</v>
      </c>
      <c r="AH255" s="1124" t="s">
        <v>1291</v>
      </c>
      <c r="AI255" s="1113">
        <f>P255</f>
        <v>444</v>
      </c>
      <c r="AJ255" s="904">
        <v>193077480</v>
      </c>
      <c r="AK255" s="906">
        <f>AJ255-O255</f>
        <v>480</v>
      </c>
      <c r="AL255" s="899"/>
      <c r="AM255" s="1604">
        <f>AJ255-M255</f>
        <v>0</v>
      </c>
    </row>
    <row r="256" spans="1:39" s="687" customFormat="1" ht="15">
      <c r="A256" s="710" t="s">
        <v>168</v>
      </c>
      <c r="B256" s="697">
        <f t="shared" si="113"/>
        <v>0</v>
      </c>
      <c r="C256" s="271" t="s">
        <v>36</v>
      </c>
      <c r="D256" s="272" t="s">
        <v>866</v>
      </c>
      <c r="E256" s="272" t="s">
        <v>188</v>
      </c>
      <c r="F256" s="272" t="s">
        <v>868</v>
      </c>
      <c r="G256" s="1624" t="s">
        <v>80</v>
      </c>
      <c r="H256" s="2063" t="s">
        <v>1388</v>
      </c>
      <c r="I256" s="2046" t="s">
        <v>349</v>
      </c>
      <c r="J256" s="1815"/>
      <c r="K256" s="1841"/>
      <c r="L256" s="1842"/>
      <c r="M256" s="1843"/>
      <c r="N256" s="1757"/>
      <c r="O256" s="1836"/>
      <c r="P256" s="1754"/>
      <c r="Q256" s="698"/>
      <c r="R256" s="699"/>
      <c r="S256" s="699"/>
      <c r="T256" s="699"/>
      <c r="U256" s="699"/>
      <c r="V256" s="699"/>
      <c r="W256" s="699"/>
      <c r="X256" s="699"/>
      <c r="Y256" s="699"/>
      <c r="Z256" s="699"/>
      <c r="AA256" s="699"/>
      <c r="AB256" s="720"/>
      <c r="AC256" s="690">
        <f t="shared" si="114"/>
        <v>0</v>
      </c>
      <c r="AD256" s="689">
        <f>O256-AC256</f>
        <v>0</v>
      </c>
      <c r="AF256" s="903" t="s">
        <v>349</v>
      </c>
      <c r="AG256" s="1362" t="s">
        <v>520</v>
      </c>
      <c r="AH256" s="1125" t="s">
        <v>178</v>
      </c>
      <c r="AI256" s="1113">
        <f>P256</f>
        <v>0</v>
      </c>
      <c r="AJ256" s="904">
        <f>500000000-73125772-251888417-106548333</f>
        <v>68437478</v>
      </c>
      <c r="AK256" s="906">
        <f>AJ256-O256</f>
        <v>68437478</v>
      </c>
      <c r="AL256" s="899"/>
      <c r="AM256" s="1604">
        <f>AJ256-M256</f>
        <v>68437478</v>
      </c>
    </row>
    <row r="257" spans="1:39" s="656" customFormat="1" ht="15">
      <c r="A257" s="691" t="s">
        <v>81</v>
      </c>
      <c r="B257" s="692">
        <f>B252-SUM(B253:B256)</f>
        <v>197263137</v>
      </c>
      <c r="C257" s="693"/>
      <c r="D257" s="694"/>
      <c r="E257" s="694"/>
      <c r="F257" s="694"/>
      <c r="G257" s="1313"/>
      <c r="H257" s="2054"/>
      <c r="I257" s="1769"/>
      <c r="J257" s="1779"/>
      <c r="K257" s="1780"/>
      <c r="L257" s="1781"/>
      <c r="M257" s="1782">
        <f>SUM(M253:M256)</f>
        <v>1371174341</v>
      </c>
      <c r="N257" s="1688"/>
      <c r="O257" s="1782">
        <f>SUM(O253:O256)</f>
        <v>1353676837</v>
      </c>
      <c r="P257" s="1763"/>
      <c r="Q257" s="678">
        <f>SUM(Q253:Q256)</f>
        <v>0</v>
      </c>
      <c r="R257" s="678">
        <f t="shared" ref="R257:AD257" si="115">SUM(R253:R256)</f>
        <v>0</v>
      </c>
      <c r="S257" s="678">
        <f t="shared" si="115"/>
        <v>0</v>
      </c>
      <c r="T257" s="678">
        <f t="shared" si="115"/>
        <v>0</v>
      </c>
      <c r="U257" s="678">
        <f t="shared" si="115"/>
        <v>0</v>
      </c>
      <c r="V257" s="678">
        <f t="shared" si="115"/>
        <v>0</v>
      </c>
      <c r="W257" s="678">
        <f t="shared" si="115"/>
        <v>0</v>
      </c>
      <c r="X257" s="678">
        <f t="shared" si="115"/>
        <v>0</v>
      </c>
      <c r="Y257" s="678">
        <f>SUM(Y253:Y256)</f>
        <v>0</v>
      </c>
      <c r="Z257" s="678">
        <f t="shared" si="115"/>
        <v>0</v>
      </c>
      <c r="AA257" s="678">
        <f>SUM(AA253:AA256)</f>
        <v>0</v>
      </c>
      <c r="AB257" s="678">
        <f t="shared" si="115"/>
        <v>0</v>
      </c>
      <c r="AC257" s="678">
        <f>SUM(AC253:AC256)</f>
        <v>0</v>
      </c>
      <c r="AD257" s="678">
        <f t="shared" si="115"/>
        <v>1353676837</v>
      </c>
      <c r="AF257" s="907"/>
      <c r="AG257" s="14">
        <f t="shared" ref="AG257:AI257" si="116">SUM(AG253:AG253)</f>
        <v>0</v>
      </c>
      <c r="AH257" s="14">
        <f t="shared" si="116"/>
        <v>0</v>
      </c>
      <c r="AI257" s="1117">
        <f t="shared" si="116"/>
        <v>0</v>
      </c>
      <c r="AJ257" s="678">
        <f>SUM(AJ253:AJ256)</f>
        <v>1568437478</v>
      </c>
      <c r="AK257" s="678">
        <f>SUM(AK253:AK256)</f>
        <v>214760641</v>
      </c>
      <c r="AL257" s="899">
        <f>B252-AJ257</f>
        <v>0</v>
      </c>
    </row>
    <row r="258" spans="1:39" s="656" customFormat="1" ht="31.5" customHeight="1">
      <c r="A258" s="805" t="s">
        <v>173</v>
      </c>
      <c r="B258" s="817">
        <f>100000000-55320000</f>
        <v>44680000</v>
      </c>
      <c r="C258" s="1354" t="s">
        <v>36</v>
      </c>
      <c r="D258" s="1355" t="s">
        <v>866</v>
      </c>
      <c r="E258" s="1355" t="s">
        <v>147</v>
      </c>
      <c r="F258" s="1355" t="s">
        <v>869</v>
      </c>
      <c r="G258" s="2036" t="s">
        <v>80</v>
      </c>
      <c r="H258" s="2062" t="s">
        <v>1388</v>
      </c>
      <c r="I258" s="1826"/>
      <c r="J258" s="1827"/>
      <c r="K258" s="1828"/>
      <c r="L258" s="1834"/>
      <c r="M258" s="1830"/>
      <c r="N258" s="1835"/>
      <c r="O258" s="1832"/>
      <c r="P258" s="1833"/>
      <c r="Q258" s="707"/>
      <c r="R258" s="708"/>
      <c r="S258" s="708"/>
      <c r="T258" s="708"/>
      <c r="U258" s="708"/>
      <c r="V258" s="708"/>
      <c r="W258" s="708"/>
      <c r="X258" s="708"/>
      <c r="Y258" s="708"/>
      <c r="Z258" s="708"/>
      <c r="AA258" s="708"/>
      <c r="AB258" s="709"/>
      <c r="AC258" s="707"/>
      <c r="AD258" s="709"/>
      <c r="AF258" s="1252"/>
      <c r="AG258" s="708"/>
      <c r="AH258" s="708"/>
      <c r="AI258" s="708"/>
      <c r="AJ258" s="708"/>
      <c r="AK258" s="709"/>
      <c r="AL258" s="899"/>
    </row>
    <row r="259" spans="1:39" s="687" customFormat="1" ht="15">
      <c r="A259" s="710" t="s">
        <v>168</v>
      </c>
      <c r="B259" s="697">
        <f>M259</f>
        <v>0</v>
      </c>
      <c r="C259" s="271" t="s">
        <v>36</v>
      </c>
      <c r="D259" s="272" t="s">
        <v>866</v>
      </c>
      <c r="E259" s="272" t="s">
        <v>147</v>
      </c>
      <c r="F259" s="272" t="s">
        <v>868</v>
      </c>
      <c r="G259" s="1624" t="s">
        <v>80</v>
      </c>
      <c r="H259" s="2063" t="s">
        <v>1388</v>
      </c>
      <c r="I259" s="2046">
        <v>367</v>
      </c>
      <c r="J259" s="1749">
        <v>0</v>
      </c>
      <c r="K259" s="1750"/>
      <c r="L259" s="1757"/>
      <c r="M259" s="1758"/>
      <c r="N259" s="1757"/>
      <c r="O259" s="1703"/>
      <c r="P259" s="1754"/>
      <c r="Q259" s="688"/>
      <c r="R259" s="507"/>
      <c r="S259" s="507"/>
      <c r="T259" s="507"/>
      <c r="U259" s="507"/>
      <c r="V259" s="507"/>
      <c r="W259" s="507"/>
      <c r="X259" s="507"/>
      <c r="Y259" s="507"/>
      <c r="Z259" s="507"/>
      <c r="AA259" s="507"/>
      <c r="AB259" s="702"/>
      <c r="AC259" s="690">
        <f>SUM(Q259:AB259)</f>
        <v>0</v>
      </c>
      <c r="AD259" s="689">
        <f>O259-AC259</f>
        <v>0</v>
      </c>
      <c r="AF259" s="903">
        <v>367</v>
      </c>
      <c r="AG259" s="1362" t="s">
        <v>498</v>
      </c>
      <c r="AH259" s="1125" t="s">
        <v>178</v>
      </c>
      <c r="AI259" s="1113">
        <f>P259</f>
        <v>0</v>
      </c>
      <c r="AJ259" s="904">
        <f>100000000-55320000</f>
        <v>44680000</v>
      </c>
      <c r="AK259" s="906">
        <f>AJ259-O259</f>
        <v>44680000</v>
      </c>
      <c r="AL259" s="899"/>
      <c r="AM259" s="1604">
        <f>AJ259-M259</f>
        <v>44680000</v>
      </c>
    </row>
    <row r="260" spans="1:39" s="656" customFormat="1" ht="15">
      <c r="A260" s="691" t="s">
        <v>81</v>
      </c>
      <c r="B260" s="692">
        <f>B258-SUM(B259:B259)</f>
        <v>44680000</v>
      </c>
      <c r="C260" s="693"/>
      <c r="D260" s="694"/>
      <c r="E260" s="694"/>
      <c r="F260" s="694"/>
      <c r="G260" s="1313"/>
      <c r="H260" s="2054"/>
      <c r="I260" s="1769"/>
      <c r="J260" s="1779"/>
      <c r="K260" s="1780"/>
      <c r="L260" s="1781"/>
      <c r="M260" s="1782">
        <f>SUM(M259:M259)</f>
        <v>0</v>
      </c>
      <c r="N260" s="1688"/>
      <c r="O260" s="1782">
        <f>SUM(O259:O259)</f>
        <v>0</v>
      </c>
      <c r="P260" s="1763"/>
      <c r="Q260" s="700">
        <f t="shared" ref="Q260:AD260" si="117">SUM(Q259:Q259)</f>
        <v>0</v>
      </c>
      <c r="R260" s="678">
        <f t="shared" si="117"/>
        <v>0</v>
      </c>
      <c r="S260" s="678">
        <f t="shared" si="117"/>
        <v>0</v>
      </c>
      <c r="T260" s="678">
        <f t="shared" si="117"/>
        <v>0</v>
      </c>
      <c r="U260" s="678">
        <f t="shared" si="117"/>
        <v>0</v>
      </c>
      <c r="V260" s="678">
        <f t="shared" si="117"/>
        <v>0</v>
      </c>
      <c r="W260" s="678">
        <f t="shared" si="117"/>
        <v>0</v>
      </c>
      <c r="X260" s="678">
        <f t="shared" si="117"/>
        <v>0</v>
      </c>
      <c r="Y260" s="678">
        <f t="shared" si="117"/>
        <v>0</v>
      </c>
      <c r="Z260" s="678">
        <f t="shared" si="117"/>
        <v>0</v>
      </c>
      <c r="AA260" s="678">
        <f t="shared" si="117"/>
        <v>0</v>
      </c>
      <c r="AB260" s="701">
        <f t="shared" si="117"/>
        <v>0</v>
      </c>
      <c r="AC260" s="700">
        <f t="shared" si="117"/>
        <v>0</v>
      </c>
      <c r="AD260" s="701">
        <f t="shared" si="117"/>
        <v>0</v>
      </c>
      <c r="AF260" s="907"/>
      <c r="AG260" s="14">
        <f t="shared" ref="AG260:AJ260" si="118">SUM(AG259:AG259)</f>
        <v>0</v>
      </c>
      <c r="AH260" s="14">
        <f t="shared" si="118"/>
        <v>0</v>
      </c>
      <c r="AI260" s="1117">
        <f t="shared" si="118"/>
        <v>0</v>
      </c>
      <c r="AJ260" s="14">
        <f t="shared" si="118"/>
        <v>44680000</v>
      </c>
      <c r="AK260" s="182">
        <f>SUM(AK259:AK259)</f>
        <v>44680000</v>
      </c>
      <c r="AL260" s="899">
        <f>B258-AJ260</f>
        <v>0</v>
      </c>
    </row>
    <row r="261" spans="1:39" s="656" customFormat="1" ht="15">
      <c r="A261" s="711" t="s">
        <v>177</v>
      </c>
      <c r="B261" s="818">
        <f>B262+B327</f>
        <v>2311969333</v>
      </c>
      <c r="C261" s="810"/>
      <c r="D261" s="810"/>
      <c r="E261" s="810"/>
      <c r="F261" s="810"/>
      <c r="G261" s="2037"/>
      <c r="H261" s="826"/>
      <c r="I261" s="1844"/>
      <c r="J261" s="1845"/>
      <c r="K261" s="1846"/>
      <c r="L261" s="1847"/>
      <c r="M261" s="1846"/>
      <c r="N261" s="1847"/>
      <c r="O261" s="1846"/>
      <c r="P261" s="1848"/>
      <c r="Q261" s="828"/>
      <c r="R261" s="824"/>
      <c r="S261" s="824"/>
      <c r="T261" s="824"/>
      <c r="U261" s="824"/>
      <c r="V261" s="824"/>
      <c r="W261" s="824"/>
      <c r="X261" s="824"/>
      <c r="Y261" s="824"/>
      <c r="Z261" s="824"/>
      <c r="AA261" s="824"/>
      <c r="AB261" s="826"/>
      <c r="AC261" s="828"/>
      <c r="AD261" s="826"/>
      <c r="AF261" s="1254"/>
      <c r="AG261" s="824"/>
      <c r="AH261" s="824"/>
      <c r="AI261" s="1385"/>
      <c r="AJ261" s="824"/>
      <c r="AK261" s="826"/>
      <c r="AL261" s="899"/>
    </row>
    <row r="262" spans="1:39" s="687" customFormat="1" ht="25.5" customHeight="1">
      <c r="A262" s="711" t="s">
        <v>87</v>
      </c>
      <c r="B262" s="817">
        <f>1828000000+37700000+63721000+256548333</f>
        <v>2185969333</v>
      </c>
      <c r="C262" s="1356" t="s">
        <v>36</v>
      </c>
      <c r="D262" s="1356" t="s">
        <v>867</v>
      </c>
      <c r="E262" s="1356" t="s">
        <v>147</v>
      </c>
      <c r="F262" s="1356" t="s">
        <v>88</v>
      </c>
      <c r="G262" s="2038" t="s">
        <v>80</v>
      </c>
      <c r="H262" s="2064" t="s">
        <v>1389</v>
      </c>
      <c r="I262" s="1844"/>
      <c r="J262" s="1849">
        <v>0</v>
      </c>
      <c r="K262" s="1850"/>
      <c r="L262" s="1851"/>
      <c r="M262" s="1850"/>
      <c r="N262" s="1851"/>
      <c r="O262" s="1850"/>
      <c r="P262" s="1852"/>
      <c r="Q262" s="829"/>
      <c r="R262" s="825"/>
      <c r="S262" s="825"/>
      <c r="T262" s="825"/>
      <c r="U262" s="825"/>
      <c r="V262" s="825"/>
      <c r="W262" s="825"/>
      <c r="X262" s="825"/>
      <c r="Y262" s="825"/>
      <c r="Z262" s="825"/>
      <c r="AA262" s="825"/>
      <c r="AB262" s="827"/>
      <c r="AC262" s="829"/>
      <c r="AD262" s="827"/>
      <c r="AF262" s="1255"/>
      <c r="AG262" s="825"/>
      <c r="AH262" s="825"/>
      <c r="AI262" s="825"/>
      <c r="AJ262" s="825"/>
      <c r="AK262" s="827"/>
      <c r="AL262" s="899"/>
      <c r="AM262" s="1603"/>
    </row>
    <row r="263" spans="1:39" s="687" customFormat="1">
      <c r="A263" s="712" t="s">
        <v>87</v>
      </c>
      <c r="B263" s="516">
        <f>M263</f>
        <v>32450000</v>
      </c>
      <c r="C263" s="713" t="s">
        <v>36</v>
      </c>
      <c r="D263" s="713" t="s">
        <v>867</v>
      </c>
      <c r="E263" s="713" t="s">
        <v>147</v>
      </c>
      <c r="F263" s="713" t="s">
        <v>88</v>
      </c>
      <c r="G263" s="2039" t="s">
        <v>80</v>
      </c>
      <c r="H263" s="2065" t="s">
        <v>1389</v>
      </c>
      <c r="I263" s="2046">
        <v>272</v>
      </c>
      <c r="J263" s="1749">
        <v>0</v>
      </c>
      <c r="K263" s="1750"/>
      <c r="L263" s="1751">
        <v>93</v>
      </c>
      <c r="M263" s="1758">
        <v>32450000</v>
      </c>
      <c r="N263" s="1692">
        <v>104</v>
      </c>
      <c r="O263" s="1703">
        <v>32450000</v>
      </c>
      <c r="P263" s="1754">
        <v>64</v>
      </c>
      <c r="Q263" s="688"/>
      <c r="R263" s="507">
        <v>885000</v>
      </c>
      <c r="S263" s="507">
        <f>VLOOKUP(N263,[9]Hoja2!N$2:T$77,7,0)</f>
        <v>2950000</v>
      </c>
      <c r="T263" s="507">
        <v>2950000</v>
      </c>
      <c r="U263" s="507">
        <v>2950000</v>
      </c>
      <c r="V263" s="507">
        <v>2950000</v>
      </c>
      <c r="W263" s="507">
        <v>2950000</v>
      </c>
      <c r="X263" s="507">
        <v>2950000</v>
      </c>
      <c r="Y263" s="507">
        <v>2950000</v>
      </c>
      <c r="Z263" s="507"/>
      <c r="AA263" s="507"/>
      <c r="AB263" s="702"/>
      <c r="AC263" s="690">
        <f t="shared" ref="AC263" si="119">SUM(Q263:AB263)</f>
        <v>21535000</v>
      </c>
      <c r="AD263" s="689">
        <f t="shared" ref="AD263:AD294" si="120">O263-AC263</f>
        <v>10915000</v>
      </c>
      <c r="AF263" s="903">
        <v>272</v>
      </c>
      <c r="AG263" s="1362" t="s">
        <v>208</v>
      </c>
      <c r="AH263" s="1124" t="s">
        <v>555</v>
      </c>
      <c r="AI263" s="1113">
        <f t="shared" ref="AI263:AI325" si="121">P263</f>
        <v>64</v>
      </c>
      <c r="AJ263" s="904">
        <v>32450000</v>
      </c>
      <c r="AK263" s="906">
        <f t="shared" ref="AK263:AK294" si="122">AJ263-O263</f>
        <v>0</v>
      </c>
      <c r="AL263" s="899"/>
      <c r="AM263" s="1604">
        <f t="shared" ref="AM263:AM294" si="123">AJ263-M263</f>
        <v>0</v>
      </c>
    </row>
    <row r="264" spans="1:39" s="687" customFormat="1">
      <c r="A264" s="712" t="s">
        <v>87</v>
      </c>
      <c r="B264" s="516">
        <f t="shared" ref="B264:B325" si="124">M264</f>
        <v>33200000</v>
      </c>
      <c r="C264" s="713" t="s">
        <v>36</v>
      </c>
      <c r="D264" s="713" t="s">
        <v>867</v>
      </c>
      <c r="E264" s="713" t="s">
        <v>147</v>
      </c>
      <c r="F264" s="713" t="s">
        <v>88</v>
      </c>
      <c r="G264" s="2039" t="s">
        <v>80</v>
      </c>
      <c r="H264" s="2065" t="s">
        <v>1389</v>
      </c>
      <c r="I264" s="2046">
        <v>273</v>
      </c>
      <c r="J264" s="1749">
        <v>1</v>
      </c>
      <c r="K264" s="1750"/>
      <c r="L264" s="1751">
        <v>94</v>
      </c>
      <c r="M264" s="1758">
        <v>33200000</v>
      </c>
      <c r="N264" s="1692">
        <v>63</v>
      </c>
      <c r="O264" s="1703">
        <v>33200000</v>
      </c>
      <c r="P264" s="1754">
        <v>73</v>
      </c>
      <c r="Q264" s="688"/>
      <c r="R264" s="507">
        <v>1106667</v>
      </c>
      <c r="S264" s="507">
        <f>VLOOKUP(N264,[9]Hoja2!N$2:T$77,7,0)</f>
        <v>3320000</v>
      </c>
      <c r="T264" s="507">
        <v>3320000</v>
      </c>
      <c r="U264" s="507">
        <v>3320000</v>
      </c>
      <c r="V264" s="507">
        <v>3320000</v>
      </c>
      <c r="W264" s="507">
        <v>3320000</v>
      </c>
      <c r="X264" s="507">
        <v>3320000</v>
      </c>
      <c r="Y264" s="507">
        <v>3320000</v>
      </c>
      <c r="Z264" s="507"/>
      <c r="AA264" s="507"/>
      <c r="AB264" s="702"/>
      <c r="AC264" s="690">
        <f t="shared" ref="AC264:AC320" si="125">SUM(Q264:AB264)</f>
        <v>24346667</v>
      </c>
      <c r="AD264" s="689">
        <f t="shared" si="120"/>
        <v>8853333</v>
      </c>
      <c r="AF264" s="903">
        <v>273</v>
      </c>
      <c r="AG264" s="1362" t="s">
        <v>209</v>
      </c>
      <c r="AH264" s="1124" t="s">
        <v>556</v>
      </c>
      <c r="AI264" s="1113">
        <f t="shared" si="121"/>
        <v>73</v>
      </c>
      <c r="AJ264" s="904">
        <v>33200000</v>
      </c>
      <c r="AK264" s="906">
        <f t="shared" si="122"/>
        <v>0</v>
      </c>
      <c r="AL264" s="899"/>
      <c r="AM264" s="1604">
        <f t="shared" si="123"/>
        <v>0</v>
      </c>
    </row>
    <row r="265" spans="1:39" s="687" customFormat="1">
      <c r="A265" s="712" t="s">
        <v>87</v>
      </c>
      <c r="B265" s="516">
        <f t="shared" si="124"/>
        <v>66000000</v>
      </c>
      <c r="C265" s="713" t="s">
        <v>36</v>
      </c>
      <c r="D265" s="713" t="s">
        <v>867</v>
      </c>
      <c r="E265" s="713" t="s">
        <v>147</v>
      </c>
      <c r="F265" s="713" t="s">
        <v>88</v>
      </c>
      <c r="G265" s="2039" t="s">
        <v>80</v>
      </c>
      <c r="H265" s="2065" t="s">
        <v>1389</v>
      </c>
      <c r="I265" s="2046">
        <v>274</v>
      </c>
      <c r="J265" s="1749">
        <v>2</v>
      </c>
      <c r="K265" s="1750"/>
      <c r="L265" s="1751">
        <v>310</v>
      </c>
      <c r="M265" s="1758">
        <v>66000000</v>
      </c>
      <c r="N265" s="1757">
        <v>311</v>
      </c>
      <c r="O265" s="1853">
        <v>66000000</v>
      </c>
      <c r="P265" s="1754">
        <v>265</v>
      </c>
      <c r="Q265" s="688"/>
      <c r="R265" s="507"/>
      <c r="S265" s="507">
        <f>VLOOKUP(N265,[9]Hoja2!N$2:T$77,7,0)</f>
        <v>1320000</v>
      </c>
      <c r="T265" s="507">
        <v>6600000</v>
      </c>
      <c r="U265" s="507">
        <v>6600000</v>
      </c>
      <c r="V265" s="507">
        <v>6600000</v>
      </c>
      <c r="W265" s="507">
        <v>6600000</v>
      </c>
      <c r="X265" s="507">
        <v>6600000</v>
      </c>
      <c r="Y265" s="507">
        <v>6600000</v>
      </c>
      <c r="Z265" s="507"/>
      <c r="AA265" s="507"/>
      <c r="AB265" s="702"/>
      <c r="AC265" s="690">
        <f t="shared" si="125"/>
        <v>40920000</v>
      </c>
      <c r="AD265" s="689">
        <f t="shared" si="120"/>
        <v>25080000</v>
      </c>
      <c r="AF265" s="903">
        <v>274</v>
      </c>
      <c r="AG265" s="1362" t="s">
        <v>515</v>
      </c>
      <c r="AH265" s="1124" t="s">
        <v>805</v>
      </c>
      <c r="AI265" s="1113">
        <f t="shared" si="121"/>
        <v>265</v>
      </c>
      <c r="AJ265" s="904">
        <v>66000000</v>
      </c>
      <c r="AK265" s="906">
        <f t="shared" si="122"/>
        <v>0</v>
      </c>
      <c r="AL265" s="899"/>
      <c r="AM265" s="1604">
        <f t="shared" si="123"/>
        <v>0</v>
      </c>
    </row>
    <row r="266" spans="1:39" s="687" customFormat="1" ht="15">
      <c r="A266" s="712" t="s">
        <v>87</v>
      </c>
      <c r="B266" s="516">
        <f t="shared" si="124"/>
        <v>0</v>
      </c>
      <c r="C266" s="713" t="s">
        <v>36</v>
      </c>
      <c r="D266" s="713" t="s">
        <v>867</v>
      </c>
      <c r="E266" s="713" t="s">
        <v>147</v>
      </c>
      <c r="F266" s="713" t="s">
        <v>88</v>
      </c>
      <c r="G266" s="2039" t="s">
        <v>80</v>
      </c>
      <c r="H266" s="2065" t="s">
        <v>1389</v>
      </c>
      <c r="I266" s="2046">
        <v>275</v>
      </c>
      <c r="J266" s="1749">
        <v>3</v>
      </c>
      <c r="K266" s="1750"/>
      <c r="L266" s="1751"/>
      <c r="M266" s="1758"/>
      <c r="N266" s="1757"/>
      <c r="O266" s="1853"/>
      <c r="P266" s="1754"/>
      <c r="Q266" s="688"/>
      <c r="R266" s="507"/>
      <c r="S266" s="507"/>
      <c r="T266" s="507"/>
      <c r="U266" s="507"/>
      <c r="V266" s="507"/>
      <c r="W266" s="507"/>
      <c r="X266" s="507"/>
      <c r="Y266" s="507"/>
      <c r="Z266" s="507"/>
      <c r="AA266" s="507"/>
      <c r="AB266" s="702"/>
      <c r="AC266" s="690">
        <f t="shared" si="125"/>
        <v>0</v>
      </c>
      <c r="AD266" s="689">
        <f t="shared" si="120"/>
        <v>0</v>
      </c>
      <c r="AF266" s="903">
        <v>275</v>
      </c>
      <c r="AG266" s="1362" t="s">
        <v>516</v>
      </c>
      <c r="AH266" s="1125" t="s">
        <v>178</v>
      </c>
      <c r="AI266" s="1113">
        <f t="shared" si="121"/>
        <v>0</v>
      </c>
      <c r="AJ266" s="904">
        <f>43040000-43040000</f>
        <v>0</v>
      </c>
      <c r="AK266" s="906">
        <f t="shared" si="122"/>
        <v>0</v>
      </c>
      <c r="AL266" s="899"/>
      <c r="AM266" s="1604">
        <f t="shared" si="123"/>
        <v>0</v>
      </c>
    </row>
    <row r="267" spans="1:39" s="687" customFormat="1">
      <c r="A267" s="712" t="s">
        <v>87</v>
      </c>
      <c r="B267" s="516">
        <f t="shared" si="124"/>
        <v>38400000</v>
      </c>
      <c r="C267" s="713" t="s">
        <v>36</v>
      </c>
      <c r="D267" s="713" t="s">
        <v>867</v>
      </c>
      <c r="E267" s="713" t="s">
        <v>147</v>
      </c>
      <c r="F267" s="713" t="s">
        <v>88</v>
      </c>
      <c r="G267" s="2039" t="s">
        <v>80</v>
      </c>
      <c r="H267" s="2065" t="s">
        <v>1389</v>
      </c>
      <c r="I267" s="2046">
        <v>276</v>
      </c>
      <c r="J267" s="1749">
        <v>4</v>
      </c>
      <c r="K267" s="1750"/>
      <c r="L267" s="1751">
        <v>95</v>
      </c>
      <c r="M267" s="1758">
        <v>38400000</v>
      </c>
      <c r="N267" s="1692">
        <v>106</v>
      </c>
      <c r="O267" s="1703">
        <v>38400000</v>
      </c>
      <c r="P267" s="1754">
        <v>74</v>
      </c>
      <c r="Q267" s="688"/>
      <c r="R267" s="507">
        <v>1440000</v>
      </c>
      <c r="S267" s="507">
        <f>VLOOKUP(N267,[9]Hoja2!N$2:T$77,7,0)</f>
        <v>4800000</v>
      </c>
      <c r="T267" s="507">
        <v>4800000</v>
      </c>
      <c r="U267" s="507">
        <v>4800000</v>
      </c>
      <c r="V267" s="507"/>
      <c r="W267" s="507">
        <f>4800000+4800000</f>
        <v>9600000</v>
      </c>
      <c r="X267" s="507">
        <v>4800000</v>
      </c>
      <c r="Y267" s="507">
        <v>4800000</v>
      </c>
      <c r="Z267" s="507"/>
      <c r="AA267" s="507"/>
      <c r="AB267" s="702"/>
      <c r="AC267" s="690">
        <f t="shared" si="125"/>
        <v>35040000</v>
      </c>
      <c r="AD267" s="689">
        <f t="shared" si="120"/>
        <v>3360000</v>
      </c>
      <c r="AF267" s="903">
        <v>276</v>
      </c>
      <c r="AG267" s="1362" t="s">
        <v>210</v>
      </c>
      <c r="AH267" s="1124" t="s">
        <v>557</v>
      </c>
      <c r="AI267" s="1113">
        <f t="shared" si="121"/>
        <v>74</v>
      </c>
      <c r="AJ267" s="904">
        <v>38400000</v>
      </c>
      <c r="AK267" s="906">
        <f t="shared" si="122"/>
        <v>0</v>
      </c>
      <c r="AL267" s="899"/>
      <c r="AM267" s="1604">
        <f t="shared" si="123"/>
        <v>0</v>
      </c>
    </row>
    <row r="268" spans="1:39" s="687" customFormat="1">
      <c r="A268" s="712" t="s">
        <v>87</v>
      </c>
      <c r="B268" s="516">
        <f>M268</f>
        <v>15840000</v>
      </c>
      <c r="C268" s="713" t="s">
        <v>36</v>
      </c>
      <c r="D268" s="713" t="s">
        <v>867</v>
      </c>
      <c r="E268" s="713" t="s">
        <v>191</v>
      </c>
      <c r="F268" s="713" t="s">
        <v>88</v>
      </c>
      <c r="G268" s="2039" t="s">
        <v>80</v>
      </c>
      <c r="H268" s="2065" t="s">
        <v>1389</v>
      </c>
      <c r="I268" s="2046" t="s">
        <v>178</v>
      </c>
      <c r="J268" s="1749"/>
      <c r="K268" s="1750">
        <v>15840000</v>
      </c>
      <c r="L268" s="1751">
        <v>692</v>
      </c>
      <c r="M268" s="1750">
        <v>15840000</v>
      </c>
      <c r="N268" s="1757">
        <v>846</v>
      </c>
      <c r="O268" s="1853">
        <v>14400000</v>
      </c>
      <c r="P268" s="1754">
        <v>74</v>
      </c>
      <c r="Q268" s="688"/>
      <c r="R268" s="507"/>
      <c r="S268" s="507"/>
      <c r="T268" s="507"/>
      <c r="U268" s="507"/>
      <c r="V268" s="507"/>
      <c r="W268" s="507"/>
      <c r="X268" s="507"/>
      <c r="Y268" s="507"/>
      <c r="Z268" s="507"/>
      <c r="AA268" s="507"/>
      <c r="AB268" s="702"/>
      <c r="AC268" s="690">
        <f>SUM(Q268:AB268)</f>
        <v>0</v>
      </c>
      <c r="AD268" s="689">
        <f t="shared" si="120"/>
        <v>14400000</v>
      </c>
      <c r="AF268" s="903" t="s">
        <v>1320</v>
      </c>
      <c r="AG268" s="1362" t="s">
        <v>1321</v>
      </c>
      <c r="AH268" s="1124" t="s">
        <v>557</v>
      </c>
      <c r="AI268" s="1113">
        <f>P268</f>
        <v>74</v>
      </c>
      <c r="AJ268" s="904">
        <v>15840000</v>
      </c>
      <c r="AK268" s="906">
        <f t="shared" si="122"/>
        <v>1440000</v>
      </c>
      <c r="AL268" s="899"/>
      <c r="AM268" s="1604">
        <f t="shared" si="123"/>
        <v>0</v>
      </c>
    </row>
    <row r="269" spans="1:39" s="687" customFormat="1">
      <c r="A269" s="712" t="s">
        <v>87</v>
      </c>
      <c r="B269" s="516">
        <f t="shared" si="124"/>
        <v>87500000</v>
      </c>
      <c r="C269" s="713" t="s">
        <v>36</v>
      </c>
      <c r="D269" s="713" t="s">
        <v>867</v>
      </c>
      <c r="E269" s="713" t="s">
        <v>147</v>
      </c>
      <c r="F269" s="713" t="s">
        <v>88</v>
      </c>
      <c r="G269" s="2039" t="s">
        <v>80</v>
      </c>
      <c r="H269" s="2065" t="s">
        <v>1389</v>
      </c>
      <c r="I269" s="2046">
        <v>277</v>
      </c>
      <c r="J269" s="1749">
        <v>5</v>
      </c>
      <c r="K269" s="1750"/>
      <c r="L269" s="1751">
        <v>96</v>
      </c>
      <c r="M269" s="1758">
        <v>87500000</v>
      </c>
      <c r="N269" s="1692">
        <v>71</v>
      </c>
      <c r="O269" s="1703">
        <v>87500000</v>
      </c>
      <c r="P269" s="1754">
        <v>75</v>
      </c>
      <c r="Q269" s="688"/>
      <c r="R269" s="507">
        <v>2916667</v>
      </c>
      <c r="S269" s="507"/>
      <c r="T269" s="507">
        <v>17500000</v>
      </c>
      <c r="U269" s="507">
        <v>8750000</v>
      </c>
      <c r="V269" s="507">
        <v>8750000</v>
      </c>
      <c r="W269" s="507">
        <v>8750000</v>
      </c>
      <c r="X269" s="507">
        <v>8750000</v>
      </c>
      <c r="Y269" s="507">
        <v>8750000</v>
      </c>
      <c r="Z269" s="507"/>
      <c r="AA269" s="507"/>
      <c r="AB269" s="702"/>
      <c r="AC269" s="690">
        <f t="shared" si="125"/>
        <v>64166667</v>
      </c>
      <c r="AD269" s="689">
        <f t="shared" si="120"/>
        <v>23333333</v>
      </c>
      <c r="AF269" s="903">
        <v>277</v>
      </c>
      <c r="AG269" s="1362" t="s">
        <v>211</v>
      </c>
      <c r="AH269" s="1124" t="s">
        <v>558</v>
      </c>
      <c r="AI269" s="1113">
        <f t="shared" si="121"/>
        <v>75</v>
      </c>
      <c r="AJ269" s="904">
        <v>87500000</v>
      </c>
      <c r="AK269" s="906">
        <f t="shared" si="122"/>
        <v>0</v>
      </c>
      <c r="AL269" s="899"/>
      <c r="AM269" s="1604">
        <f t="shared" si="123"/>
        <v>0</v>
      </c>
    </row>
    <row r="270" spans="1:39" s="687" customFormat="1">
      <c r="A270" s="712" t="s">
        <v>87</v>
      </c>
      <c r="B270" s="516">
        <f t="shared" si="124"/>
        <v>32930000</v>
      </c>
      <c r="C270" s="713" t="s">
        <v>36</v>
      </c>
      <c r="D270" s="713" t="s">
        <v>867</v>
      </c>
      <c r="E270" s="713" t="s">
        <v>147</v>
      </c>
      <c r="F270" s="713" t="s">
        <v>88</v>
      </c>
      <c r="G270" s="2039" t="s">
        <v>80</v>
      </c>
      <c r="H270" s="2065" t="s">
        <v>1389</v>
      </c>
      <c r="I270" s="2046">
        <v>278</v>
      </c>
      <c r="J270" s="1749">
        <v>6</v>
      </c>
      <c r="K270" s="1750"/>
      <c r="L270" s="1751">
        <v>361</v>
      </c>
      <c r="M270" s="1758">
        <v>32930000</v>
      </c>
      <c r="N270" s="1757">
        <v>372</v>
      </c>
      <c r="O270" s="1853">
        <v>32930000</v>
      </c>
      <c r="P270" s="1754">
        <v>293</v>
      </c>
      <c r="Q270" s="688"/>
      <c r="R270" s="507"/>
      <c r="S270" s="507"/>
      <c r="T270" s="507">
        <v>1973333</v>
      </c>
      <c r="U270" s="507">
        <v>3700000</v>
      </c>
      <c r="V270" s="507">
        <v>3700000</v>
      </c>
      <c r="W270" s="507">
        <v>3700000</v>
      </c>
      <c r="X270" s="507">
        <v>3700000</v>
      </c>
      <c r="Y270" s="507">
        <v>3700000</v>
      </c>
      <c r="Z270" s="507"/>
      <c r="AA270" s="507"/>
      <c r="AB270" s="702"/>
      <c r="AC270" s="690">
        <f t="shared" si="125"/>
        <v>20473333</v>
      </c>
      <c r="AD270" s="689">
        <f t="shared" si="120"/>
        <v>12456667</v>
      </c>
      <c r="AF270" s="903">
        <v>278</v>
      </c>
      <c r="AG270" s="1362" t="s">
        <v>795</v>
      </c>
      <c r="AH270" s="1124" t="s">
        <v>842</v>
      </c>
      <c r="AI270" s="1113">
        <f t="shared" si="121"/>
        <v>293</v>
      </c>
      <c r="AJ270" s="904">
        <f>32400000+800000-270000</f>
        <v>32930000</v>
      </c>
      <c r="AK270" s="906">
        <f t="shared" si="122"/>
        <v>0</v>
      </c>
      <c r="AL270" s="899"/>
      <c r="AM270" s="1604">
        <f t="shared" si="123"/>
        <v>0</v>
      </c>
    </row>
    <row r="271" spans="1:39" s="687" customFormat="1">
      <c r="A271" s="712" t="s">
        <v>87</v>
      </c>
      <c r="B271" s="516">
        <f t="shared" si="124"/>
        <v>43040000</v>
      </c>
      <c r="C271" s="713" t="s">
        <v>36</v>
      </c>
      <c r="D271" s="713" t="s">
        <v>867</v>
      </c>
      <c r="E271" s="713" t="s">
        <v>147</v>
      </c>
      <c r="F271" s="713" t="s">
        <v>88</v>
      </c>
      <c r="G271" s="2039" t="s">
        <v>80</v>
      </c>
      <c r="H271" s="2065" t="s">
        <v>1389</v>
      </c>
      <c r="I271" s="2046">
        <v>279</v>
      </c>
      <c r="J271" s="1749">
        <v>7</v>
      </c>
      <c r="K271" s="1750"/>
      <c r="L271" s="1751">
        <v>107</v>
      </c>
      <c r="M271" s="1758">
        <v>43040000</v>
      </c>
      <c r="N271" s="1692">
        <v>114</v>
      </c>
      <c r="O271" s="1703">
        <v>43040000</v>
      </c>
      <c r="P271" s="1754">
        <v>102</v>
      </c>
      <c r="Q271" s="688"/>
      <c r="R271" s="507">
        <v>1434667</v>
      </c>
      <c r="S271" s="507">
        <f>VLOOKUP(N271,[9]Hoja2!N$2:T$77,7,0)</f>
        <v>5380000</v>
      </c>
      <c r="T271" s="507">
        <v>5380000</v>
      </c>
      <c r="U271" s="507">
        <v>5380000</v>
      </c>
      <c r="V271" s="507">
        <v>5380000</v>
      </c>
      <c r="W271" s="507">
        <v>5380000</v>
      </c>
      <c r="X271" s="507">
        <v>2690000</v>
      </c>
      <c r="Y271" s="507">
        <v>5380000</v>
      </c>
      <c r="Z271" s="507"/>
      <c r="AA271" s="507"/>
      <c r="AB271" s="702"/>
      <c r="AC271" s="690">
        <f t="shared" si="125"/>
        <v>36404667</v>
      </c>
      <c r="AD271" s="689">
        <f t="shared" si="120"/>
        <v>6635333</v>
      </c>
      <c r="AF271" s="903">
        <v>279</v>
      </c>
      <c r="AG271" s="1362" t="s">
        <v>212</v>
      </c>
      <c r="AH271" s="1124" t="s">
        <v>559</v>
      </c>
      <c r="AI271" s="1113">
        <f t="shared" si="121"/>
        <v>102</v>
      </c>
      <c r="AJ271" s="904">
        <v>43040000</v>
      </c>
      <c r="AK271" s="906">
        <f t="shared" si="122"/>
        <v>0</v>
      </c>
      <c r="AL271" s="899"/>
      <c r="AM271" s="1604">
        <f t="shared" si="123"/>
        <v>0</v>
      </c>
    </row>
    <row r="272" spans="1:39" s="687" customFormat="1">
      <c r="A272" s="712" t="s">
        <v>87</v>
      </c>
      <c r="B272" s="516">
        <f t="shared" si="124"/>
        <v>43040000</v>
      </c>
      <c r="C272" s="713" t="s">
        <v>36</v>
      </c>
      <c r="D272" s="713" t="s">
        <v>867</v>
      </c>
      <c r="E272" s="713" t="s">
        <v>147</v>
      </c>
      <c r="F272" s="713" t="s">
        <v>88</v>
      </c>
      <c r="G272" s="2039" t="s">
        <v>80</v>
      </c>
      <c r="H272" s="2065" t="s">
        <v>1389</v>
      </c>
      <c r="I272" s="2046">
        <v>280</v>
      </c>
      <c r="J272" s="1749">
        <v>8</v>
      </c>
      <c r="K272" s="1750"/>
      <c r="L272" s="1751">
        <v>108</v>
      </c>
      <c r="M272" s="1758">
        <v>43040000</v>
      </c>
      <c r="N272" s="1692">
        <v>91</v>
      </c>
      <c r="O272" s="1703">
        <v>43040000</v>
      </c>
      <c r="P272" s="1754">
        <v>103</v>
      </c>
      <c r="Q272" s="688"/>
      <c r="R272" s="507">
        <v>1614000</v>
      </c>
      <c r="S272" s="507">
        <f>VLOOKUP(N272,[9]Hoja2!N$2:T$77,7,0)</f>
        <v>5380000</v>
      </c>
      <c r="T272" s="507">
        <v>5380000</v>
      </c>
      <c r="U272" s="507">
        <v>5380000</v>
      </c>
      <c r="V272" s="507">
        <v>5380000</v>
      </c>
      <c r="W272" s="507">
        <v>5380000</v>
      </c>
      <c r="X272" s="507">
        <v>5380000</v>
      </c>
      <c r="Y272" s="507">
        <v>5380000</v>
      </c>
      <c r="Z272" s="507"/>
      <c r="AA272" s="507"/>
      <c r="AB272" s="702"/>
      <c r="AC272" s="690">
        <f t="shared" si="125"/>
        <v>39274000</v>
      </c>
      <c r="AD272" s="689">
        <f t="shared" si="120"/>
        <v>3766000</v>
      </c>
      <c r="AF272" s="903">
        <v>280</v>
      </c>
      <c r="AG272" s="1362" t="s">
        <v>212</v>
      </c>
      <c r="AH272" s="1124" t="s">
        <v>560</v>
      </c>
      <c r="AI272" s="1113">
        <f t="shared" si="121"/>
        <v>103</v>
      </c>
      <c r="AJ272" s="904">
        <v>43040000</v>
      </c>
      <c r="AK272" s="906">
        <f t="shared" si="122"/>
        <v>0</v>
      </c>
      <c r="AL272" s="899"/>
      <c r="AM272" s="1604">
        <f t="shared" si="123"/>
        <v>0</v>
      </c>
    </row>
    <row r="273" spans="1:39" s="687" customFormat="1">
      <c r="A273" s="712" t="s">
        <v>87</v>
      </c>
      <c r="B273" s="516">
        <f>M273</f>
        <v>17754000</v>
      </c>
      <c r="C273" s="713" t="s">
        <v>36</v>
      </c>
      <c r="D273" s="713" t="s">
        <v>867</v>
      </c>
      <c r="E273" s="713" t="s">
        <v>191</v>
      </c>
      <c r="F273" s="713" t="s">
        <v>88</v>
      </c>
      <c r="G273" s="2039" t="s">
        <v>80</v>
      </c>
      <c r="H273" s="2065" t="s">
        <v>1389</v>
      </c>
      <c r="I273" s="2046" t="s">
        <v>178</v>
      </c>
      <c r="J273" s="1749"/>
      <c r="K273" s="1750">
        <v>17754000</v>
      </c>
      <c r="L273" s="1751">
        <v>698</v>
      </c>
      <c r="M273" s="1750">
        <v>17754000</v>
      </c>
      <c r="N273" s="1757">
        <v>848</v>
      </c>
      <c r="O273" s="1750">
        <v>17754000</v>
      </c>
      <c r="P273" s="1754">
        <v>103</v>
      </c>
      <c r="Q273" s="688"/>
      <c r="R273" s="507"/>
      <c r="S273" s="507"/>
      <c r="T273" s="507"/>
      <c r="U273" s="507"/>
      <c r="V273" s="507"/>
      <c r="W273" s="507"/>
      <c r="X273" s="507"/>
      <c r="Y273" s="507"/>
      <c r="Z273" s="507"/>
      <c r="AA273" s="507"/>
      <c r="AB273" s="702"/>
      <c r="AC273" s="690">
        <f>SUM(Q273:AB273)</f>
        <v>0</v>
      </c>
      <c r="AD273" s="689">
        <f t="shared" si="120"/>
        <v>17754000</v>
      </c>
      <c r="AF273" s="903" t="s">
        <v>1320</v>
      </c>
      <c r="AG273" s="1362" t="s">
        <v>1322</v>
      </c>
      <c r="AH273" s="1124" t="s">
        <v>560</v>
      </c>
      <c r="AI273" s="1113">
        <f>P273</f>
        <v>103</v>
      </c>
      <c r="AJ273" s="904">
        <v>17754000</v>
      </c>
      <c r="AK273" s="906">
        <f t="shared" si="122"/>
        <v>0</v>
      </c>
      <c r="AL273" s="899"/>
      <c r="AM273" s="1604">
        <f t="shared" si="123"/>
        <v>0</v>
      </c>
    </row>
    <row r="274" spans="1:39" s="687" customFormat="1">
      <c r="A274" s="712" t="s">
        <v>87</v>
      </c>
      <c r="B274" s="516">
        <f t="shared" si="124"/>
        <v>43040000</v>
      </c>
      <c r="C274" s="713" t="s">
        <v>36</v>
      </c>
      <c r="D274" s="713" t="s">
        <v>867</v>
      </c>
      <c r="E274" s="713" t="s">
        <v>147</v>
      </c>
      <c r="F274" s="713" t="s">
        <v>88</v>
      </c>
      <c r="G274" s="2039" t="s">
        <v>80</v>
      </c>
      <c r="H274" s="2065" t="s">
        <v>1389</v>
      </c>
      <c r="I274" s="2046">
        <v>281</v>
      </c>
      <c r="J274" s="1749">
        <v>9</v>
      </c>
      <c r="K274" s="1750"/>
      <c r="L274" s="1751">
        <v>109</v>
      </c>
      <c r="M274" s="1758">
        <v>43040000</v>
      </c>
      <c r="N274" s="1692">
        <v>101</v>
      </c>
      <c r="O274" s="1703">
        <v>43040000</v>
      </c>
      <c r="P274" s="1754">
        <v>93</v>
      </c>
      <c r="Q274" s="688"/>
      <c r="R274" s="507">
        <v>1793333</v>
      </c>
      <c r="S274" s="507">
        <f>VLOOKUP(N274,[9]Hoja2!N$2:T$77,7,0)</f>
        <v>5380000</v>
      </c>
      <c r="T274" s="507">
        <v>5380000</v>
      </c>
      <c r="U274" s="507">
        <v>5380000</v>
      </c>
      <c r="V274" s="507">
        <v>5380000</v>
      </c>
      <c r="W274" s="507">
        <v>5380000</v>
      </c>
      <c r="X274" s="507">
        <v>5380000</v>
      </c>
      <c r="Y274" s="507">
        <v>5380000</v>
      </c>
      <c r="Z274" s="507"/>
      <c r="AA274" s="507"/>
      <c r="AB274" s="702"/>
      <c r="AC274" s="690">
        <f t="shared" si="125"/>
        <v>39453333</v>
      </c>
      <c r="AD274" s="689">
        <f t="shared" si="120"/>
        <v>3586667</v>
      </c>
      <c r="AF274" s="903">
        <v>281</v>
      </c>
      <c r="AG274" s="1362" t="s">
        <v>212</v>
      </c>
      <c r="AH274" s="1124" t="s">
        <v>561</v>
      </c>
      <c r="AI274" s="1113">
        <f t="shared" si="121"/>
        <v>93</v>
      </c>
      <c r="AJ274" s="904">
        <v>43040000</v>
      </c>
      <c r="AK274" s="906">
        <f t="shared" si="122"/>
        <v>0</v>
      </c>
      <c r="AL274" s="899"/>
      <c r="AM274" s="1604">
        <f t="shared" si="123"/>
        <v>0</v>
      </c>
    </row>
    <row r="275" spans="1:39" s="687" customFormat="1">
      <c r="A275" s="712" t="s">
        <v>87</v>
      </c>
      <c r="B275" s="516">
        <f>M275</f>
        <v>17933333</v>
      </c>
      <c r="C275" s="713" t="s">
        <v>36</v>
      </c>
      <c r="D275" s="713" t="s">
        <v>867</v>
      </c>
      <c r="E275" s="713" t="s">
        <v>191</v>
      </c>
      <c r="F275" s="713" t="s">
        <v>88</v>
      </c>
      <c r="G275" s="2039" t="s">
        <v>80</v>
      </c>
      <c r="H275" s="2065" t="s">
        <v>1389</v>
      </c>
      <c r="I275" s="2046" t="s">
        <v>178</v>
      </c>
      <c r="J275" s="1749"/>
      <c r="K275" s="1750">
        <v>17933333</v>
      </c>
      <c r="L275" s="1751">
        <v>694</v>
      </c>
      <c r="M275" s="1750">
        <v>17933333</v>
      </c>
      <c r="N275" s="1757">
        <v>844</v>
      </c>
      <c r="O275" s="1853">
        <v>17933333</v>
      </c>
      <c r="P275" s="1754">
        <v>93</v>
      </c>
      <c r="Q275" s="688"/>
      <c r="R275" s="507"/>
      <c r="S275" s="507"/>
      <c r="T275" s="507"/>
      <c r="U275" s="507"/>
      <c r="V275" s="507"/>
      <c r="W275" s="507"/>
      <c r="X275" s="507"/>
      <c r="Y275" s="507"/>
      <c r="Z275" s="507"/>
      <c r="AA275" s="507"/>
      <c r="AB275" s="702"/>
      <c r="AC275" s="690">
        <f>SUM(Q275:AB275)</f>
        <v>0</v>
      </c>
      <c r="AD275" s="689">
        <f t="shared" si="120"/>
        <v>17933333</v>
      </c>
      <c r="AF275" s="903" t="s">
        <v>1320</v>
      </c>
      <c r="AG275" s="1362" t="s">
        <v>1323</v>
      </c>
      <c r="AH275" s="1124" t="s">
        <v>561</v>
      </c>
      <c r="AI275" s="1113">
        <f>P275</f>
        <v>93</v>
      </c>
      <c r="AJ275" s="904">
        <v>17933333</v>
      </c>
      <c r="AK275" s="906">
        <f t="shared" si="122"/>
        <v>0</v>
      </c>
      <c r="AL275" s="899"/>
      <c r="AM275" s="1604">
        <f t="shared" si="123"/>
        <v>0</v>
      </c>
    </row>
    <row r="276" spans="1:39" s="687" customFormat="1">
      <c r="A276" s="712" t="s">
        <v>87</v>
      </c>
      <c r="B276" s="516">
        <f t="shared" si="124"/>
        <v>43040000</v>
      </c>
      <c r="C276" s="713" t="s">
        <v>36</v>
      </c>
      <c r="D276" s="713" t="s">
        <v>867</v>
      </c>
      <c r="E276" s="713" t="s">
        <v>147</v>
      </c>
      <c r="F276" s="713" t="s">
        <v>88</v>
      </c>
      <c r="G276" s="2039" t="s">
        <v>80</v>
      </c>
      <c r="H276" s="2065" t="s">
        <v>1389</v>
      </c>
      <c r="I276" s="2046">
        <v>282</v>
      </c>
      <c r="J276" s="1749">
        <v>10</v>
      </c>
      <c r="K276" s="1750"/>
      <c r="L276" s="1751">
        <v>302</v>
      </c>
      <c r="M276" s="1758">
        <v>43040000</v>
      </c>
      <c r="N276" s="1757">
        <v>310</v>
      </c>
      <c r="O276" s="1853">
        <v>43040000</v>
      </c>
      <c r="P276" s="1754">
        <v>266</v>
      </c>
      <c r="Q276" s="688"/>
      <c r="R276" s="507"/>
      <c r="S276" s="507"/>
      <c r="T276" s="507">
        <v>6456000</v>
      </c>
      <c r="U276" s="507">
        <v>5380000</v>
      </c>
      <c r="V276" s="507">
        <v>5380000</v>
      </c>
      <c r="W276" s="507">
        <v>5380000</v>
      </c>
      <c r="X276" s="507">
        <v>5380000</v>
      </c>
      <c r="Y276" s="507">
        <v>5380000</v>
      </c>
      <c r="Z276" s="507"/>
      <c r="AA276" s="507"/>
      <c r="AB276" s="702"/>
      <c r="AC276" s="690">
        <f t="shared" si="125"/>
        <v>33356000</v>
      </c>
      <c r="AD276" s="689">
        <f t="shared" si="120"/>
        <v>9684000</v>
      </c>
      <c r="AF276" s="903">
        <v>282</v>
      </c>
      <c r="AG276" s="1362" t="s">
        <v>212</v>
      </c>
      <c r="AH276" s="1124" t="s">
        <v>804</v>
      </c>
      <c r="AI276" s="1113">
        <f t="shared" si="121"/>
        <v>266</v>
      </c>
      <c r="AJ276" s="904">
        <v>43040000</v>
      </c>
      <c r="AK276" s="906">
        <f t="shared" si="122"/>
        <v>0</v>
      </c>
      <c r="AL276" s="899"/>
      <c r="AM276" s="1604">
        <f t="shared" si="123"/>
        <v>0</v>
      </c>
    </row>
    <row r="277" spans="1:39" s="687" customFormat="1">
      <c r="A277" s="712" t="s">
        <v>87</v>
      </c>
      <c r="B277" s="516">
        <f t="shared" si="124"/>
        <v>43040000</v>
      </c>
      <c r="C277" s="713" t="s">
        <v>36</v>
      </c>
      <c r="D277" s="713" t="s">
        <v>867</v>
      </c>
      <c r="E277" s="713" t="s">
        <v>147</v>
      </c>
      <c r="F277" s="713" t="s">
        <v>88</v>
      </c>
      <c r="G277" s="2039" t="s">
        <v>80</v>
      </c>
      <c r="H277" s="2065" t="s">
        <v>1389</v>
      </c>
      <c r="I277" s="2046">
        <v>283</v>
      </c>
      <c r="J277" s="1749">
        <v>11</v>
      </c>
      <c r="K277" s="1750"/>
      <c r="L277" s="1751">
        <v>110</v>
      </c>
      <c r="M277" s="1758">
        <v>43040000</v>
      </c>
      <c r="N277" s="1692">
        <v>76</v>
      </c>
      <c r="O277" s="1703">
        <v>43040000</v>
      </c>
      <c r="P277" s="1754">
        <v>120</v>
      </c>
      <c r="Q277" s="688"/>
      <c r="R277" s="507">
        <v>1434667</v>
      </c>
      <c r="S277" s="507">
        <f>VLOOKUP(N277,[9]Hoja2!N$2:T$77,7,0)</f>
        <v>5380000</v>
      </c>
      <c r="T277" s="507">
        <v>5380000</v>
      </c>
      <c r="U277" s="507">
        <v>5380000</v>
      </c>
      <c r="V277" s="507">
        <v>2869333</v>
      </c>
      <c r="W277" s="507"/>
      <c r="X277" s="507">
        <v>2152000</v>
      </c>
      <c r="Y277" s="507">
        <v>5380000</v>
      </c>
      <c r="Z277" s="507"/>
      <c r="AA277" s="507"/>
      <c r="AB277" s="702"/>
      <c r="AC277" s="690">
        <f t="shared" si="125"/>
        <v>27976000</v>
      </c>
      <c r="AD277" s="689">
        <f t="shared" si="120"/>
        <v>15064000</v>
      </c>
      <c r="AF277" s="903">
        <v>283</v>
      </c>
      <c r="AG277" s="1362" t="s">
        <v>212</v>
      </c>
      <c r="AH277" s="1124" t="s">
        <v>562</v>
      </c>
      <c r="AI277" s="1113">
        <f t="shared" si="121"/>
        <v>120</v>
      </c>
      <c r="AJ277" s="904">
        <v>43040000</v>
      </c>
      <c r="AK277" s="906">
        <f t="shared" si="122"/>
        <v>0</v>
      </c>
      <c r="AL277" s="899"/>
      <c r="AM277" s="1604">
        <f t="shared" si="123"/>
        <v>0</v>
      </c>
    </row>
    <row r="278" spans="1:39" s="687" customFormat="1">
      <c r="A278" s="712" t="s">
        <v>87</v>
      </c>
      <c r="B278" s="516">
        <f t="shared" si="124"/>
        <v>43040000</v>
      </c>
      <c r="C278" s="713" t="s">
        <v>36</v>
      </c>
      <c r="D278" s="713" t="s">
        <v>867</v>
      </c>
      <c r="E278" s="713" t="s">
        <v>147</v>
      </c>
      <c r="F278" s="713" t="s">
        <v>88</v>
      </c>
      <c r="G278" s="2039" t="s">
        <v>80</v>
      </c>
      <c r="H278" s="2065" t="s">
        <v>1389</v>
      </c>
      <c r="I278" s="2046">
        <v>284</v>
      </c>
      <c r="J278" s="1749">
        <v>12</v>
      </c>
      <c r="K278" s="1750"/>
      <c r="L278" s="1751">
        <v>127</v>
      </c>
      <c r="M278" s="1758">
        <v>43040000</v>
      </c>
      <c r="N278" s="1692">
        <v>118</v>
      </c>
      <c r="O278" s="1703">
        <v>43040000</v>
      </c>
      <c r="P278" s="1754">
        <v>117</v>
      </c>
      <c r="Q278" s="688"/>
      <c r="R278" s="507">
        <v>1434667</v>
      </c>
      <c r="S278" s="507">
        <f>VLOOKUP(N278,[9]Hoja2!N$2:T$77,7,0)</f>
        <v>5380000</v>
      </c>
      <c r="T278" s="507">
        <v>5380000</v>
      </c>
      <c r="U278" s="507">
        <v>5380000</v>
      </c>
      <c r="V278" s="507">
        <v>5380000</v>
      </c>
      <c r="W278" s="507">
        <v>5380000</v>
      </c>
      <c r="X278" s="507">
        <v>5380000</v>
      </c>
      <c r="Y278" s="507">
        <v>5380000</v>
      </c>
      <c r="Z278" s="507"/>
      <c r="AA278" s="507"/>
      <c r="AB278" s="702"/>
      <c r="AC278" s="690">
        <f t="shared" si="125"/>
        <v>39094667</v>
      </c>
      <c r="AD278" s="689">
        <f t="shared" si="120"/>
        <v>3945333</v>
      </c>
      <c r="AF278" s="903">
        <v>284</v>
      </c>
      <c r="AG278" s="1362" t="s">
        <v>212</v>
      </c>
      <c r="AH278" s="1124" t="s">
        <v>563</v>
      </c>
      <c r="AI278" s="1113">
        <f t="shared" si="121"/>
        <v>117</v>
      </c>
      <c r="AJ278" s="904">
        <v>43040000</v>
      </c>
      <c r="AK278" s="906">
        <f t="shared" si="122"/>
        <v>0</v>
      </c>
      <c r="AL278" s="899"/>
      <c r="AM278" s="1604">
        <f t="shared" si="123"/>
        <v>0</v>
      </c>
    </row>
    <row r="279" spans="1:39" s="687" customFormat="1">
      <c r="A279" s="712" t="s">
        <v>87</v>
      </c>
      <c r="B279" s="516">
        <f>M279</f>
        <v>17574667</v>
      </c>
      <c r="C279" s="713" t="s">
        <v>36</v>
      </c>
      <c r="D279" s="713" t="s">
        <v>867</v>
      </c>
      <c r="E279" s="713" t="s">
        <v>191</v>
      </c>
      <c r="F279" s="713" t="s">
        <v>88</v>
      </c>
      <c r="G279" s="2039" t="s">
        <v>80</v>
      </c>
      <c r="H279" s="2065" t="s">
        <v>1389</v>
      </c>
      <c r="I279" s="2046" t="s">
        <v>178</v>
      </c>
      <c r="J279" s="1749"/>
      <c r="K279" s="1750">
        <v>17574666</v>
      </c>
      <c r="L279" s="1751">
        <v>706</v>
      </c>
      <c r="M279" s="1750">
        <v>17574667</v>
      </c>
      <c r="N279" s="1757">
        <v>842</v>
      </c>
      <c r="O279" s="1853">
        <v>17574666</v>
      </c>
      <c r="P279" s="1754">
        <v>117</v>
      </c>
      <c r="Q279" s="688"/>
      <c r="R279" s="507"/>
      <c r="S279" s="507"/>
      <c r="T279" s="507"/>
      <c r="U279" s="507"/>
      <c r="V279" s="507"/>
      <c r="W279" s="507"/>
      <c r="X279" s="507"/>
      <c r="Y279" s="507"/>
      <c r="Z279" s="507"/>
      <c r="AA279" s="507"/>
      <c r="AB279" s="702"/>
      <c r="AC279" s="690">
        <f>SUM(Q279:AB279)</f>
        <v>0</v>
      </c>
      <c r="AD279" s="689">
        <f t="shared" si="120"/>
        <v>17574666</v>
      </c>
      <c r="AF279" s="903" t="s">
        <v>1320</v>
      </c>
      <c r="AG279" s="1362" t="s">
        <v>1324</v>
      </c>
      <c r="AH279" s="1124" t="s">
        <v>563</v>
      </c>
      <c r="AI279" s="1113">
        <f>P279</f>
        <v>117</v>
      </c>
      <c r="AJ279" s="904">
        <v>17574667</v>
      </c>
      <c r="AK279" s="906">
        <f t="shared" si="122"/>
        <v>1</v>
      </c>
      <c r="AL279" s="899"/>
      <c r="AM279" s="1604">
        <f t="shared" si="123"/>
        <v>0</v>
      </c>
    </row>
    <row r="280" spans="1:39" s="687" customFormat="1">
      <c r="A280" s="712" t="s">
        <v>87</v>
      </c>
      <c r="B280" s="516">
        <f t="shared" si="124"/>
        <v>43040000</v>
      </c>
      <c r="C280" s="713" t="s">
        <v>36</v>
      </c>
      <c r="D280" s="713" t="s">
        <v>867</v>
      </c>
      <c r="E280" s="713" t="s">
        <v>147</v>
      </c>
      <c r="F280" s="713" t="s">
        <v>88</v>
      </c>
      <c r="G280" s="2039" t="s">
        <v>80</v>
      </c>
      <c r="H280" s="2065" t="s">
        <v>1389</v>
      </c>
      <c r="I280" s="2046">
        <v>285</v>
      </c>
      <c r="J280" s="1749">
        <v>13</v>
      </c>
      <c r="K280" s="1750"/>
      <c r="L280" s="1751">
        <v>111</v>
      </c>
      <c r="M280" s="1758">
        <v>43040000</v>
      </c>
      <c r="N280" s="1692">
        <v>85</v>
      </c>
      <c r="O280" s="1703">
        <v>43040000</v>
      </c>
      <c r="P280" s="1754">
        <v>92</v>
      </c>
      <c r="Q280" s="688"/>
      <c r="R280" s="507">
        <v>1434667</v>
      </c>
      <c r="S280" s="507">
        <f>VLOOKUP(N280,[9]Hoja2!N$2:T$77,7,0)</f>
        <v>5380000</v>
      </c>
      <c r="T280" s="507">
        <v>5380000</v>
      </c>
      <c r="U280" s="507">
        <v>5380000</v>
      </c>
      <c r="V280" s="507">
        <v>5380000</v>
      </c>
      <c r="W280" s="507">
        <v>5380000</v>
      </c>
      <c r="X280" s="507">
        <v>5380000</v>
      </c>
      <c r="Y280" s="507">
        <v>5380000</v>
      </c>
      <c r="Z280" s="507"/>
      <c r="AA280" s="507"/>
      <c r="AB280" s="702"/>
      <c r="AC280" s="690">
        <f t="shared" si="125"/>
        <v>39094667</v>
      </c>
      <c r="AD280" s="689">
        <f t="shared" si="120"/>
        <v>3945333</v>
      </c>
      <c r="AF280" s="903">
        <v>285</v>
      </c>
      <c r="AG280" s="1362" t="s">
        <v>212</v>
      </c>
      <c r="AH280" s="1124" t="s">
        <v>564</v>
      </c>
      <c r="AI280" s="1113">
        <f t="shared" si="121"/>
        <v>92</v>
      </c>
      <c r="AJ280" s="904">
        <v>43040000</v>
      </c>
      <c r="AK280" s="906">
        <f t="shared" si="122"/>
        <v>0</v>
      </c>
      <c r="AL280" s="899"/>
      <c r="AM280" s="1604">
        <f t="shared" si="123"/>
        <v>0</v>
      </c>
    </row>
    <row r="281" spans="1:39" s="687" customFormat="1">
      <c r="A281" s="712" t="s">
        <v>87</v>
      </c>
      <c r="B281" s="516">
        <f>M281</f>
        <v>17574667</v>
      </c>
      <c r="C281" s="713" t="s">
        <v>36</v>
      </c>
      <c r="D281" s="713" t="s">
        <v>867</v>
      </c>
      <c r="E281" s="713" t="s">
        <v>191</v>
      </c>
      <c r="F281" s="713" t="s">
        <v>88</v>
      </c>
      <c r="G281" s="2039" t="s">
        <v>80</v>
      </c>
      <c r="H281" s="2065" t="s">
        <v>1389</v>
      </c>
      <c r="I281" s="2046" t="s">
        <v>178</v>
      </c>
      <c r="J281" s="1749"/>
      <c r="K281" s="1750">
        <v>17574667</v>
      </c>
      <c r="L281" s="1751">
        <v>691</v>
      </c>
      <c r="M281" s="1750">
        <v>17574667</v>
      </c>
      <c r="N281" s="1757">
        <v>840</v>
      </c>
      <c r="O281" s="1853">
        <v>17574666</v>
      </c>
      <c r="P281" s="1754">
        <v>92</v>
      </c>
      <c r="Q281" s="688"/>
      <c r="R281" s="507"/>
      <c r="S281" s="507"/>
      <c r="T281" s="507"/>
      <c r="U281" s="507"/>
      <c r="V281" s="507"/>
      <c r="W281" s="507"/>
      <c r="X281" s="507"/>
      <c r="Y281" s="507"/>
      <c r="Z281" s="507"/>
      <c r="AA281" s="507"/>
      <c r="AB281" s="702"/>
      <c r="AC281" s="690">
        <f>SUM(Q281:AB281)</f>
        <v>0</v>
      </c>
      <c r="AD281" s="689">
        <f t="shared" si="120"/>
        <v>17574666</v>
      </c>
      <c r="AF281" s="903" t="s">
        <v>1320</v>
      </c>
      <c r="AG281" s="1362" t="s">
        <v>1325</v>
      </c>
      <c r="AH281" s="1124" t="s">
        <v>564</v>
      </c>
      <c r="AI281" s="1113">
        <f>P281</f>
        <v>92</v>
      </c>
      <c r="AJ281" s="904">
        <v>17574667</v>
      </c>
      <c r="AK281" s="906">
        <f t="shared" si="122"/>
        <v>1</v>
      </c>
      <c r="AL281" s="899"/>
      <c r="AM281" s="1604">
        <f t="shared" si="123"/>
        <v>0</v>
      </c>
    </row>
    <row r="282" spans="1:39" s="687" customFormat="1">
      <c r="A282" s="712" t="s">
        <v>87</v>
      </c>
      <c r="B282" s="516">
        <f t="shared" si="124"/>
        <v>47120000</v>
      </c>
      <c r="C282" s="713" t="s">
        <v>36</v>
      </c>
      <c r="D282" s="713" t="s">
        <v>867</v>
      </c>
      <c r="E282" s="713" t="s">
        <v>147</v>
      </c>
      <c r="F282" s="713" t="s">
        <v>88</v>
      </c>
      <c r="G282" s="2039" t="s">
        <v>80</v>
      </c>
      <c r="H282" s="2065" t="s">
        <v>1389</v>
      </c>
      <c r="I282" s="2046">
        <v>286</v>
      </c>
      <c r="J282" s="1749">
        <v>14</v>
      </c>
      <c r="K282" s="1750"/>
      <c r="L282" s="1751">
        <v>112</v>
      </c>
      <c r="M282" s="1758">
        <v>47120000</v>
      </c>
      <c r="N282" s="1692">
        <v>90</v>
      </c>
      <c r="O282" s="1703">
        <v>47120000</v>
      </c>
      <c r="P282" s="1754">
        <v>100</v>
      </c>
      <c r="Q282" s="688"/>
      <c r="R282" s="507">
        <v>1570667</v>
      </c>
      <c r="S282" s="507">
        <f>VLOOKUP(N282,[9]Hoja2!N$2:T$77,7,0)</f>
        <v>5890000</v>
      </c>
      <c r="T282" s="507">
        <v>5890000</v>
      </c>
      <c r="U282" s="507">
        <v>5890000</v>
      </c>
      <c r="V282" s="507">
        <v>5890000</v>
      </c>
      <c r="W282" s="507">
        <v>5890000</v>
      </c>
      <c r="X282" s="507">
        <v>5890000</v>
      </c>
      <c r="Y282" s="507">
        <v>5890000</v>
      </c>
      <c r="Z282" s="507"/>
      <c r="AA282" s="507"/>
      <c r="AB282" s="702"/>
      <c r="AC282" s="690">
        <f t="shared" si="125"/>
        <v>42800667</v>
      </c>
      <c r="AD282" s="689">
        <f t="shared" si="120"/>
        <v>4319333</v>
      </c>
      <c r="AF282" s="903">
        <v>286</v>
      </c>
      <c r="AG282" s="1362" t="s">
        <v>213</v>
      </c>
      <c r="AH282" s="1124" t="s">
        <v>565</v>
      </c>
      <c r="AI282" s="1113">
        <f t="shared" si="121"/>
        <v>100</v>
      </c>
      <c r="AJ282" s="904">
        <v>47120000</v>
      </c>
      <c r="AK282" s="906">
        <f t="shared" si="122"/>
        <v>0</v>
      </c>
      <c r="AL282" s="899"/>
      <c r="AM282" s="1604">
        <f t="shared" si="123"/>
        <v>0</v>
      </c>
    </row>
    <row r="283" spans="1:39" s="687" customFormat="1">
      <c r="A283" s="712" t="s">
        <v>87</v>
      </c>
      <c r="B283" s="516">
        <f>M283</f>
        <v>19240667</v>
      </c>
      <c r="C283" s="713" t="s">
        <v>36</v>
      </c>
      <c r="D283" s="713" t="s">
        <v>867</v>
      </c>
      <c r="E283" s="713" t="s">
        <v>191</v>
      </c>
      <c r="F283" s="713" t="s">
        <v>88</v>
      </c>
      <c r="G283" s="2039" t="s">
        <v>80</v>
      </c>
      <c r="H283" s="2065" t="s">
        <v>1389</v>
      </c>
      <c r="I283" s="2046" t="s">
        <v>178</v>
      </c>
      <c r="J283" s="1749"/>
      <c r="K283" s="1750">
        <v>19240666.666666668</v>
      </c>
      <c r="L283" s="1751">
        <v>696</v>
      </c>
      <c r="M283" s="1750">
        <v>19240667</v>
      </c>
      <c r="N283" s="1757">
        <v>851</v>
      </c>
      <c r="O283" s="1853">
        <v>19240666</v>
      </c>
      <c r="P283" s="1754">
        <v>100</v>
      </c>
      <c r="Q283" s="688"/>
      <c r="R283" s="507"/>
      <c r="S283" s="507"/>
      <c r="T283" s="507"/>
      <c r="U283" s="507"/>
      <c r="V283" s="507"/>
      <c r="W283" s="507"/>
      <c r="X283" s="507"/>
      <c r="Y283" s="507"/>
      <c r="Z283" s="507"/>
      <c r="AA283" s="507"/>
      <c r="AB283" s="702"/>
      <c r="AC283" s="690">
        <f>SUM(Q283:AB283)</f>
        <v>0</v>
      </c>
      <c r="AD283" s="689">
        <f t="shared" si="120"/>
        <v>19240666</v>
      </c>
      <c r="AF283" s="903" t="s">
        <v>1320</v>
      </c>
      <c r="AG283" s="1362" t="s">
        <v>1326</v>
      </c>
      <c r="AH283" s="1124" t="s">
        <v>565</v>
      </c>
      <c r="AI283" s="1113">
        <f>P283</f>
        <v>100</v>
      </c>
      <c r="AJ283" s="904">
        <v>19240667</v>
      </c>
      <c r="AK283" s="906">
        <f t="shared" si="122"/>
        <v>1</v>
      </c>
      <c r="AL283" s="899"/>
      <c r="AM283" s="1604">
        <f t="shared" si="123"/>
        <v>0</v>
      </c>
    </row>
    <row r="284" spans="1:39" s="687" customFormat="1">
      <c r="A284" s="712" t="s">
        <v>87</v>
      </c>
      <c r="B284" s="516">
        <f t="shared" si="124"/>
        <v>47120000</v>
      </c>
      <c r="C284" s="713" t="s">
        <v>36</v>
      </c>
      <c r="D284" s="713" t="s">
        <v>867</v>
      </c>
      <c r="E284" s="713" t="s">
        <v>147</v>
      </c>
      <c r="F284" s="713" t="s">
        <v>88</v>
      </c>
      <c r="G284" s="2039" t="s">
        <v>80</v>
      </c>
      <c r="H284" s="2065" t="s">
        <v>1389</v>
      </c>
      <c r="I284" s="2046">
        <v>287</v>
      </c>
      <c r="J284" s="1749">
        <v>15</v>
      </c>
      <c r="K284" s="1750"/>
      <c r="L284" s="1751">
        <v>113</v>
      </c>
      <c r="M284" s="1758">
        <v>47120000</v>
      </c>
      <c r="N284" s="1692">
        <v>72</v>
      </c>
      <c r="O284" s="1703">
        <v>47120000</v>
      </c>
      <c r="P284" s="1754">
        <v>101</v>
      </c>
      <c r="Q284" s="688"/>
      <c r="R284" s="507">
        <v>1374333</v>
      </c>
      <c r="S284" s="507">
        <f>VLOOKUP(N284,[9]Hoja2!N$2:T$77,7,0)</f>
        <v>5890000</v>
      </c>
      <c r="T284" s="507">
        <v>5890000</v>
      </c>
      <c r="U284" s="507">
        <v>5890000</v>
      </c>
      <c r="V284" s="507">
        <v>5890000</v>
      </c>
      <c r="W284" s="507">
        <v>5890000</v>
      </c>
      <c r="X284" s="507">
        <v>5890000</v>
      </c>
      <c r="Y284" s="507">
        <v>5890000</v>
      </c>
      <c r="Z284" s="507"/>
      <c r="AA284" s="507"/>
      <c r="AB284" s="702"/>
      <c r="AC284" s="690">
        <f t="shared" si="125"/>
        <v>42604333</v>
      </c>
      <c r="AD284" s="689">
        <f t="shared" si="120"/>
        <v>4515667</v>
      </c>
      <c r="AF284" s="903">
        <v>287</v>
      </c>
      <c r="AG284" s="1362" t="s">
        <v>213</v>
      </c>
      <c r="AH284" s="1124" t="s">
        <v>566</v>
      </c>
      <c r="AI284" s="1113">
        <f t="shared" si="121"/>
        <v>101</v>
      </c>
      <c r="AJ284" s="904">
        <v>47120000</v>
      </c>
      <c r="AK284" s="906">
        <f t="shared" si="122"/>
        <v>0</v>
      </c>
      <c r="AL284" s="899"/>
      <c r="AM284" s="1604">
        <f t="shared" si="123"/>
        <v>0</v>
      </c>
    </row>
    <row r="285" spans="1:39" s="687" customFormat="1">
      <c r="A285" s="712" t="s">
        <v>87</v>
      </c>
      <c r="B285" s="516">
        <f>M285</f>
        <v>19044333</v>
      </c>
      <c r="C285" s="713" t="s">
        <v>36</v>
      </c>
      <c r="D285" s="713" t="s">
        <v>867</v>
      </c>
      <c r="E285" s="713" t="s">
        <v>191</v>
      </c>
      <c r="F285" s="713" t="s">
        <v>88</v>
      </c>
      <c r="G285" s="2039" t="s">
        <v>80</v>
      </c>
      <c r="H285" s="2065" t="s">
        <v>1389</v>
      </c>
      <c r="I285" s="2046" t="s">
        <v>178</v>
      </c>
      <c r="J285" s="1749"/>
      <c r="K285" s="1750">
        <v>19044333.333333332</v>
      </c>
      <c r="L285" s="1751">
        <v>697</v>
      </c>
      <c r="M285" s="1750">
        <v>19044333</v>
      </c>
      <c r="N285" s="1757">
        <v>850</v>
      </c>
      <c r="O285" s="1750">
        <v>19044333</v>
      </c>
      <c r="P285" s="1754">
        <v>101</v>
      </c>
      <c r="Q285" s="688"/>
      <c r="R285" s="507"/>
      <c r="S285" s="507"/>
      <c r="T285" s="507"/>
      <c r="U285" s="507"/>
      <c r="V285" s="507"/>
      <c r="W285" s="507"/>
      <c r="X285" s="507"/>
      <c r="Y285" s="507"/>
      <c r="Z285" s="507"/>
      <c r="AA285" s="507"/>
      <c r="AB285" s="702"/>
      <c r="AC285" s="690">
        <f>SUM(Q285:AB285)</f>
        <v>0</v>
      </c>
      <c r="AD285" s="689">
        <f t="shared" si="120"/>
        <v>19044333</v>
      </c>
      <c r="AF285" s="903" t="s">
        <v>1320</v>
      </c>
      <c r="AG285" s="1362" t="s">
        <v>1327</v>
      </c>
      <c r="AH285" s="1124" t="s">
        <v>566</v>
      </c>
      <c r="AI285" s="1113">
        <f>P285</f>
        <v>101</v>
      </c>
      <c r="AJ285" s="904">
        <v>19044333</v>
      </c>
      <c r="AK285" s="906">
        <f t="shared" si="122"/>
        <v>0</v>
      </c>
      <c r="AL285" s="899"/>
      <c r="AM285" s="1604">
        <f t="shared" si="123"/>
        <v>0</v>
      </c>
    </row>
    <row r="286" spans="1:39" s="687" customFormat="1">
      <c r="A286" s="712" t="s">
        <v>87</v>
      </c>
      <c r="B286" s="516">
        <f t="shared" si="124"/>
        <v>87500000</v>
      </c>
      <c r="C286" s="713" t="s">
        <v>36</v>
      </c>
      <c r="D286" s="713" t="s">
        <v>867</v>
      </c>
      <c r="E286" s="713" t="s">
        <v>147</v>
      </c>
      <c r="F286" s="713" t="s">
        <v>88</v>
      </c>
      <c r="G286" s="2039" t="s">
        <v>80</v>
      </c>
      <c r="H286" s="2065" t="s">
        <v>1389</v>
      </c>
      <c r="I286" s="2046">
        <v>288</v>
      </c>
      <c r="J286" s="1749">
        <v>16</v>
      </c>
      <c r="K286" s="1750"/>
      <c r="L286" s="1751">
        <v>97</v>
      </c>
      <c r="M286" s="1758">
        <v>87500000</v>
      </c>
      <c r="N286" s="1692">
        <v>65</v>
      </c>
      <c r="O286" s="1703">
        <v>87500000</v>
      </c>
      <c r="P286" s="1754">
        <v>72</v>
      </c>
      <c r="Q286" s="688"/>
      <c r="R286" s="507">
        <v>2041667</v>
      </c>
      <c r="S286" s="507">
        <f>VLOOKUP(N286,[9]Hoja2!N$2:T$77,7,0)</f>
        <v>8750000</v>
      </c>
      <c r="T286" s="507">
        <v>8750000</v>
      </c>
      <c r="U286" s="507">
        <v>8750000</v>
      </c>
      <c r="V286" s="507">
        <v>8750000</v>
      </c>
      <c r="W286" s="507">
        <v>8750000</v>
      </c>
      <c r="X286" s="507">
        <v>8750000</v>
      </c>
      <c r="Y286" s="507">
        <v>8750000</v>
      </c>
      <c r="Z286" s="507"/>
      <c r="AA286" s="507"/>
      <c r="AB286" s="702"/>
      <c r="AC286" s="690">
        <f t="shared" si="125"/>
        <v>63291667</v>
      </c>
      <c r="AD286" s="689">
        <f t="shared" si="120"/>
        <v>24208333</v>
      </c>
      <c r="AF286" s="903">
        <v>288</v>
      </c>
      <c r="AG286" s="1362" t="s">
        <v>214</v>
      </c>
      <c r="AH286" s="1124" t="s">
        <v>567</v>
      </c>
      <c r="AI286" s="1113">
        <f t="shared" si="121"/>
        <v>72</v>
      </c>
      <c r="AJ286" s="904">
        <v>87500000</v>
      </c>
      <c r="AK286" s="906">
        <f t="shared" si="122"/>
        <v>0</v>
      </c>
      <c r="AL286" s="899"/>
      <c r="AM286" s="1604">
        <f t="shared" si="123"/>
        <v>0</v>
      </c>
    </row>
    <row r="287" spans="1:39" s="687" customFormat="1">
      <c r="A287" s="712" t="s">
        <v>87</v>
      </c>
      <c r="B287" s="516">
        <f t="shared" si="124"/>
        <v>27500000</v>
      </c>
      <c r="C287" s="713" t="s">
        <v>36</v>
      </c>
      <c r="D287" s="713" t="s">
        <v>867</v>
      </c>
      <c r="E287" s="713" t="s">
        <v>147</v>
      </c>
      <c r="F287" s="713" t="s">
        <v>88</v>
      </c>
      <c r="G287" s="2039" t="s">
        <v>80</v>
      </c>
      <c r="H287" s="2065" t="s">
        <v>1389</v>
      </c>
      <c r="I287" s="2046">
        <v>289</v>
      </c>
      <c r="J287" s="1749">
        <v>17</v>
      </c>
      <c r="K287" s="1750"/>
      <c r="L287" s="1751">
        <v>534</v>
      </c>
      <c r="M287" s="1758">
        <v>27500000</v>
      </c>
      <c r="N287" s="1757">
        <v>616</v>
      </c>
      <c r="O287" s="1853">
        <v>27500000</v>
      </c>
      <c r="P287" s="1754">
        <v>382</v>
      </c>
      <c r="Q287" s="688"/>
      <c r="R287" s="507"/>
      <c r="S287" s="507"/>
      <c r="T287" s="507"/>
      <c r="U287" s="507"/>
      <c r="V287" s="507"/>
      <c r="W287" s="507">
        <v>3116667</v>
      </c>
      <c r="X287" s="507">
        <v>5500000</v>
      </c>
      <c r="Y287" s="507">
        <v>5500000</v>
      </c>
      <c r="Z287" s="507"/>
      <c r="AA287" s="507"/>
      <c r="AB287" s="702"/>
      <c r="AC287" s="690">
        <f t="shared" si="125"/>
        <v>14116667</v>
      </c>
      <c r="AD287" s="689">
        <f t="shared" si="120"/>
        <v>13383333</v>
      </c>
      <c r="AF287" s="903">
        <v>289</v>
      </c>
      <c r="AG287" s="1362" t="s">
        <v>1012</v>
      </c>
      <c r="AH287" s="1124" t="s">
        <v>1043</v>
      </c>
      <c r="AI287" s="1113">
        <f t="shared" si="121"/>
        <v>382</v>
      </c>
      <c r="AJ287" s="904">
        <f>39200000-11700000</f>
        <v>27500000</v>
      </c>
      <c r="AK287" s="906">
        <f t="shared" si="122"/>
        <v>0</v>
      </c>
      <c r="AL287" s="899"/>
      <c r="AM287" s="1604">
        <f t="shared" si="123"/>
        <v>0</v>
      </c>
    </row>
    <row r="288" spans="1:39" s="687" customFormat="1">
      <c r="A288" s="712" t="s">
        <v>87</v>
      </c>
      <c r="B288" s="516">
        <f t="shared" si="124"/>
        <v>43040000</v>
      </c>
      <c r="C288" s="713" t="s">
        <v>36</v>
      </c>
      <c r="D288" s="713" t="s">
        <v>867</v>
      </c>
      <c r="E288" s="713" t="s">
        <v>147</v>
      </c>
      <c r="F288" s="713" t="s">
        <v>88</v>
      </c>
      <c r="G288" s="2039" t="s">
        <v>80</v>
      </c>
      <c r="H288" s="2065" t="s">
        <v>1389</v>
      </c>
      <c r="I288" s="2046">
        <v>290</v>
      </c>
      <c r="J288" s="1749">
        <v>18</v>
      </c>
      <c r="K288" s="1750"/>
      <c r="L288" s="1751">
        <v>303</v>
      </c>
      <c r="M288" s="1758">
        <v>43040000</v>
      </c>
      <c r="N288" s="1692">
        <v>301</v>
      </c>
      <c r="O288" s="1853">
        <v>43040000</v>
      </c>
      <c r="P288" s="1754">
        <v>254</v>
      </c>
      <c r="Q288" s="688"/>
      <c r="R288" s="507"/>
      <c r="S288" s="507"/>
      <c r="T288" s="507">
        <v>6276667</v>
      </c>
      <c r="U288" s="507">
        <v>5380000</v>
      </c>
      <c r="V288" s="507">
        <v>5380000</v>
      </c>
      <c r="W288" s="507">
        <v>5380000</v>
      </c>
      <c r="X288" s="507">
        <v>5380000</v>
      </c>
      <c r="Y288" s="507">
        <v>5380000</v>
      </c>
      <c r="Z288" s="507"/>
      <c r="AA288" s="507"/>
      <c r="AB288" s="702"/>
      <c r="AC288" s="690">
        <f t="shared" si="125"/>
        <v>33176667</v>
      </c>
      <c r="AD288" s="689">
        <f t="shared" si="120"/>
        <v>9863333</v>
      </c>
      <c r="AF288" s="903">
        <v>290</v>
      </c>
      <c r="AG288" s="1362" t="s">
        <v>215</v>
      </c>
      <c r="AH288" s="1124" t="s">
        <v>778</v>
      </c>
      <c r="AI288" s="1113">
        <f t="shared" si="121"/>
        <v>254</v>
      </c>
      <c r="AJ288" s="904">
        <f>39360000+3680000</f>
        <v>43040000</v>
      </c>
      <c r="AK288" s="906">
        <f t="shared" si="122"/>
        <v>0</v>
      </c>
      <c r="AL288" s="899"/>
      <c r="AM288" s="1604">
        <f t="shared" si="123"/>
        <v>0</v>
      </c>
    </row>
    <row r="289" spans="1:39" s="687" customFormat="1">
      <c r="A289" s="712" t="s">
        <v>87</v>
      </c>
      <c r="B289" s="516">
        <f t="shared" si="124"/>
        <v>43040000</v>
      </c>
      <c r="C289" s="713" t="s">
        <v>36</v>
      </c>
      <c r="D289" s="713" t="s">
        <v>867</v>
      </c>
      <c r="E289" s="713" t="s">
        <v>147</v>
      </c>
      <c r="F289" s="713" t="s">
        <v>88</v>
      </c>
      <c r="G289" s="2039" t="s">
        <v>80</v>
      </c>
      <c r="H289" s="2065" t="s">
        <v>1389</v>
      </c>
      <c r="I289" s="2046">
        <v>291</v>
      </c>
      <c r="J289" s="1749">
        <v>19</v>
      </c>
      <c r="K289" s="1750"/>
      <c r="L289" s="1751">
        <v>128</v>
      </c>
      <c r="M289" s="1758">
        <v>43040000</v>
      </c>
      <c r="N289" s="1692">
        <v>120</v>
      </c>
      <c r="O289" s="1703">
        <v>43040000</v>
      </c>
      <c r="P289" s="1754">
        <v>123</v>
      </c>
      <c r="Q289" s="688"/>
      <c r="R289" s="507">
        <v>1434667</v>
      </c>
      <c r="S289" s="507">
        <f>VLOOKUP(N289,[9]Hoja2!N$2:T$77,7,0)</f>
        <v>5380000</v>
      </c>
      <c r="T289" s="507">
        <v>5380000</v>
      </c>
      <c r="U289" s="507">
        <v>5380000</v>
      </c>
      <c r="V289" s="507">
        <v>5380000</v>
      </c>
      <c r="W289" s="507">
        <v>5380000</v>
      </c>
      <c r="X289" s="507">
        <v>5380000</v>
      </c>
      <c r="Y289" s="507">
        <v>5380000</v>
      </c>
      <c r="Z289" s="507"/>
      <c r="AA289" s="507"/>
      <c r="AB289" s="702"/>
      <c r="AC289" s="690">
        <f t="shared" si="125"/>
        <v>39094667</v>
      </c>
      <c r="AD289" s="689">
        <f t="shared" si="120"/>
        <v>3945333</v>
      </c>
      <c r="AF289" s="903">
        <v>291</v>
      </c>
      <c r="AG289" s="1362" t="s">
        <v>216</v>
      </c>
      <c r="AH289" s="1124" t="s">
        <v>568</v>
      </c>
      <c r="AI289" s="1113">
        <f t="shared" si="121"/>
        <v>123</v>
      </c>
      <c r="AJ289" s="904">
        <v>43040000</v>
      </c>
      <c r="AK289" s="906">
        <f t="shared" si="122"/>
        <v>0</v>
      </c>
      <c r="AL289" s="899"/>
      <c r="AM289" s="1604">
        <f t="shared" si="123"/>
        <v>0</v>
      </c>
    </row>
    <row r="290" spans="1:39" s="687" customFormat="1">
      <c r="A290" s="712" t="s">
        <v>87</v>
      </c>
      <c r="B290" s="516">
        <f>M290</f>
        <v>17574667</v>
      </c>
      <c r="C290" s="713" t="s">
        <v>36</v>
      </c>
      <c r="D290" s="713" t="s">
        <v>867</v>
      </c>
      <c r="E290" s="713" t="s">
        <v>191</v>
      </c>
      <c r="F290" s="713" t="s">
        <v>88</v>
      </c>
      <c r="G290" s="2039" t="s">
        <v>80</v>
      </c>
      <c r="H290" s="2065" t="s">
        <v>1389</v>
      </c>
      <c r="I290" s="2046" t="s">
        <v>178</v>
      </c>
      <c r="J290" s="1749"/>
      <c r="K290" s="1750">
        <v>17574666.666666668</v>
      </c>
      <c r="L290" s="1751">
        <v>707</v>
      </c>
      <c r="M290" s="1750">
        <v>17574667</v>
      </c>
      <c r="N290" s="1757">
        <v>841</v>
      </c>
      <c r="O290" s="1853">
        <v>17574666</v>
      </c>
      <c r="P290" s="1754">
        <v>123</v>
      </c>
      <c r="Q290" s="688"/>
      <c r="R290" s="507"/>
      <c r="S290" s="507"/>
      <c r="T290" s="507"/>
      <c r="U290" s="507"/>
      <c r="V290" s="507"/>
      <c r="W290" s="507"/>
      <c r="X290" s="507"/>
      <c r="Y290" s="507"/>
      <c r="Z290" s="507"/>
      <c r="AA290" s="507"/>
      <c r="AB290" s="702"/>
      <c r="AC290" s="690">
        <f>SUM(Q290:AB290)</f>
        <v>0</v>
      </c>
      <c r="AD290" s="689">
        <f t="shared" si="120"/>
        <v>17574666</v>
      </c>
      <c r="AF290" s="903" t="s">
        <v>1320</v>
      </c>
      <c r="AG290" s="1362" t="s">
        <v>1328</v>
      </c>
      <c r="AH290" s="1124" t="s">
        <v>568</v>
      </c>
      <c r="AI290" s="1113">
        <f>P290</f>
        <v>123</v>
      </c>
      <c r="AJ290" s="904">
        <v>17574667</v>
      </c>
      <c r="AK290" s="906">
        <f t="shared" si="122"/>
        <v>1</v>
      </c>
      <c r="AL290" s="899"/>
      <c r="AM290" s="1604">
        <f t="shared" si="123"/>
        <v>0</v>
      </c>
    </row>
    <row r="291" spans="1:39" s="687" customFormat="1">
      <c r="A291" s="712" t="s">
        <v>87</v>
      </c>
      <c r="B291" s="516">
        <f t="shared" si="124"/>
        <v>66060000</v>
      </c>
      <c r="C291" s="713" t="s">
        <v>36</v>
      </c>
      <c r="D291" s="713" t="s">
        <v>867</v>
      </c>
      <c r="E291" s="713" t="s">
        <v>147</v>
      </c>
      <c r="F291" s="713" t="s">
        <v>88</v>
      </c>
      <c r="G291" s="2039" t="s">
        <v>80</v>
      </c>
      <c r="H291" s="2065" t="s">
        <v>1389</v>
      </c>
      <c r="I291" s="2046">
        <v>292</v>
      </c>
      <c r="J291" s="1749">
        <v>20</v>
      </c>
      <c r="K291" s="1750"/>
      <c r="L291" s="1751">
        <v>114</v>
      </c>
      <c r="M291" s="1758">
        <v>66060000</v>
      </c>
      <c r="N291" s="1692">
        <v>130</v>
      </c>
      <c r="O291" s="1703">
        <v>66060000</v>
      </c>
      <c r="P291" s="1754">
        <v>126</v>
      </c>
      <c r="Q291" s="688"/>
      <c r="R291" s="507">
        <v>1761600</v>
      </c>
      <c r="S291" s="507">
        <f>VLOOKUP(N291,[9]Hoja2!N$2:T$77,7,0)</f>
        <v>6606000</v>
      </c>
      <c r="T291" s="507">
        <v>6606000</v>
      </c>
      <c r="U291" s="507">
        <v>6606000</v>
      </c>
      <c r="V291" s="507">
        <v>6606000</v>
      </c>
      <c r="W291" s="507">
        <v>6606000</v>
      </c>
      <c r="X291" s="507">
        <v>6606000</v>
      </c>
      <c r="Y291" s="507">
        <v>6606000</v>
      </c>
      <c r="Z291" s="507"/>
      <c r="AA291" s="507"/>
      <c r="AB291" s="702"/>
      <c r="AC291" s="690">
        <f t="shared" si="125"/>
        <v>48003600</v>
      </c>
      <c r="AD291" s="689">
        <f t="shared" si="120"/>
        <v>18056400</v>
      </c>
      <c r="AF291" s="903">
        <v>292</v>
      </c>
      <c r="AG291" s="1362" t="s">
        <v>217</v>
      </c>
      <c r="AH291" s="1124" t="s">
        <v>569</v>
      </c>
      <c r="AI291" s="1113">
        <f t="shared" si="121"/>
        <v>126</v>
      </c>
      <c r="AJ291" s="904">
        <v>66060000</v>
      </c>
      <c r="AK291" s="906">
        <f t="shared" si="122"/>
        <v>0</v>
      </c>
      <c r="AL291" s="899"/>
      <c r="AM291" s="1604">
        <f t="shared" si="123"/>
        <v>0</v>
      </c>
    </row>
    <row r="292" spans="1:39" s="687" customFormat="1">
      <c r="A292" s="712" t="s">
        <v>87</v>
      </c>
      <c r="B292" s="516">
        <f t="shared" si="124"/>
        <v>38400000</v>
      </c>
      <c r="C292" s="713" t="s">
        <v>36</v>
      </c>
      <c r="D292" s="713" t="s">
        <v>867</v>
      </c>
      <c r="E292" s="713" t="s">
        <v>147</v>
      </c>
      <c r="F292" s="713" t="s">
        <v>88</v>
      </c>
      <c r="G292" s="2039" t="s">
        <v>80</v>
      </c>
      <c r="H292" s="2065" t="s">
        <v>1389</v>
      </c>
      <c r="I292" s="2046">
        <v>293</v>
      </c>
      <c r="J292" s="1749">
        <v>21</v>
      </c>
      <c r="K292" s="1750"/>
      <c r="L292" s="1751">
        <v>115</v>
      </c>
      <c r="M292" s="1758">
        <v>38400000</v>
      </c>
      <c r="N292" s="1692">
        <v>127</v>
      </c>
      <c r="O292" s="1703">
        <v>38400000</v>
      </c>
      <c r="P292" s="1754">
        <v>97</v>
      </c>
      <c r="Q292" s="688"/>
      <c r="R292" s="507">
        <v>1280000</v>
      </c>
      <c r="S292" s="507">
        <f>VLOOKUP(N292,[9]Hoja2!N$2:T$77,7,0)</f>
        <v>4800000</v>
      </c>
      <c r="T292" s="507">
        <v>4800000</v>
      </c>
      <c r="U292" s="507">
        <v>4800000</v>
      </c>
      <c r="V292" s="507">
        <v>4800000</v>
      </c>
      <c r="W292" s="507">
        <v>1600000</v>
      </c>
      <c r="X292" s="507"/>
      <c r="Y292" s="507"/>
      <c r="Z292" s="507"/>
      <c r="AA292" s="507"/>
      <c r="AB292" s="702"/>
      <c r="AC292" s="690">
        <f t="shared" si="125"/>
        <v>22080000</v>
      </c>
      <c r="AD292" s="689">
        <f t="shared" si="120"/>
        <v>16320000</v>
      </c>
      <c r="AF292" s="903">
        <v>293</v>
      </c>
      <c r="AG292" s="1362" t="s">
        <v>218</v>
      </c>
      <c r="AH292" s="1124" t="s">
        <v>570</v>
      </c>
      <c r="AI292" s="1113">
        <f t="shared" si="121"/>
        <v>97</v>
      </c>
      <c r="AJ292" s="904">
        <v>38400000</v>
      </c>
      <c r="AK292" s="906">
        <f t="shared" si="122"/>
        <v>0</v>
      </c>
      <c r="AL292" s="899"/>
      <c r="AM292" s="1604">
        <f t="shared" si="123"/>
        <v>0</v>
      </c>
    </row>
    <row r="293" spans="1:39" s="687" customFormat="1">
      <c r="A293" s="712" t="s">
        <v>87</v>
      </c>
      <c r="B293" s="516">
        <f t="shared" si="124"/>
        <v>38400000</v>
      </c>
      <c r="C293" s="713" t="s">
        <v>36</v>
      </c>
      <c r="D293" s="713" t="s">
        <v>867</v>
      </c>
      <c r="E293" s="713" t="s">
        <v>147</v>
      </c>
      <c r="F293" s="713" t="s">
        <v>88</v>
      </c>
      <c r="G293" s="2039" t="s">
        <v>80</v>
      </c>
      <c r="H293" s="2065" t="s">
        <v>1389</v>
      </c>
      <c r="I293" s="2046">
        <v>294</v>
      </c>
      <c r="J293" s="1749">
        <v>22</v>
      </c>
      <c r="K293" s="1750"/>
      <c r="L293" s="1751">
        <v>129</v>
      </c>
      <c r="M293" s="1758">
        <v>38400000</v>
      </c>
      <c r="N293" s="1692">
        <v>69</v>
      </c>
      <c r="O293" s="1703">
        <v>38400000</v>
      </c>
      <c r="P293" s="1754">
        <v>108</v>
      </c>
      <c r="Q293" s="688"/>
      <c r="R293" s="507"/>
      <c r="S293" s="507">
        <f>VLOOKUP(N293,[9]Hoja2!N$2:T$77,7,0)</f>
        <v>5280000</v>
      </c>
      <c r="T293" s="507">
        <v>4800000</v>
      </c>
      <c r="U293" s="507">
        <v>4800000</v>
      </c>
      <c r="V293" s="507">
        <v>4800000</v>
      </c>
      <c r="W293" s="507">
        <v>4800000</v>
      </c>
      <c r="X293" s="507">
        <v>4800000</v>
      </c>
      <c r="Y293" s="507">
        <v>4800000</v>
      </c>
      <c r="Z293" s="507"/>
      <c r="AA293" s="507"/>
      <c r="AB293" s="702"/>
      <c r="AC293" s="690">
        <f t="shared" si="125"/>
        <v>34080000</v>
      </c>
      <c r="AD293" s="689">
        <f t="shared" si="120"/>
        <v>4320000</v>
      </c>
      <c r="AF293" s="903">
        <v>294</v>
      </c>
      <c r="AG293" s="1362" t="s">
        <v>218</v>
      </c>
      <c r="AH293" s="1124" t="s">
        <v>571</v>
      </c>
      <c r="AI293" s="1113">
        <f t="shared" si="121"/>
        <v>108</v>
      </c>
      <c r="AJ293" s="904">
        <v>38400000</v>
      </c>
      <c r="AK293" s="906">
        <f t="shared" si="122"/>
        <v>0</v>
      </c>
      <c r="AL293" s="899"/>
      <c r="AM293" s="1604">
        <f t="shared" si="123"/>
        <v>0</v>
      </c>
    </row>
    <row r="294" spans="1:39" s="687" customFormat="1">
      <c r="A294" s="712" t="s">
        <v>87</v>
      </c>
      <c r="B294" s="516">
        <f>M294</f>
        <v>14880000</v>
      </c>
      <c r="C294" s="713" t="s">
        <v>36</v>
      </c>
      <c r="D294" s="713" t="s">
        <v>867</v>
      </c>
      <c r="E294" s="713" t="s">
        <v>191</v>
      </c>
      <c r="F294" s="713" t="s">
        <v>88</v>
      </c>
      <c r="G294" s="2039" t="s">
        <v>80</v>
      </c>
      <c r="H294" s="2065" t="s">
        <v>1389</v>
      </c>
      <c r="I294" s="2046" t="s">
        <v>178</v>
      </c>
      <c r="J294" s="1749"/>
      <c r="K294" s="1750">
        <v>14880000</v>
      </c>
      <c r="L294" s="1751">
        <v>700</v>
      </c>
      <c r="M294" s="1750">
        <v>14880000</v>
      </c>
      <c r="N294" s="1757">
        <v>860</v>
      </c>
      <c r="O294" s="1853">
        <v>14880000</v>
      </c>
      <c r="P294" s="1754">
        <v>108</v>
      </c>
      <c r="Q294" s="688"/>
      <c r="R294" s="507"/>
      <c r="S294" s="507"/>
      <c r="T294" s="507"/>
      <c r="U294" s="507"/>
      <c r="V294" s="507"/>
      <c r="W294" s="507"/>
      <c r="X294" s="507"/>
      <c r="Y294" s="507"/>
      <c r="Z294" s="507"/>
      <c r="AA294" s="507"/>
      <c r="AB294" s="702"/>
      <c r="AC294" s="690">
        <f>SUM(Q294:AB294)</f>
        <v>0</v>
      </c>
      <c r="AD294" s="689">
        <f t="shared" si="120"/>
        <v>14880000</v>
      </c>
      <c r="AF294" s="903" t="s">
        <v>1320</v>
      </c>
      <c r="AG294" s="1362" t="s">
        <v>1329</v>
      </c>
      <c r="AH294" s="1124" t="s">
        <v>571</v>
      </c>
      <c r="AI294" s="1113">
        <f>P294</f>
        <v>108</v>
      </c>
      <c r="AJ294" s="904">
        <v>14880000</v>
      </c>
      <c r="AK294" s="906">
        <f t="shared" si="122"/>
        <v>0</v>
      </c>
      <c r="AL294" s="899"/>
      <c r="AM294" s="1604">
        <f t="shared" si="123"/>
        <v>0</v>
      </c>
    </row>
    <row r="295" spans="1:39" s="687" customFormat="1">
      <c r="A295" s="712" t="s">
        <v>87</v>
      </c>
      <c r="B295" s="516">
        <f t="shared" si="124"/>
        <v>38400000</v>
      </c>
      <c r="C295" s="713" t="s">
        <v>36</v>
      </c>
      <c r="D295" s="713" t="s">
        <v>867</v>
      </c>
      <c r="E295" s="713" t="s">
        <v>147</v>
      </c>
      <c r="F295" s="713" t="s">
        <v>88</v>
      </c>
      <c r="G295" s="2039" t="s">
        <v>80</v>
      </c>
      <c r="H295" s="2065" t="s">
        <v>1389</v>
      </c>
      <c r="I295" s="2046">
        <v>295</v>
      </c>
      <c r="J295" s="1749">
        <v>23</v>
      </c>
      <c r="K295" s="1750"/>
      <c r="L295" s="1751">
        <v>116</v>
      </c>
      <c r="M295" s="1758">
        <v>38400000</v>
      </c>
      <c r="N295" s="1692">
        <v>74</v>
      </c>
      <c r="O295" s="1703">
        <v>38400000</v>
      </c>
      <c r="P295" s="1754">
        <v>105</v>
      </c>
      <c r="Q295" s="688"/>
      <c r="R295" s="507">
        <v>1280000</v>
      </c>
      <c r="S295" s="507">
        <f>VLOOKUP(N295,[9]Hoja2!N$2:T$77,7,0)</f>
        <v>4800000</v>
      </c>
      <c r="T295" s="507">
        <v>4800000</v>
      </c>
      <c r="U295" s="507">
        <v>4800000</v>
      </c>
      <c r="V295" s="507">
        <v>4800000</v>
      </c>
      <c r="W295" s="507">
        <v>4800000</v>
      </c>
      <c r="X295" s="507">
        <v>4800000</v>
      </c>
      <c r="Y295" s="507">
        <v>4800000</v>
      </c>
      <c r="Z295" s="507"/>
      <c r="AA295" s="507"/>
      <c r="AB295" s="702"/>
      <c r="AC295" s="690">
        <f t="shared" si="125"/>
        <v>34880000</v>
      </c>
      <c r="AD295" s="689">
        <f t="shared" ref="AD295:AD325" si="126">O295-AC295</f>
        <v>3520000</v>
      </c>
      <c r="AF295" s="903">
        <v>295</v>
      </c>
      <c r="AG295" s="1362" t="s">
        <v>218</v>
      </c>
      <c r="AH295" s="1124" t="s">
        <v>572</v>
      </c>
      <c r="AI295" s="1113">
        <f t="shared" si="121"/>
        <v>105</v>
      </c>
      <c r="AJ295" s="904">
        <v>38400000</v>
      </c>
      <c r="AK295" s="906">
        <f t="shared" ref="AK295:AK325" si="127">AJ295-O295</f>
        <v>0</v>
      </c>
      <c r="AL295" s="899"/>
      <c r="AM295" s="1604">
        <f t="shared" ref="AM295:AM325" si="128">AJ295-M295</f>
        <v>0</v>
      </c>
    </row>
    <row r="296" spans="1:39" s="687" customFormat="1">
      <c r="A296" s="712" t="s">
        <v>87</v>
      </c>
      <c r="B296" s="516">
        <f>M296</f>
        <v>15680000</v>
      </c>
      <c r="C296" s="713" t="s">
        <v>36</v>
      </c>
      <c r="D296" s="713" t="s">
        <v>867</v>
      </c>
      <c r="E296" s="713" t="s">
        <v>191</v>
      </c>
      <c r="F296" s="713" t="s">
        <v>88</v>
      </c>
      <c r="G296" s="2039" t="s">
        <v>80</v>
      </c>
      <c r="H296" s="2065" t="s">
        <v>1389</v>
      </c>
      <c r="I296" s="2046" t="s">
        <v>178</v>
      </c>
      <c r="J296" s="1749"/>
      <c r="K296" s="1750">
        <v>15680000</v>
      </c>
      <c r="L296" s="1751">
        <v>699</v>
      </c>
      <c r="M296" s="1750">
        <v>15680000</v>
      </c>
      <c r="N296" s="1757">
        <v>849</v>
      </c>
      <c r="O296" s="1853">
        <v>15680000</v>
      </c>
      <c r="P296" s="1754">
        <v>105</v>
      </c>
      <c r="Q296" s="688"/>
      <c r="R296" s="507"/>
      <c r="S296" s="507"/>
      <c r="T296" s="507"/>
      <c r="U296" s="507"/>
      <c r="V296" s="507"/>
      <c r="W296" s="507"/>
      <c r="X296" s="507"/>
      <c r="Y296" s="507"/>
      <c r="Z296" s="507"/>
      <c r="AA296" s="507"/>
      <c r="AB296" s="702"/>
      <c r="AC296" s="690">
        <f>SUM(Q296:AB296)</f>
        <v>0</v>
      </c>
      <c r="AD296" s="689">
        <f t="shared" si="126"/>
        <v>15680000</v>
      </c>
      <c r="AF296" s="903" t="s">
        <v>1320</v>
      </c>
      <c r="AG296" s="1362" t="s">
        <v>1330</v>
      </c>
      <c r="AH296" s="1124" t="s">
        <v>572</v>
      </c>
      <c r="AI296" s="1113">
        <f>P296</f>
        <v>105</v>
      </c>
      <c r="AJ296" s="904">
        <v>15680000</v>
      </c>
      <c r="AK296" s="906">
        <f t="shared" si="127"/>
        <v>0</v>
      </c>
      <c r="AL296" s="899"/>
      <c r="AM296" s="1604">
        <f t="shared" si="128"/>
        <v>0</v>
      </c>
    </row>
    <row r="297" spans="1:39" s="687" customFormat="1">
      <c r="A297" s="712" t="s">
        <v>87</v>
      </c>
      <c r="B297" s="516">
        <f t="shared" si="124"/>
        <v>38400000</v>
      </c>
      <c r="C297" s="713" t="s">
        <v>36</v>
      </c>
      <c r="D297" s="713" t="s">
        <v>867</v>
      </c>
      <c r="E297" s="713" t="s">
        <v>147</v>
      </c>
      <c r="F297" s="713" t="s">
        <v>88</v>
      </c>
      <c r="G297" s="2039" t="s">
        <v>80</v>
      </c>
      <c r="H297" s="2065" t="s">
        <v>1389</v>
      </c>
      <c r="I297" s="2046">
        <v>296</v>
      </c>
      <c r="J297" s="1749">
        <v>24</v>
      </c>
      <c r="K297" s="1750"/>
      <c r="L297" s="1751">
        <v>117</v>
      </c>
      <c r="M297" s="1758">
        <v>38400000</v>
      </c>
      <c r="N297" s="1692">
        <v>73</v>
      </c>
      <c r="O297" s="1703">
        <v>38400000</v>
      </c>
      <c r="P297" s="1754">
        <v>95</v>
      </c>
      <c r="Q297" s="688"/>
      <c r="R297" s="507">
        <v>1280000</v>
      </c>
      <c r="S297" s="507">
        <f>VLOOKUP(N297,[9]Hoja2!N$2:T$77,7,0)</f>
        <v>4800000</v>
      </c>
      <c r="T297" s="507">
        <v>4800000</v>
      </c>
      <c r="U297" s="507">
        <v>4800000</v>
      </c>
      <c r="V297" s="507">
        <v>4800000</v>
      </c>
      <c r="W297" s="507">
        <v>4000000</v>
      </c>
      <c r="X297" s="507">
        <v>5600000</v>
      </c>
      <c r="Y297" s="507">
        <v>4800000</v>
      </c>
      <c r="Z297" s="507"/>
      <c r="AA297" s="507"/>
      <c r="AB297" s="702"/>
      <c r="AC297" s="690">
        <f t="shared" si="125"/>
        <v>34880000</v>
      </c>
      <c r="AD297" s="689">
        <f t="shared" si="126"/>
        <v>3520000</v>
      </c>
      <c r="AF297" s="903">
        <v>296</v>
      </c>
      <c r="AG297" s="1362" t="s">
        <v>218</v>
      </c>
      <c r="AH297" s="1124" t="s">
        <v>573</v>
      </c>
      <c r="AI297" s="1113">
        <f t="shared" si="121"/>
        <v>95</v>
      </c>
      <c r="AJ297" s="904">
        <v>38400000</v>
      </c>
      <c r="AK297" s="906">
        <f t="shared" si="127"/>
        <v>0</v>
      </c>
      <c r="AL297" s="899"/>
      <c r="AM297" s="1604">
        <f t="shared" si="128"/>
        <v>0</v>
      </c>
    </row>
    <row r="298" spans="1:39" s="687" customFormat="1">
      <c r="A298" s="712" t="s">
        <v>87</v>
      </c>
      <c r="B298" s="516">
        <f>M298</f>
        <v>15680000</v>
      </c>
      <c r="C298" s="713" t="s">
        <v>36</v>
      </c>
      <c r="D298" s="713" t="s">
        <v>867</v>
      </c>
      <c r="E298" s="713" t="s">
        <v>191</v>
      </c>
      <c r="F298" s="713" t="s">
        <v>88</v>
      </c>
      <c r="G298" s="2039" t="s">
        <v>80</v>
      </c>
      <c r="H298" s="2065" t="s">
        <v>1389</v>
      </c>
      <c r="I298" s="2046" t="s">
        <v>178</v>
      </c>
      <c r="J298" s="1749"/>
      <c r="K298" s="1750">
        <v>15680000</v>
      </c>
      <c r="L298" s="1751">
        <v>695</v>
      </c>
      <c r="M298" s="1750">
        <v>15680000</v>
      </c>
      <c r="N298" s="1757">
        <v>843</v>
      </c>
      <c r="O298" s="1853">
        <v>15680000</v>
      </c>
      <c r="P298" s="1754">
        <v>95</v>
      </c>
      <c r="Q298" s="688"/>
      <c r="R298" s="507"/>
      <c r="S298" s="507"/>
      <c r="T298" s="507"/>
      <c r="U298" s="507"/>
      <c r="V298" s="507"/>
      <c r="W298" s="507"/>
      <c r="X298" s="507"/>
      <c r="Y298" s="507"/>
      <c r="Z298" s="507"/>
      <c r="AA298" s="507"/>
      <c r="AB298" s="702"/>
      <c r="AC298" s="690">
        <f>SUM(Q298:AB298)</f>
        <v>0</v>
      </c>
      <c r="AD298" s="689">
        <f t="shared" si="126"/>
        <v>15680000</v>
      </c>
      <c r="AF298" s="903" t="s">
        <v>1320</v>
      </c>
      <c r="AG298" s="1362" t="s">
        <v>1331</v>
      </c>
      <c r="AH298" s="1124" t="s">
        <v>573</v>
      </c>
      <c r="AI298" s="1113">
        <f>P298</f>
        <v>95</v>
      </c>
      <c r="AJ298" s="904">
        <v>15680000</v>
      </c>
      <c r="AK298" s="906">
        <f t="shared" si="127"/>
        <v>0</v>
      </c>
      <c r="AL298" s="899"/>
      <c r="AM298" s="1604">
        <f t="shared" si="128"/>
        <v>0</v>
      </c>
    </row>
    <row r="299" spans="1:39" s="687" customFormat="1">
      <c r="A299" s="712" t="s">
        <v>87</v>
      </c>
      <c r="B299" s="516">
        <f t="shared" si="124"/>
        <v>38400000</v>
      </c>
      <c r="C299" s="713" t="s">
        <v>36</v>
      </c>
      <c r="D299" s="713" t="s">
        <v>867</v>
      </c>
      <c r="E299" s="713" t="s">
        <v>147</v>
      </c>
      <c r="F299" s="713" t="s">
        <v>88</v>
      </c>
      <c r="G299" s="2039" t="s">
        <v>80</v>
      </c>
      <c r="H299" s="2065" t="s">
        <v>1389</v>
      </c>
      <c r="I299" s="2046">
        <v>297</v>
      </c>
      <c r="J299" s="1749">
        <v>25</v>
      </c>
      <c r="K299" s="1750"/>
      <c r="L299" s="1751">
        <v>118</v>
      </c>
      <c r="M299" s="1758">
        <v>38400000</v>
      </c>
      <c r="N299" s="1692">
        <v>92</v>
      </c>
      <c r="O299" s="1703">
        <v>38400000</v>
      </c>
      <c r="P299" s="1754">
        <v>104</v>
      </c>
      <c r="Q299" s="688"/>
      <c r="R299" s="507">
        <v>1280000</v>
      </c>
      <c r="S299" s="507">
        <f>VLOOKUP(N299,[9]Hoja2!N$2:T$77,7,0)</f>
        <v>4800000</v>
      </c>
      <c r="T299" s="507">
        <v>4800000</v>
      </c>
      <c r="U299" s="507">
        <v>4800000</v>
      </c>
      <c r="V299" s="507">
        <v>4800000</v>
      </c>
      <c r="W299" s="507">
        <v>4800000</v>
      </c>
      <c r="X299" s="507">
        <v>4800000</v>
      </c>
      <c r="Y299" s="507">
        <v>4800000</v>
      </c>
      <c r="Z299" s="507"/>
      <c r="AA299" s="507"/>
      <c r="AB299" s="702"/>
      <c r="AC299" s="690">
        <f t="shared" si="125"/>
        <v>34880000</v>
      </c>
      <c r="AD299" s="689">
        <f t="shared" si="126"/>
        <v>3520000</v>
      </c>
      <c r="AF299" s="903">
        <v>297</v>
      </c>
      <c r="AG299" s="1362" t="s">
        <v>218</v>
      </c>
      <c r="AH299" s="1124" t="s">
        <v>574</v>
      </c>
      <c r="AI299" s="1113">
        <f t="shared" si="121"/>
        <v>104</v>
      </c>
      <c r="AJ299" s="904">
        <v>38400000</v>
      </c>
      <c r="AK299" s="906">
        <f t="shared" si="127"/>
        <v>0</v>
      </c>
      <c r="AL299" s="899"/>
      <c r="AM299" s="1604">
        <f t="shared" si="128"/>
        <v>0</v>
      </c>
    </row>
    <row r="300" spans="1:39" s="687" customFormat="1">
      <c r="A300" s="712" t="s">
        <v>87</v>
      </c>
      <c r="B300" s="516">
        <f t="shared" si="124"/>
        <v>66000000</v>
      </c>
      <c r="C300" s="713" t="s">
        <v>36</v>
      </c>
      <c r="D300" s="713" t="s">
        <v>867</v>
      </c>
      <c r="E300" s="713" t="s">
        <v>147</v>
      </c>
      <c r="F300" s="713" t="s">
        <v>88</v>
      </c>
      <c r="G300" s="2039" t="s">
        <v>80</v>
      </c>
      <c r="H300" s="2065" t="s">
        <v>1389</v>
      </c>
      <c r="I300" s="2046">
        <v>298</v>
      </c>
      <c r="J300" s="1749">
        <v>26</v>
      </c>
      <c r="K300" s="1750"/>
      <c r="L300" s="1751">
        <v>195</v>
      </c>
      <c r="M300" s="1758">
        <v>66000000</v>
      </c>
      <c r="N300" s="1692">
        <v>234</v>
      </c>
      <c r="O300" s="1853">
        <v>66000000</v>
      </c>
      <c r="P300" s="1754">
        <v>212</v>
      </c>
      <c r="Q300" s="688"/>
      <c r="R300" s="507"/>
      <c r="S300" s="507">
        <f>VLOOKUP(N300,[9]Hoja2!N$2:T$77,7,0)</f>
        <v>5500000</v>
      </c>
      <c r="T300" s="507">
        <v>6600000</v>
      </c>
      <c r="U300" s="507">
        <v>6600000</v>
      </c>
      <c r="V300" s="507">
        <v>6600000</v>
      </c>
      <c r="W300" s="507">
        <v>6930000</v>
      </c>
      <c r="X300" s="507">
        <v>6000000</v>
      </c>
      <c r="Y300" s="507">
        <v>6600000</v>
      </c>
      <c r="Z300" s="507"/>
      <c r="AA300" s="507"/>
      <c r="AB300" s="702"/>
      <c r="AC300" s="690">
        <f t="shared" si="125"/>
        <v>44830000</v>
      </c>
      <c r="AD300" s="689">
        <f t="shared" si="126"/>
        <v>21170000</v>
      </c>
      <c r="AF300" s="903">
        <v>298</v>
      </c>
      <c r="AG300" s="1362" t="s">
        <v>219</v>
      </c>
      <c r="AH300" s="1124" t="s">
        <v>761</v>
      </c>
      <c r="AI300" s="1113">
        <f t="shared" si="121"/>
        <v>212</v>
      </c>
      <c r="AJ300" s="904">
        <v>66000000</v>
      </c>
      <c r="AK300" s="906">
        <f t="shared" si="127"/>
        <v>0</v>
      </c>
      <c r="AL300" s="899"/>
      <c r="AM300" s="1604">
        <f t="shared" si="128"/>
        <v>0</v>
      </c>
    </row>
    <row r="301" spans="1:39" s="687" customFormat="1">
      <c r="A301" s="712" t="s">
        <v>87</v>
      </c>
      <c r="B301" s="516">
        <f t="shared" si="124"/>
        <v>5070000</v>
      </c>
      <c r="C301" s="713" t="s">
        <v>36</v>
      </c>
      <c r="D301" s="713" t="s">
        <v>867</v>
      </c>
      <c r="E301" s="713" t="s">
        <v>183</v>
      </c>
      <c r="F301" s="713" t="s">
        <v>88</v>
      </c>
      <c r="G301" s="2039" t="s">
        <v>80</v>
      </c>
      <c r="H301" s="2065" t="s">
        <v>1389</v>
      </c>
      <c r="I301" s="2046" t="s">
        <v>178</v>
      </c>
      <c r="J301" s="1749"/>
      <c r="K301" s="1750"/>
      <c r="L301" s="1751">
        <v>526</v>
      </c>
      <c r="M301" s="1758">
        <f>7550000-2480000</f>
        <v>5070000</v>
      </c>
      <c r="N301" s="1692">
        <v>626</v>
      </c>
      <c r="O301" s="1853">
        <v>5070000</v>
      </c>
      <c r="P301" s="1754">
        <v>212</v>
      </c>
      <c r="Q301" s="688"/>
      <c r="R301" s="507"/>
      <c r="S301" s="507"/>
      <c r="T301" s="507"/>
      <c r="U301" s="507"/>
      <c r="V301" s="507"/>
      <c r="W301" s="507"/>
      <c r="X301" s="507">
        <v>1500000</v>
      </c>
      <c r="Y301" s="507">
        <v>900000</v>
      </c>
      <c r="Z301" s="507"/>
      <c r="AA301" s="507"/>
      <c r="AB301" s="702"/>
      <c r="AC301" s="690">
        <f t="shared" si="125"/>
        <v>2400000</v>
      </c>
      <c r="AD301" s="689">
        <f t="shared" si="126"/>
        <v>2670000</v>
      </c>
      <c r="AF301" s="903">
        <v>298</v>
      </c>
      <c r="AG301" s="1362" t="s">
        <v>981</v>
      </c>
      <c r="AH301" s="1124" t="s">
        <v>761</v>
      </c>
      <c r="AI301" s="1113">
        <f t="shared" si="121"/>
        <v>212</v>
      </c>
      <c r="AJ301" s="904">
        <f>7550000</f>
        <v>7550000</v>
      </c>
      <c r="AK301" s="906">
        <f t="shared" si="127"/>
        <v>2480000</v>
      </c>
      <c r="AL301" s="899"/>
      <c r="AM301" s="1604">
        <f t="shared" si="128"/>
        <v>2480000</v>
      </c>
    </row>
    <row r="302" spans="1:39" s="687" customFormat="1">
      <c r="A302" s="712" t="s">
        <v>87</v>
      </c>
      <c r="B302" s="516">
        <f t="shared" si="124"/>
        <v>38400000</v>
      </c>
      <c r="C302" s="713" t="s">
        <v>36</v>
      </c>
      <c r="D302" s="713" t="s">
        <v>867</v>
      </c>
      <c r="E302" s="713" t="s">
        <v>147</v>
      </c>
      <c r="F302" s="713" t="s">
        <v>88</v>
      </c>
      <c r="G302" s="2039" t="s">
        <v>80</v>
      </c>
      <c r="H302" s="2065" t="s">
        <v>1389</v>
      </c>
      <c r="I302" s="2046">
        <v>299</v>
      </c>
      <c r="J302" s="1749">
        <v>27</v>
      </c>
      <c r="K302" s="1750"/>
      <c r="L302" s="1751">
        <v>130</v>
      </c>
      <c r="M302" s="1758">
        <v>38400000</v>
      </c>
      <c r="N302" s="1692">
        <v>78</v>
      </c>
      <c r="O302" s="1703">
        <v>38400000</v>
      </c>
      <c r="P302" s="1754">
        <v>115</v>
      </c>
      <c r="Q302" s="688"/>
      <c r="R302" s="507">
        <v>1280000</v>
      </c>
      <c r="S302" s="507">
        <f>VLOOKUP(N302,[9]Hoja2!N$2:T$77,7,0)</f>
        <v>4800000</v>
      </c>
      <c r="T302" s="507">
        <v>4800000</v>
      </c>
      <c r="U302" s="507">
        <v>4800000</v>
      </c>
      <c r="V302" s="507">
        <v>4800000</v>
      </c>
      <c r="W302" s="507">
        <v>4800000</v>
      </c>
      <c r="X302" s="507">
        <v>4800000</v>
      </c>
      <c r="Y302" s="507">
        <v>4800000</v>
      </c>
      <c r="Z302" s="507"/>
      <c r="AA302" s="507"/>
      <c r="AB302" s="702"/>
      <c r="AC302" s="690">
        <f t="shared" si="125"/>
        <v>34880000</v>
      </c>
      <c r="AD302" s="689">
        <f t="shared" si="126"/>
        <v>3520000</v>
      </c>
      <c r="AF302" s="903">
        <v>299</v>
      </c>
      <c r="AG302" s="1362" t="s">
        <v>220</v>
      </c>
      <c r="AH302" s="1124" t="s">
        <v>575</v>
      </c>
      <c r="AI302" s="1113">
        <f t="shared" si="121"/>
        <v>115</v>
      </c>
      <c r="AJ302" s="904">
        <v>38400000</v>
      </c>
      <c r="AK302" s="906">
        <f t="shared" si="127"/>
        <v>0</v>
      </c>
      <c r="AL302" s="899"/>
      <c r="AM302" s="1604">
        <f t="shared" si="128"/>
        <v>0</v>
      </c>
    </row>
    <row r="303" spans="1:39" s="687" customFormat="1">
      <c r="A303" s="712" t="s">
        <v>87</v>
      </c>
      <c r="B303" s="516">
        <f>M303</f>
        <v>15680000</v>
      </c>
      <c r="C303" s="713" t="s">
        <v>36</v>
      </c>
      <c r="D303" s="713" t="s">
        <v>867</v>
      </c>
      <c r="E303" s="713" t="s">
        <v>191</v>
      </c>
      <c r="F303" s="713" t="s">
        <v>88</v>
      </c>
      <c r="G303" s="2039" t="s">
        <v>80</v>
      </c>
      <c r="H303" s="2065" t="s">
        <v>1389</v>
      </c>
      <c r="I303" s="2046" t="s">
        <v>178</v>
      </c>
      <c r="J303" s="1749"/>
      <c r="K303" s="1750">
        <v>15680000</v>
      </c>
      <c r="L303" s="1751">
        <v>701</v>
      </c>
      <c r="M303" s="1750">
        <v>15680000</v>
      </c>
      <c r="N303" s="1757">
        <v>847</v>
      </c>
      <c r="O303" s="1853">
        <v>15680000</v>
      </c>
      <c r="P303" s="1754">
        <v>115</v>
      </c>
      <c r="Q303" s="688"/>
      <c r="R303" s="507"/>
      <c r="S303" s="507"/>
      <c r="T303" s="507"/>
      <c r="U303" s="507"/>
      <c r="V303" s="507"/>
      <c r="W303" s="507"/>
      <c r="X303" s="507"/>
      <c r="Y303" s="507"/>
      <c r="Z303" s="507"/>
      <c r="AA303" s="507"/>
      <c r="AB303" s="702"/>
      <c r="AC303" s="690">
        <f>SUM(Q303:AB303)</f>
        <v>0</v>
      </c>
      <c r="AD303" s="689">
        <f t="shared" si="126"/>
        <v>15680000</v>
      </c>
      <c r="AF303" s="903" t="s">
        <v>1320</v>
      </c>
      <c r="AG303" s="1362" t="s">
        <v>1332</v>
      </c>
      <c r="AH303" s="1124" t="s">
        <v>575</v>
      </c>
      <c r="AI303" s="1113">
        <f>P303</f>
        <v>115</v>
      </c>
      <c r="AJ303" s="904">
        <v>15680000</v>
      </c>
      <c r="AK303" s="906">
        <f t="shared" si="127"/>
        <v>0</v>
      </c>
      <c r="AL303" s="899"/>
      <c r="AM303" s="1604">
        <f t="shared" si="128"/>
        <v>0</v>
      </c>
    </row>
    <row r="304" spans="1:39" s="687" customFormat="1">
      <c r="A304" s="712" t="s">
        <v>87</v>
      </c>
      <c r="B304" s="516">
        <f t="shared" si="124"/>
        <v>38400000</v>
      </c>
      <c r="C304" s="713" t="s">
        <v>36</v>
      </c>
      <c r="D304" s="713" t="s">
        <v>867</v>
      </c>
      <c r="E304" s="713" t="s">
        <v>147</v>
      </c>
      <c r="F304" s="713" t="s">
        <v>88</v>
      </c>
      <c r="G304" s="2039" t="s">
        <v>80</v>
      </c>
      <c r="H304" s="2065" t="s">
        <v>1389</v>
      </c>
      <c r="I304" s="2046">
        <v>300</v>
      </c>
      <c r="J304" s="1749">
        <v>28</v>
      </c>
      <c r="K304" s="1750"/>
      <c r="L304" s="1751">
        <v>131</v>
      </c>
      <c r="M304" s="1758">
        <v>38400000</v>
      </c>
      <c r="N304" s="1692">
        <v>134</v>
      </c>
      <c r="O304" s="1703">
        <v>38400000</v>
      </c>
      <c r="P304" s="1754">
        <v>122</v>
      </c>
      <c r="Q304" s="688"/>
      <c r="R304" s="507">
        <v>1280000</v>
      </c>
      <c r="S304" s="507">
        <f>VLOOKUP(N304,[9]Hoja2!N$2:T$77,7,0)</f>
        <v>4800000</v>
      </c>
      <c r="T304" s="507">
        <v>4800000</v>
      </c>
      <c r="U304" s="507">
        <v>4480000</v>
      </c>
      <c r="V304" s="507">
        <v>4000000</v>
      </c>
      <c r="W304" s="507">
        <v>4800000</v>
      </c>
      <c r="X304" s="507">
        <v>4800000</v>
      </c>
      <c r="Y304" s="507">
        <v>4800000</v>
      </c>
      <c r="Z304" s="507"/>
      <c r="AA304" s="507"/>
      <c r="AB304" s="702"/>
      <c r="AC304" s="690">
        <f t="shared" si="125"/>
        <v>33760000</v>
      </c>
      <c r="AD304" s="689">
        <f t="shared" si="126"/>
        <v>4640000</v>
      </c>
      <c r="AF304" s="903">
        <v>300</v>
      </c>
      <c r="AG304" s="1362" t="s">
        <v>220</v>
      </c>
      <c r="AH304" s="1124" t="s">
        <v>576</v>
      </c>
      <c r="AI304" s="1113">
        <f t="shared" si="121"/>
        <v>122</v>
      </c>
      <c r="AJ304" s="904">
        <v>38400000</v>
      </c>
      <c r="AK304" s="906">
        <f t="shared" si="127"/>
        <v>0</v>
      </c>
      <c r="AL304" s="899"/>
      <c r="AM304" s="1604">
        <f t="shared" si="128"/>
        <v>0</v>
      </c>
    </row>
    <row r="305" spans="1:39" s="687" customFormat="1">
      <c r="A305" s="712" t="s">
        <v>87</v>
      </c>
      <c r="B305" s="516">
        <f>M305</f>
        <v>14560000</v>
      </c>
      <c r="C305" s="713" t="s">
        <v>36</v>
      </c>
      <c r="D305" s="713" t="s">
        <v>867</v>
      </c>
      <c r="E305" s="713" t="s">
        <v>191</v>
      </c>
      <c r="F305" s="713" t="s">
        <v>88</v>
      </c>
      <c r="G305" s="2039" t="s">
        <v>80</v>
      </c>
      <c r="H305" s="2065" t="s">
        <v>1389</v>
      </c>
      <c r="I305" s="2046" t="s">
        <v>178</v>
      </c>
      <c r="J305" s="1749"/>
      <c r="K305" s="1750">
        <v>14560000</v>
      </c>
      <c r="L305" s="1751">
        <v>702</v>
      </c>
      <c r="M305" s="1750">
        <v>14560000</v>
      </c>
      <c r="N305" s="1757">
        <v>858</v>
      </c>
      <c r="O305" s="1853">
        <v>14560000</v>
      </c>
      <c r="P305" s="1754">
        <v>122</v>
      </c>
      <c r="Q305" s="688"/>
      <c r="R305" s="507"/>
      <c r="S305" s="507"/>
      <c r="T305" s="507"/>
      <c r="U305" s="507"/>
      <c r="V305" s="507"/>
      <c r="W305" s="507"/>
      <c r="X305" s="507"/>
      <c r="Y305" s="507"/>
      <c r="Z305" s="507"/>
      <c r="AA305" s="507"/>
      <c r="AB305" s="702"/>
      <c r="AC305" s="690">
        <f>SUM(Q305:AB305)</f>
        <v>0</v>
      </c>
      <c r="AD305" s="689">
        <f t="shared" si="126"/>
        <v>14560000</v>
      </c>
      <c r="AF305" s="903" t="s">
        <v>1320</v>
      </c>
      <c r="AG305" s="1362" t="s">
        <v>1333</v>
      </c>
      <c r="AH305" s="1124" t="s">
        <v>576</v>
      </c>
      <c r="AI305" s="1113">
        <f>P305</f>
        <v>122</v>
      </c>
      <c r="AJ305" s="904">
        <v>14560000</v>
      </c>
      <c r="AK305" s="906">
        <f t="shared" si="127"/>
        <v>0</v>
      </c>
      <c r="AL305" s="899"/>
      <c r="AM305" s="1604">
        <f t="shared" si="128"/>
        <v>0</v>
      </c>
    </row>
    <row r="306" spans="1:39" s="687" customFormat="1">
      <c r="A306" s="712" t="s">
        <v>87</v>
      </c>
      <c r="B306" s="516">
        <f t="shared" si="124"/>
        <v>38400000</v>
      </c>
      <c r="C306" s="713" t="s">
        <v>36</v>
      </c>
      <c r="D306" s="713" t="s">
        <v>867</v>
      </c>
      <c r="E306" s="713" t="s">
        <v>147</v>
      </c>
      <c r="F306" s="713" t="s">
        <v>88</v>
      </c>
      <c r="G306" s="2039" t="s">
        <v>80</v>
      </c>
      <c r="H306" s="2065" t="s">
        <v>1389</v>
      </c>
      <c r="I306" s="2046">
        <v>301</v>
      </c>
      <c r="J306" s="1749">
        <v>29</v>
      </c>
      <c r="K306" s="1750"/>
      <c r="L306" s="1751">
        <v>196</v>
      </c>
      <c r="M306" s="1758">
        <v>38400000</v>
      </c>
      <c r="N306" s="1692">
        <v>236</v>
      </c>
      <c r="O306" s="1853">
        <v>38400000</v>
      </c>
      <c r="P306" s="1754">
        <v>222</v>
      </c>
      <c r="Q306" s="688"/>
      <c r="R306" s="507"/>
      <c r="S306" s="507">
        <f>VLOOKUP(N306,[9]Hoja2!N$2:T$77,7,0)</f>
        <v>4000000</v>
      </c>
      <c r="T306" s="507">
        <v>4800000</v>
      </c>
      <c r="U306" s="507">
        <v>4800000</v>
      </c>
      <c r="V306" s="507">
        <v>4800000</v>
      </c>
      <c r="W306" s="507">
        <v>4800000</v>
      </c>
      <c r="X306" s="507">
        <v>4800000</v>
      </c>
      <c r="Y306" s="507">
        <v>4800000</v>
      </c>
      <c r="Z306" s="507"/>
      <c r="AA306" s="507"/>
      <c r="AB306" s="702"/>
      <c r="AC306" s="690">
        <f t="shared" si="125"/>
        <v>32800000</v>
      </c>
      <c r="AD306" s="689">
        <f t="shared" si="126"/>
        <v>5600000</v>
      </c>
      <c r="AF306" s="903">
        <v>301</v>
      </c>
      <c r="AG306" s="1362" t="s">
        <v>220</v>
      </c>
      <c r="AH306" s="1124" t="s">
        <v>762</v>
      </c>
      <c r="AI306" s="1113">
        <f t="shared" si="121"/>
        <v>222</v>
      </c>
      <c r="AJ306" s="904">
        <v>38400000</v>
      </c>
      <c r="AK306" s="906">
        <f t="shared" si="127"/>
        <v>0</v>
      </c>
      <c r="AL306" s="899"/>
      <c r="AM306" s="1604">
        <f t="shared" si="128"/>
        <v>0</v>
      </c>
    </row>
    <row r="307" spans="1:39" s="687" customFormat="1">
      <c r="A307" s="712" t="s">
        <v>87</v>
      </c>
      <c r="B307" s="516">
        <f t="shared" si="124"/>
        <v>72100000</v>
      </c>
      <c r="C307" s="713" t="s">
        <v>36</v>
      </c>
      <c r="D307" s="713" t="s">
        <v>867</v>
      </c>
      <c r="E307" s="713" t="s">
        <v>147</v>
      </c>
      <c r="F307" s="713" t="s">
        <v>88</v>
      </c>
      <c r="G307" s="2039" t="s">
        <v>80</v>
      </c>
      <c r="H307" s="2065" t="s">
        <v>1389</v>
      </c>
      <c r="I307" s="2046">
        <v>302</v>
      </c>
      <c r="J307" s="1749">
        <v>30</v>
      </c>
      <c r="K307" s="1750"/>
      <c r="L307" s="1751">
        <v>311</v>
      </c>
      <c r="M307" s="1758">
        <v>72100000</v>
      </c>
      <c r="N307" s="1757">
        <v>315</v>
      </c>
      <c r="O307" s="1758">
        <v>72100000</v>
      </c>
      <c r="P307" s="1754">
        <v>271</v>
      </c>
      <c r="Q307" s="688"/>
      <c r="R307" s="507"/>
      <c r="S307" s="507">
        <v>1400000</v>
      </c>
      <c r="T307" s="507">
        <v>7000000</v>
      </c>
      <c r="U307" s="507">
        <v>7000000</v>
      </c>
      <c r="V307" s="507">
        <v>7000000</v>
      </c>
      <c r="W307" s="507">
        <v>7000000</v>
      </c>
      <c r="X307" s="507">
        <v>7000000</v>
      </c>
      <c r="Y307" s="507">
        <v>7000000</v>
      </c>
      <c r="Z307" s="507"/>
      <c r="AA307" s="507"/>
      <c r="AB307" s="702"/>
      <c r="AC307" s="690">
        <f t="shared" si="125"/>
        <v>43400000</v>
      </c>
      <c r="AD307" s="689">
        <f t="shared" si="126"/>
        <v>28700000</v>
      </c>
      <c r="AF307" s="903">
        <v>302</v>
      </c>
      <c r="AG307" s="1362" t="s">
        <v>518</v>
      </c>
      <c r="AH307" s="1124" t="s">
        <v>806</v>
      </c>
      <c r="AI307" s="1113">
        <f t="shared" si="121"/>
        <v>271</v>
      </c>
      <c r="AJ307" s="904">
        <f>60000000+13500000-1400000</f>
        <v>72100000</v>
      </c>
      <c r="AK307" s="906">
        <f t="shared" si="127"/>
        <v>0</v>
      </c>
      <c r="AL307" s="899"/>
      <c r="AM307" s="1604">
        <f t="shared" si="128"/>
        <v>0</v>
      </c>
    </row>
    <row r="308" spans="1:39" s="687" customFormat="1">
      <c r="A308" s="712" t="s">
        <v>87</v>
      </c>
      <c r="B308" s="516">
        <f t="shared" si="124"/>
        <v>54862500</v>
      </c>
      <c r="C308" s="713" t="s">
        <v>36</v>
      </c>
      <c r="D308" s="713" t="s">
        <v>867</v>
      </c>
      <c r="E308" s="713" t="s">
        <v>147</v>
      </c>
      <c r="F308" s="713" t="s">
        <v>88</v>
      </c>
      <c r="G308" s="2039" t="s">
        <v>80</v>
      </c>
      <c r="H308" s="2065" t="s">
        <v>1389</v>
      </c>
      <c r="I308" s="2046">
        <v>303</v>
      </c>
      <c r="J308" s="1749">
        <v>31</v>
      </c>
      <c r="K308" s="1750"/>
      <c r="L308" s="1751">
        <v>353</v>
      </c>
      <c r="M308" s="1758">
        <f>54882500-20000</f>
        <v>54862500</v>
      </c>
      <c r="N308" s="1757">
        <v>350</v>
      </c>
      <c r="O308" s="1853">
        <v>54862500</v>
      </c>
      <c r="P308" s="1754">
        <v>284</v>
      </c>
      <c r="Q308" s="688"/>
      <c r="R308" s="507"/>
      <c r="S308" s="507"/>
      <c r="T308" s="507">
        <v>3465000</v>
      </c>
      <c r="U308" s="507">
        <v>5775000</v>
      </c>
      <c r="V308" s="507">
        <v>5775000</v>
      </c>
      <c r="W308" s="507">
        <v>5775000</v>
      </c>
      <c r="X308" s="507">
        <v>5775000</v>
      </c>
      <c r="Y308" s="507">
        <v>5775000</v>
      </c>
      <c r="Z308" s="507"/>
      <c r="AA308" s="507"/>
      <c r="AB308" s="702"/>
      <c r="AC308" s="690">
        <f t="shared" si="125"/>
        <v>32340000</v>
      </c>
      <c r="AD308" s="689">
        <f t="shared" si="126"/>
        <v>22522500</v>
      </c>
      <c r="AF308" s="903">
        <v>303</v>
      </c>
      <c r="AG308" s="1362" t="s">
        <v>793</v>
      </c>
      <c r="AH308" s="1124" t="s">
        <v>831</v>
      </c>
      <c r="AI308" s="1113">
        <f t="shared" si="121"/>
        <v>284</v>
      </c>
      <c r="AJ308" s="904">
        <f>41600000+16150000-2887500</f>
        <v>54862500</v>
      </c>
      <c r="AK308" s="906">
        <f t="shared" si="127"/>
        <v>0</v>
      </c>
      <c r="AL308" s="899"/>
      <c r="AM308" s="1604">
        <f t="shared" si="128"/>
        <v>0</v>
      </c>
    </row>
    <row r="309" spans="1:39" s="687" customFormat="1">
      <c r="A309" s="712" t="s">
        <v>87</v>
      </c>
      <c r="B309" s="516">
        <f t="shared" si="124"/>
        <v>41600000</v>
      </c>
      <c r="C309" s="713" t="s">
        <v>36</v>
      </c>
      <c r="D309" s="713" t="s">
        <v>867</v>
      </c>
      <c r="E309" s="713" t="s">
        <v>147</v>
      </c>
      <c r="F309" s="713" t="s">
        <v>88</v>
      </c>
      <c r="G309" s="2039" t="s">
        <v>80</v>
      </c>
      <c r="H309" s="2065" t="s">
        <v>1389</v>
      </c>
      <c r="I309" s="2046">
        <v>304</v>
      </c>
      <c r="J309" s="1749">
        <v>32</v>
      </c>
      <c r="K309" s="1750"/>
      <c r="L309" s="1751">
        <v>312</v>
      </c>
      <c r="M309" s="1758">
        <v>41600000</v>
      </c>
      <c r="N309" s="1757">
        <v>309</v>
      </c>
      <c r="O309" s="1758">
        <v>41600000</v>
      </c>
      <c r="P309" s="1754">
        <v>267</v>
      </c>
      <c r="Q309" s="688"/>
      <c r="R309" s="507"/>
      <c r="S309" s="507"/>
      <c r="T309" s="507">
        <v>6240000</v>
      </c>
      <c r="U309" s="507">
        <v>5200000</v>
      </c>
      <c r="V309" s="507"/>
      <c r="W309" s="507">
        <f>5200000+5200000</f>
        <v>10400000</v>
      </c>
      <c r="X309" s="507">
        <v>5200000</v>
      </c>
      <c r="Y309" s="507">
        <v>5200000</v>
      </c>
      <c r="Z309" s="507"/>
      <c r="AA309" s="507"/>
      <c r="AB309" s="702"/>
      <c r="AC309" s="690">
        <f t="shared" si="125"/>
        <v>32240000</v>
      </c>
      <c r="AD309" s="689">
        <f t="shared" si="126"/>
        <v>9360000</v>
      </c>
      <c r="AF309" s="903">
        <v>304</v>
      </c>
      <c r="AG309" s="1362" t="s">
        <v>517</v>
      </c>
      <c r="AH309" s="1124" t="s">
        <v>807</v>
      </c>
      <c r="AI309" s="1113">
        <f t="shared" si="121"/>
        <v>267</v>
      </c>
      <c r="AJ309" s="904">
        <v>41600000</v>
      </c>
      <c r="AK309" s="906">
        <f t="shared" si="127"/>
        <v>0</v>
      </c>
      <c r="AL309" s="899"/>
      <c r="AM309" s="1604">
        <f t="shared" si="128"/>
        <v>0</v>
      </c>
    </row>
    <row r="310" spans="1:39" s="687" customFormat="1">
      <c r="A310" s="712" t="s">
        <v>87</v>
      </c>
      <c r="B310" s="516">
        <f t="shared" si="124"/>
        <v>41600000</v>
      </c>
      <c r="C310" s="713" t="s">
        <v>36</v>
      </c>
      <c r="D310" s="713" t="s">
        <v>867</v>
      </c>
      <c r="E310" s="713" t="s">
        <v>147</v>
      </c>
      <c r="F310" s="713" t="s">
        <v>88</v>
      </c>
      <c r="G310" s="2039" t="s">
        <v>80</v>
      </c>
      <c r="H310" s="2065" t="s">
        <v>1389</v>
      </c>
      <c r="I310" s="2046">
        <v>305</v>
      </c>
      <c r="J310" s="1749">
        <v>33</v>
      </c>
      <c r="K310" s="1750"/>
      <c r="L310" s="1751">
        <v>313</v>
      </c>
      <c r="M310" s="1758">
        <v>41600000</v>
      </c>
      <c r="N310" s="1757">
        <v>313</v>
      </c>
      <c r="O310" s="1758">
        <v>41600000</v>
      </c>
      <c r="P310" s="1754">
        <v>270</v>
      </c>
      <c r="Q310" s="688"/>
      <c r="R310" s="507"/>
      <c r="S310" s="507">
        <v>1040000</v>
      </c>
      <c r="T310" s="507">
        <v>5200000</v>
      </c>
      <c r="U310" s="507">
        <v>5200000</v>
      </c>
      <c r="V310" s="507">
        <v>5200000</v>
      </c>
      <c r="W310" s="507">
        <v>4333333</v>
      </c>
      <c r="X310" s="507">
        <v>6066667</v>
      </c>
      <c r="Y310" s="507">
        <v>5200000</v>
      </c>
      <c r="Z310" s="507"/>
      <c r="AA310" s="507"/>
      <c r="AB310" s="702"/>
      <c r="AC310" s="690">
        <f t="shared" si="125"/>
        <v>32240000</v>
      </c>
      <c r="AD310" s="689">
        <f t="shared" si="126"/>
        <v>9360000</v>
      </c>
      <c r="AF310" s="903">
        <v>305</v>
      </c>
      <c r="AG310" s="1362" t="s">
        <v>517</v>
      </c>
      <c r="AH310" s="1124" t="s">
        <v>808</v>
      </c>
      <c r="AI310" s="1113">
        <f t="shared" si="121"/>
        <v>270</v>
      </c>
      <c r="AJ310" s="904">
        <v>41600000</v>
      </c>
      <c r="AK310" s="906">
        <f t="shared" si="127"/>
        <v>0</v>
      </c>
      <c r="AL310" s="899"/>
      <c r="AM310" s="1604">
        <f t="shared" si="128"/>
        <v>0</v>
      </c>
    </row>
    <row r="311" spans="1:39" s="687" customFormat="1">
      <c r="A311" s="712" t="s">
        <v>87</v>
      </c>
      <c r="B311" s="516">
        <f t="shared" si="124"/>
        <v>36800000</v>
      </c>
      <c r="C311" s="713" t="s">
        <v>36</v>
      </c>
      <c r="D311" s="713" t="s">
        <v>867</v>
      </c>
      <c r="E311" s="713" t="s">
        <v>147</v>
      </c>
      <c r="F311" s="713" t="s">
        <v>88</v>
      </c>
      <c r="G311" s="2039" t="s">
        <v>80</v>
      </c>
      <c r="H311" s="2065" t="s">
        <v>1389</v>
      </c>
      <c r="I311" s="2046">
        <v>306</v>
      </c>
      <c r="J311" s="1749">
        <v>34</v>
      </c>
      <c r="K311" s="1750"/>
      <c r="L311" s="1751">
        <v>415</v>
      </c>
      <c r="M311" s="1758">
        <v>36800000</v>
      </c>
      <c r="N311" s="1757">
        <v>448</v>
      </c>
      <c r="O311" s="1853">
        <v>36800000</v>
      </c>
      <c r="P311" s="1754">
        <v>319</v>
      </c>
      <c r="Q311" s="688"/>
      <c r="R311" s="507"/>
      <c r="S311" s="507"/>
      <c r="T311" s="507"/>
      <c r="U311" s="507"/>
      <c r="V311" s="507">
        <v>4753333</v>
      </c>
      <c r="W311" s="507">
        <v>4600000</v>
      </c>
      <c r="X311" s="507">
        <v>4600000</v>
      </c>
      <c r="Y311" s="507">
        <v>3986667</v>
      </c>
      <c r="Z311" s="507"/>
      <c r="AA311" s="507"/>
      <c r="AB311" s="702"/>
      <c r="AC311" s="690">
        <f t="shared" si="125"/>
        <v>17940000</v>
      </c>
      <c r="AD311" s="689">
        <f t="shared" si="126"/>
        <v>18860000</v>
      </c>
      <c r="AF311" s="903">
        <v>306</v>
      </c>
      <c r="AG311" s="1362" t="s">
        <v>519</v>
      </c>
      <c r="AH311" s="1124" t="s">
        <v>968</v>
      </c>
      <c r="AI311" s="1113">
        <f t="shared" si="121"/>
        <v>319</v>
      </c>
      <c r="AJ311" s="904">
        <f>57000000-20200000</f>
        <v>36800000</v>
      </c>
      <c r="AK311" s="906">
        <f t="shared" si="127"/>
        <v>0</v>
      </c>
      <c r="AL311" s="899"/>
      <c r="AM311" s="1604">
        <f t="shared" si="128"/>
        <v>0</v>
      </c>
    </row>
    <row r="312" spans="1:39" s="687" customFormat="1">
      <c r="A312" s="712" t="s">
        <v>87</v>
      </c>
      <c r="B312" s="516">
        <f t="shared" si="124"/>
        <v>66000000</v>
      </c>
      <c r="C312" s="713" t="s">
        <v>36</v>
      </c>
      <c r="D312" s="713" t="s">
        <v>867</v>
      </c>
      <c r="E312" s="713" t="s">
        <v>147</v>
      </c>
      <c r="F312" s="713" t="s">
        <v>88</v>
      </c>
      <c r="G312" s="2039" t="s">
        <v>80</v>
      </c>
      <c r="H312" s="2065" t="s">
        <v>1389</v>
      </c>
      <c r="I312" s="2046">
        <v>307</v>
      </c>
      <c r="J312" s="1749">
        <v>35</v>
      </c>
      <c r="K312" s="1750"/>
      <c r="L312" s="1751">
        <v>36</v>
      </c>
      <c r="M312" s="1758">
        <v>66000000</v>
      </c>
      <c r="N312" s="1692">
        <v>16</v>
      </c>
      <c r="O312" s="1703">
        <v>66000000</v>
      </c>
      <c r="P312" s="1754">
        <v>21</v>
      </c>
      <c r="Q312" s="688"/>
      <c r="R312" s="507">
        <v>3080000</v>
      </c>
      <c r="S312" s="507">
        <f>VLOOKUP(N312,[9]Hoja2!N$2:T$77,7,0)</f>
        <v>6600000</v>
      </c>
      <c r="T312" s="507">
        <v>6600000</v>
      </c>
      <c r="U312" s="507">
        <v>6600000</v>
      </c>
      <c r="V312" s="507">
        <v>6600000</v>
      </c>
      <c r="W312" s="507">
        <v>6600000</v>
      </c>
      <c r="X312" s="507">
        <v>6600000</v>
      </c>
      <c r="Y312" s="507">
        <v>6600000</v>
      </c>
      <c r="Z312" s="507"/>
      <c r="AA312" s="507"/>
      <c r="AB312" s="702"/>
      <c r="AC312" s="690">
        <f t="shared" si="125"/>
        <v>49280000</v>
      </c>
      <c r="AD312" s="689">
        <f t="shared" si="126"/>
        <v>16720000</v>
      </c>
      <c r="AF312" s="903">
        <v>307</v>
      </c>
      <c r="AG312" s="1362" t="s">
        <v>221</v>
      </c>
      <c r="AH312" s="1124" t="s">
        <v>577</v>
      </c>
      <c r="AI312" s="1113">
        <f t="shared" si="121"/>
        <v>21</v>
      </c>
      <c r="AJ312" s="904">
        <v>66000000</v>
      </c>
      <c r="AK312" s="906">
        <f t="shared" si="127"/>
        <v>0</v>
      </c>
      <c r="AL312" s="899"/>
      <c r="AM312" s="1604">
        <f t="shared" si="128"/>
        <v>0</v>
      </c>
    </row>
    <row r="313" spans="1:39" s="687" customFormat="1">
      <c r="A313" s="712" t="s">
        <v>87</v>
      </c>
      <c r="B313" s="516">
        <f t="shared" si="124"/>
        <v>52800000</v>
      </c>
      <c r="C313" s="713" t="s">
        <v>36</v>
      </c>
      <c r="D313" s="713" t="s">
        <v>867</v>
      </c>
      <c r="E313" s="713" t="s">
        <v>147</v>
      </c>
      <c r="F313" s="713" t="s">
        <v>88</v>
      </c>
      <c r="G313" s="2039" t="s">
        <v>80</v>
      </c>
      <c r="H313" s="2065" t="s">
        <v>1389</v>
      </c>
      <c r="I313" s="2046">
        <v>308</v>
      </c>
      <c r="J313" s="1749">
        <v>36</v>
      </c>
      <c r="K313" s="1750"/>
      <c r="L313" s="1751">
        <v>132</v>
      </c>
      <c r="M313" s="1758">
        <v>52800000</v>
      </c>
      <c r="N313" s="1692">
        <v>121</v>
      </c>
      <c r="O313" s="1703">
        <v>52800000</v>
      </c>
      <c r="P313" s="1754">
        <v>124</v>
      </c>
      <c r="Q313" s="688"/>
      <c r="R313" s="507">
        <v>1760000</v>
      </c>
      <c r="S313" s="507">
        <f>VLOOKUP(N313,[9]Hoja2!N$2:T$77,7,0)</f>
        <v>6600000</v>
      </c>
      <c r="T313" s="507">
        <v>6600000</v>
      </c>
      <c r="U313" s="507">
        <v>6600000</v>
      </c>
      <c r="V313" s="507">
        <v>6600000</v>
      </c>
      <c r="W313" s="507">
        <v>6600000</v>
      </c>
      <c r="X313" s="507">
        <v>6600000</v>
      </c>
      <c r="Y313" s="507">
        <v>6600000</v>
      </c>
      <c r="Z313" s="507"/>
      <c r="AA313" s="507"/>
      <c r="AB313" s="702"/>
      <c r="AC313" s="690">
        <f t="shared" si="125"/>
        <v>47960000</v>
      </c>
      <c r="AD313" s="689">
        <f t="shared" si="126"/>
        <v>4840000</v>
      </c>
      <c r="AF313" s="903">
        <v>308</v>
      </c>
      <c r="AG313" s="1362" t="s">
        <v>221</v>
      </c>
      <c r="AH313" s="1124" t="s">
        <v>578</v>
      </c>
      <c r="AI313" s="1113">
        <f t="shared" si="121"/>
        <v>124</v>
      </c>
      <c r="AJ313" s="904">
        <v>52800000</v>
      </c>
      <c r="AK313" s="906">
        <f t="shared" si="127"/>
        <v>0</v>
      </c>
      <c r="AL313" s="899"/>
      <c r="AM313" s="1604">
        <f t="shared" si="128"/>
        <v>0</v>
      </c>
    </row>
    <row r="314" spans="1:39" s="687" customFormat="1">
      <c r="A314" s="712" t="s">
        <v>87</v>
      </c>
      <c r="B314" s="516">
        <f>M314</f>
        <v>21560000</v>
      </c>
      <c r="C314" s="713" t="s">
        <v>36</v>
      </c>
      <c r="D314" s="713" t="s">
        <v>867</v>
      </c>
      <c r="E314" s="713" t="s">
        <v>191</v>
      </c>
      <c r="F314" s="713" t="s">
        <v>88</v>
      </c>
      <c r="G314" s="2039" t="s">
        <v>80</v>
      </c>
      <c r="H314" s="2065" t="s">
        <v>1389</v>
      </c>
      <c r="I314" s="2046" t="s">
        <v>178</v>
      </c>
      <c r="J314" s="1749"/>
      <c r="K314" s="1750">
        <v>21560000</v>
      </c>
      <c r="L314" s="1751">
        <v>703</v>
      </c>
      <c r="M314" s="1750">
        <v>21560000</v>
      </c>
      <c r="N314" s="1757">
        <v>845</v>
      </c>
      <c r="O314" s="1853">
        <v>21560000</v>
      </c>
      <c r="P314" s="1754">
        <v>124</v>
      </c>
      <c r="Q314" s="688"/>
      <c r="R314" s="507"/>
      <c r="S314" s="507"/>
      <c r="T314" s="507"/>
      <c r="U314" s="507"/>
      <c r="V314" s="507"/>
      <c r="W314" s="507"/>
      <c r="X314" s="507"/>
      <c r="Y314" s="507"/>
      <c r="Z314" s="507"/>
      <c r="AA314" s="507"/>
      <c r="AB314" s="702"/>
      <c r="AC314" s="690">
        <f>SUM(Q314:AB314)</f>
        <v>0</v>
      </c>
      <c r="AD314" s="689">
        <f t="shared" si="126"/>
        <v>21560000</v>
      </c>
      <c r="AF314" s="903" t="s">
        <v>1320</v>
      </c>
      <c r="AG314" s="1362" t="s">
        <v>1334</v>
      </c>
      <c r="AH314" s="1124" t="s">
        <v>578</v>
      </c>
      <c r="AI314" s="1113">
        <f>P314</f>
        <v>124</v>
      </c>
      <c r="AJ314" s="904">
        <v>21560000</v>
      </c>
      <c r="AK314" s="906">
        <f t="shared" si="127"/>
        <v>0</v>
      </c>
      <c r="AL314" s="899"/>
      <c r="AM314" s="1604">
        <f t="shared" si="128"/>
        <v>0</v>
      </c>
    </row>
    <row r="315" spans="1:39" s="687" customFormat="1">
      <c r="A315" s="712" t="s">
        <v>87</v>
      </c>
      <c r="B315" s="516">
        <f t="shared" si="124"/>
        <v>38720000</v>
      </c>
      <c r="C315" s="713" t="s">
        <v>36</v>
      </c>
      <c r="D315" s="713" t="s">
        <v>867</v>
      </c>
      <c r="E315" s="713" t="s">
        <v>147</v>
      </c>
      <c r="F315" s="713" t="s">
        <v>88</v>
      </c>
      <c r="G315" s="2039" t="s">
        <v>80</v>
      </c>
      <c r="H315" s="2065" t="s">
        <v>1389</v>
      </c>
      <c r="I315" s="2046">
        <v>309</v>
      </c>
      <c r="J315" s="1749">
        <v>37</v>
      </c>
      <c r="K315" s="1750"/>
      <c r="L315" s="1751">
        <v>133</v>
      </c>
      <c r="M315" s="1758">
        <v>38720000</v>
      </c>
      <c r="N315" s="1692">
        <v>126</v>
      </c>
      <c r="O315" s="1703">
        <v>38720000</v>
      </c>
      <c r="P315" s="1754">
        <v>128</v>
      </c>
      <c r="Q315" s="688"/>
      <c r="R315" s="507">
        <v>1452000</v>
      </c>
      <c r="S315" s="507">
        <f>VLOOKUP(N315,[9]Hoja2!N$2:T$77,7,0)</f>
        <v>4840000</v>
      </c>
      <c r="T315" s="507">
        <v>4840000</v>
      </c>
      <c r="U315" s="507">
        <v>4840000</v>
      </c>
      <c r="V315" s="507">
        <v>4840000</v>
      </c>
      <c r="W315" s="507">
        <v>4840000</v>
      </c>
      <c r="X315" s="507">
        <v>4840000</v>
      </c>
      <c r="Y315" s="507">
        <v>4840000</v>
      </c>
      <c r="Z315" s="507"/>
      <c r="AA315" s="507"/>
      <c r="AB315" s="702"/>
      <c r="AC315" s="690">
        <f t="shared" si="125"/>
        <v>35332000</v>
      </c>
      <c r="AD315" s="689">
        <f t="shared" si="126"/>
        <v>3388000</v>
      </c>
      <c r="AF315" s="903">
        <v>309</v>
      </c>
      <c r="AG315" s="1362" t="s">
        <v>222</v>
      </c>
      <c r="AH315" s="1124" t="s">
        <v>579</v>
      </c>
      <c r="AI315" s="1113">
        <f t="shared" si="121"/>
        <v>128</v>
      </c>
      <c r="AJ315" s="904">
        <v>38720000</v>
      </c>
      <c r="AK315" s="906">
        <f t="shared" si="127"/>
        <v>0</v>
      </c>
      <c r="AL315" s="899"/>
      <c r="AM315" s="1604">
        <f t="shared" si="128"/>
        <v>0</v>
      </c>
    </row>
    <row r="316" spans="1:39" s="687" customFormat="1">
      <c r="A316" s="712" t="s">
        <v>87</v>
      </c>
      <c r="B316" s="516">
        <f>M316</f>
        <v>15972000</v>
      </c>
      <c r="C316" s="713" t="s">
        <v>36</v>
      </c>
      <c r="D316" s="713" t="s">
        <v>867</v>
      </c>
      <c r="E316" s="713" t="s">
        <v>191</v>
      </c>
      <c r="F316" s="713" t="s">
        <v>88</v>
      </c>
      <c r="G316" s="2039" t="s">
        <v>80</v>
      </c>
      <c r="H316" s="2065" t="s">
        <v>1389</v>
      </c>
      <c r="I316" s="2046" t="s">
        <v>178</v>
      </c>
      <c r="J316" s="1749"/>
      <c r="K316" s="1750">
        <v>15972000</v>
      </c>
      <c r="L316" s="1751">
        <v>704</v>
      </c>
      <c r="M316" s="1750">
        <v>15972000</v>
      </c>
      <c r="N316" s="1757"/>
      <c r="O316" s="1853"/>
      <c r="P316" s="1754">
        <v>128</v>
      </c>
      <c r="Q316" s="688"/>
      <c r="R316" s="507"/>
      <c r="S316" s="507"/>
      <c r="T316" s="507"/>
      <c r="U316" s="507"/>
      <c r="V316" s="507"/>
      <c r="W316" s="507"/>
      <c r="X316" s="507"/>
      <c r="Y316" s="507"/>
      <c r="Z316" s="507"/>
      <c r="AA316" s="507"/>
      <c r="AB316" s="702"/>
      <c r="AC316" s="690">
        <f>SUM(Q316:AB316)</f>
        <v>0</v>
      </c>
      <c r="AD316" s="689">
        <f t="shared" si="126"/>
        <v>0</v>
      </c>
      <c r="AF316" s="903" t="s">
        <v>1320</v>
      </c>
      <c r="AG316" s="1362" t="s">
        <v>1335</v>
      </c>
      <c r="AH316" s="1124" t="s">
        <v>579</v>
      </c>
      <c r="AI316" s="1113">
        <f>P316</f>
        <v>128</v>
      </c>
      <c r="AJ316" s="904">
        <v>15972000</v>
      </c>
      <c r="AK316" s="906">
        <f t="shared" si="127"/>
        <v>15972000</v>
      </c>
      <c r="AL316" s="899"/>
      <c r="AM316" s="1604">
        <f t="shared" si="128"/>
        <v>0</v>
      </c>
    </row>
    <row r="317" spans="1:39" s="687" customFormat="1">
      <c r="A317" s="712" t="s">
        <v>87</v>
      </c>
      <c r="B317" s="516">
        <f t="shared" si="124"/>
        <v>35200000</v>
      </c>
      <c r="C317" s="713" t="s">
        <v>36</v>
      </c>
      <c r="D317" s="713" t="s">
        <v>867</v>
      </c>
      <c r="E317" s="713" t="s">
        <v>147</v>
      </c>
      <c r="F317" s="713" t="s">
        <v>88</v>
      </c>
      <c r="G317" s="2039" t="s">
        <v>80</v>
      </c>
      <c r="H317" s="2065" t="s">
        <v>1389</v>
      </c>
      <c r="I317" s="2046">
        <v>310</v>
      </c>
      <c r="J317" s="1749">
        <v>38</v>
      </c>
      <c r="K317" s="1750"/>
      <c r="L317" s="1751">
        <v>375</v>
      </c>
      <c r="M317" s="1758">
        <v>35200000</v>
      </c>
      <c r="N317" s="1757">
        <v>398</v>
      </c>
      <c r="O317" s="1853">
        <v>35200000</v>
      </c>
      <c r="P317" s="1754">
        <v>301</v>
      </c>
      <c r="Q317" s="688"/>
      <c r="R317" s="507"/>
      <c r="S317" s="507"/>
      <c r="T317" s="507"/>
      <c r="U317" s="507">
        <v>5133333</v>
      </c>
      <c r="V317" s="507">
        <v>4400000</v>
      </c>
      <c r="W317" s="507">
        <v>4400000</v>
      </c>
      <c r="X317" s="507">
        <v>4400000</v>
      </c>
      <c r="Y317" s="507">
        <v>4400000</v>
      </c>
      <c r="Z317" s="507"/>
      <c r="AA317" s="507"/>
      <c r="AB317" s="702"/>
      <c r="AC317" s="690">
        <f t="shared" si="125"/>
        <v>22733333</v>
      </c>
      <c r="AD317" s="689">
        <f t="shared" si="126"/>
        <v>12466667</v>
      </c>
      <c r="AF317" s="903">
        <v>310</v>
      </c>
      <c r="AG317" s="1362" t="s">
        <v>220</v>
      </c>
      <c r="AH317" s="1124" t="s">
        <v>853</v>
      </c>
      <c r="AI317" s="1113">
        <f t="shared" si="121"/>
        <v>301</v>
      </c>
      <c r="AJ317" s="904">
        <f>51810000-16610000</f>
        <v>35200000</v>
      </c>
      <c r="AK317" s="906">
        <f t="shared" si="127"/>
        <v>0</v>
      </c>
      <c r="AL317" s="899"/>
      <c r="AM317" s="1604">
        <f t="shared" si="128"/>
        <v>0</v>
      </c>
    </row>
    <row r="318" spans="1:39" s="687" customFormat="1">
      <c r="A318" s="712" t="s">
        <v>87</v>
      </c>
      <c r="B318" s="516">
        <f t="shared" si="124"/>
        <v>21600000</v>
      </c>
      <c r="C318" s="713" t="s">
        <v>36</v>
      </c>
      <c r="D318" s="713" t="s">
        <v>867</v>
      </c>
      <c r="E318" s="713" t="s">
        <v>183</v>
      </c>
      <c r="F318" s="713" t="s">
        <v>88</v>
      </c>
      <c r="G318" s="2039" t="s">
        <v>80</v>
      </c>
      <c r="H318" s="2065" t="s">
        <v>1389</v>
      </c>
      <c r="I318" s="2046">
        <v>521</v>
      </c>
      <c r="J318" s="1749"/>
      <c r="K318" s="1750"/>
      <c r="L318" s="1751" t="s">
        <v>1166</v>
      </c>
      <c r="M318" s="1758">
        <f>29250000-29250000+21600000</f>
        <v>21600000</v>
      </c>
      <c r="N318" s="1757">
        <v>727</v>
      </c>
      <c r="O318" s="1853">
        <v>21600000</v>
      </c>
      <c r="P318" s="1754">
        <v>432</v>
      </c>
      <c r="Q318" s="688"/>
      <c r="R318" s="507"/>
      <c r="S318" s="507"/>
      <c r="T318" s="507"/>
      <c r="U318" s="507"/>
      <c r="V318" s="507"/>
      <c r="W318" s="507"/>
      <c r="X318" s="507"/>
      <c r="Y318" s="507">
        <v>4960000</v>
      </c>
      <c r="Z318" s="507"/>
      <c r="AA318" s="507"/>
      <c r="AB318" s="702"/>
      <c r="AC318" s="690">
        <f t="shared" si="125"/>
        <v>4960000</v>
      </c>
      <c r="AD318" s="689">
        <f t="shared" si="126"/>
        <v>16640000</v>
      </c>
      <c r="AF318" s="903">
        <v>521</v>
      </c>
      <c r="AG318" s="1362" t="s">
        <v>218</v>
      </c>
      <c r="AH318" s="1124" t="s">
        <v>1227</v>
      </c>
      <c r="AI318" s="1113">
        <f t="shared" si="121"/>
        <v>432</v>
      </c>
      <c r="AJ318" s="904">
        <f>31500000</f>
        <v>31500000</v>
      </c>
      <c r="AK318" s="906">
        <f t="shared" si="127"/>
        <v>9900000</v>
      </c>
      <c r="AL318" s="899"/>
      <c r="AM318" s="1604">
        <f t="shared" si="128"/>
        <v>9900000</v>
      </c>
    </row>
    <row r="319" spans="1:39" s="687" customFormat="1">
      <c r="A319" s="712" t="s">
        <v>87</v>
      </c>
      <c r="B319" s="516">
        <f t="shared" si="124"/>
        <v>22500000</v>
      </c>
      <c r="C319" s="713" t="s">
        <v>36</v>
      </c>
      <c r="D319" s="713" t="s">
        <v>867</v>
      </c>
      <c r="E319" s="713" t="s">
        <v>184</v>
      </c>
      <c r="F319" s="713" t="s">
        <v>88</v>
      </c>
      <c r="G319" s="2039" t="s">
        <v>80</v>
      </c>
      <c r="H319" s="2065" t="s">
        <v>1389</v>
      </c>
      <c r="I319" s="2046">
        <v>522</v>
      </c>
      <c r="J319" s="1749"/>
      <c r="K319" s="1750"/>
      <c r="L319" s="1751">
        <v>541</v>
      </c>
      <c r="M319" s="1758">
        <v>22500000</v>
      </c>
      <c r="N319" s="1757">
        <v>612</v>
      </c>
      <c r="O319" s="1853">
        <v>22500000</v>
      </c>
      <c r="P319" s="1754">
        <v>379</v>
      </c>
      <c r="Q319" s="688"/>
      <c r="R319" s="507"/>
      <c r="S319" s="507"/>
      <c r="T319" s="507"/>
      <c r="U319" s="507"/>
      <c r="V319" s="507"/>
      <c r="W319" s="507">
        <v>2550000</v>
      </c>
      <c r="X319" s="507">
        <v>4500000</v>
      </c>
      <c r="Y319" s="507">
        <v>4500000</v>
      </c>
      <c r="Z319" s="507"/>
      <c r="AA319" s="507"/>
      <c r="AB319" s="702"/>
      <c r="AC319" s="690">
        <f t="shared" si="125"/>
        <v>11550000</v>
      </c>
      <c r="AD319" s="689">
        <f t="shared" si="126"/>
        <v>10950000</v>
      </c>
      <c r="AF319" s="903">
        <v>522</v>
      </c>
      <c r="AG319" s="1362" t="s">
        <v>982</v>
      </c>
      <c r="AH319" s="1124" t="s">
        <v>1137</v>
      </c>
      <c r="AI319" s="1113">
        <f t="shared" si="121"/>
        <v>379</v>
      </c>
      <c r="AJ319" s="904">
        <f>22500000</f>
        <v>22500000</v>
      </c>
      <c r="AK319" s="906">
        <f t="shared" si="127"/>
        <v>0</v>
      </c>
      <c r="AL319" s="899"/>
      <c r="AM319" s="1604">
        <f t="shared" si="128"/>
        <v>0</v>
      </c>
    </row>
    <row r="320" spans="1:39" s="687" customFormat="1">
      <c r="A320" s="712" t="s">
        <v>87</v>
      </c>
      <c r="B320" s="516">
        <f t="shared" si="124"/>
        <v>34800000</v>
      </c>
      <c r="C320" s="713" t="s">
        <v>36</v>
      </c>
      <c r="D320" s="713" t="s">
        <v>867</v>
      </c>
      <c r="E320" s="713" t="s">
        <v>188</v>
      </c>
      <c r="F320" s="713" t="s">
        <v>88</v>
      </c>
      <c r="G320" s="2039" t="s">
        <v>80</v>
      </c>
      <c r="H320" s="2065" t="s">
        <v>1389</v>
      </c>
      <c r="I320" s="2046">
        <v>538</v>
      </c>
      <c r="J320" s="1749"/>
      <c r="K320" s="1750"/>
      <c r="L320" s="1751">
        <v>564</v>
      </c>
      <c r="M320" s="1758">
        <v>34800000</v>
      </c>
      <c r="N320" s="1757">
        <v>642</v>
      </c>
      <c r="O320" s="1853">
        <v>34800000</v>
      </c>
      <c r="P320" s="1754">
        <v>389</v>
      </c>
      <c r="Q320" s="688"/>
      <c r="R320" s="507"/>
      <c r="S320" s="507"/>
      <c r="T320" s="507"/>
      <c r="U320" s="507"/>
      <c r="V320" s="507"/>
      <c r="W320" s="507">
        <v>966667</v>
      </c>
      <c r="X320" s="507">
        <v>5800000</v>
      </c>
      <c r="Y320" s="507">
        <v>5800000</v>
      </c>
      <c r="Z320" s="507"/>
      <c r="AA320" s="507"/>
      <c r="AB320" s="702"/>
      <c r="AC320" s="690">
        <f t="shared" si="125"/>
        <v>12566667</v>
      </c>
      <c r="AD320" s="689">
        <f t="shared" si="126"/>
        <v>22233333</v>
      </c>
      <c r="AF320" s="903">
        <v>538</v>
      </c>
      <c r="AG320" s="1362" t="s">
        <v>1124</v>
      </c>
      <c r="AH320" s="1124" t="s">
        <v>1160</v>
      </c>
      <c r="AI320" s="1113">
        <f t="shared" si="121"/>
        <v>389</v>
      </c>
      <c r="AJ320" s="904">
        <v>37700000</v>
      </c>
      <c r="AK320" s="906">
        <f t="shared" si="127"/>
        <v>2900000</v>
      </c>
      <c r="AL320" s="899"/>
      <c r="AM320" s="1604">
        <f t="shared" si="128"/>
        <v>2900000</v>
      </c>
    </row>
    <row r="321" spans="1:39" s="687" customFormat="1">
      <c r="A321" s="712" t="s">
        <v>87</v>
      </c>
      <c r="B321" s="516">
        <f t="shared" si="124"/>
        <v>23121000</v>
      </c>
      <c r="C321" s="713" t="s">
        <v>36</v>
      </c>
      <c r="D321" s="713" t="s">
        <v>867</v>
      </c>
      <c r="E321" s="713" t="s">
        <v>189</v>
      </c>
      <c r="F321" s="713" t="s">
        <v>88</v>
      </c>
      <c r="G321" s="2039" t="s">
        <v>80</v>
      </c>
      <c r="H321" s="2065" t="s">
        <v>1389</v>
      </c>
      <c r="I321" s="2046">
        <v>584</v>
      </c>
      <c r="J321" s="1749">
        <v>598</v>
      </c>
      <c r="K321" s="1750">
        <v>23121000</v>
      </c>
      <c r="L321" s="1751">
        <v>682</v>
      </c>
      <c r="M321" s="1750">
        <v>23121000</v>
      </c>
      <c r="N321" s="1757">
        <v>856</v>
      </c>
      <c r="O321" s="1853">
        <v>22020000</v>
      </c>
      <c r="P321" s="1754">
        <v>464</v>
      </c>
      <c r="Q321" s="688"/>
      <c r="R321" s="507"/>
      <c r="S321" s="507"/>
      <c r="T321" s="507"/>
      <c r="U321" s="507"/>
      <c r="V321" s="507"/>
      <c r="W321" s="507"/>
      <c r="X321" s="507"/>
      <c r="Y321" s="507"/>
      <c r="Z321" s="507"/>
      <c r="AA321" s="507"/>
      <c r="AB321" s="702"/>
      <c r="AC321" s="690">
        <f t="shared" ref="AC321:AC322" si="129">SUM(Q321:AB321)</f>
        <v>0</v>
      </c>
      <c r="AD321" s="689">
        <f t="shared" si="126"/>
        <v>22020000</v>
      </c>
      <c r="AF321" s="903">
        <v>584</v>
      </c>
      <c r="AG321" s="1362" t="s">
        <v>1310</v>
      </c>
      <c r="AH321" s="1422" t="s">
        <v>804</v>
      </c>
      <c r="AI321" s="1113">
        <f t="shared" si="121"/>
        <v>464</v>
      </c>
      <c r="AJ321" s="904">
        <v>23121000</v>
      </c>
      <c r="AK321" s="906">
        <f t="shared" si="127"/>
        <v>1101000</v>
      </c>
      <c r="AL321" s="899"/>
      <c r="AM321" s="1604">
        <f t="shared" si="128"/>
        <v>0</v>
      </c>
    </row>
    <row r="322" spans="1:39" s="687" customFormat="1">
      <c r="A322" s="712" t="s">
        <v>87</v>
      </c>
      <c r="B322" s="516">
        <f t="shared" si="124"/>
        <v>10800000</v>
      </c>
      <c r="C322" s="713" t="s">
        <v>36</v>
      </c>
      <c r="D322" s="713" t="s">
        <v>867</v>
      </c>
      <c r="E322" s="713" t="s">
        <v>190</v>
      </c>
      <c r="F322" s="713" t="s">
        <v>88</v>
      </c>
      <c r="G322" s="2039" t="s">
        <v>80</v>
      </c>
      <c r="H322" s="2065" t="s">
        <v>1389</v>
      </c>
      <c r="I322" s="2046">
        <v>585</v>
      </c>
      <c r="J322" s="1749">
        <v>632</v>
      </c>
      <c r="K322" s="1750">
        <v>10800000</v>
      </c>
      <c r="L322" s="1751">
        <v>718</v>
      </c>
      <c r="M322" s="1758">
        <v>10800000</v>
      </c>
      <c r="N322" s="1757"/>
      <c r="O322" s="1853"/>
      <c r="P322" s="1754"/>
      <c r="Q322" s="688"/>
      <c r="R322" s="507"/>
      <c r="S322" s="507"/>
      <c r="T322" s="507"/>
      <c r="U322" s="507"/>
      <c r="V322" s="507"/>
      <c r="W322" s="507"/>
      <c r="X322" s="507"/>
      <c r="Y322" s="507"/>
      <c r="Z322" s="507"/>
      <c r="AA322" s="507"/>
      <c r="AB322" s="702"/>
      <c r="AC322" s="690">
        <f t="shared" si="129"/>
        <v>0</v>
      </c>
      <c r="AD322" s="689">
        <f t="shared" si="126"/>
        <v>0</v>
      </c>
      <c r="AF322" s="903">
        <v>585</v>
      </c>
      <c r="AG322" s="1362" t="s">
        <v>1311</v>
      </c>
      <c r="AH322" s="1124"/>
      <c r="AI322" s="1113">
        <f t="shared" si="121"/>
        <v>0</v>
      </c>
      <c r="AJ322" s="904">
        <v>12600000</v>
      </c>
      <c r="AK322" s="906">
        <f t="shared" si="127"/>
        <v>12600000</v>
      </c>
      <c r="AL322" s="899"/>
      <c r="AM322" s="1604">
        <f t="shared" si="128"/>
        <v>1800000</v>
      </c>
    </row>
    <row r="323" spans="1:39" s="687" customFormat="1">
      <c r="A323" s="712" t="s">
        <v>87</v>
      </c>
      <c r="B323" s="516">
        <f>M323</f>
        <v>0</v>
      </c>
      <c r="C323" s="713" t="s">
        <v>36</v>
      </c>
      <c r="D323" s="713" t="s">
        <v>867</v>
      </c>
      <c r="E323" s="713" t="s">
        <v>191</v>
      </c>
      <c r="F323" s="713" t="s">
        <v>88</v>
      </c>
      <c r="G323" s="2039" t="s">
        <v>80</v>
      </c>
      <c r="H323" s="2065" t="s">
        <v>1389</v>
      </c>
      <c r="I323" s="2046">
        <v>586</v>
      </c>
      <c r="J323" s="1749"/>
      <c r="K323" s="1750"/>
      <c r="L323" s="1751"/>
      <c r="M323" s="1758"/>
      <c r="N323" s="1757"/>
      <c r="O323" s="1853"/>
      <c r="P323" s="1754"/>
      <c r="Q323" s="688"/>
      <c r="R323" s="507"/>
      <c r="S323" s="507"/>
      <c r="T323" s="507"/>
      <c r="U323" s="507"/>
      <c r="V323" s="507"/>
      <c r="W323" s="507"/>
      <c r="X323" s="507"/>
      <c r="Y323" s="507"/>
      <c r="Z323" s="507"/>
      <c r="AA323" s="507"/>
      <c r="AB323" s="702"/>
      <c r="AC323" s="690">
        <f>SUM(Q323:AB323)</f>
        <v>0</v>
      </c>
      <c r="AD323" s="689">
        <f t="shared" si="126"/>
        <v>0</v>
      </c>
      <c r="AF323" s="903">
        <v>586</v>
      </c>
      <c r="AG323" s="1362" t="s">
        <v>1312</v>
      </c>
      <c r="AH323" s="1124"/>
      <c r="AI323" s="1113">
        <f>P323</f>
        <v>0</v>
      </c>
      <c r="AJ323" s="904">
        <v>28000000</v>
      </c>
      <c r="AK323" s="906">
        <f t="shared" si="127"/>
        <v>28000000</v>
      </c>
      <c r="AL323" s="899"/>
      <c r="AM323" s="1604">
        <f t="shared" si="128"/>
        <v>28000000</v>
      </c>
    </row>
    <row r="324" spans="1:39" s="687" customFormat="1">
      <c r="A324" s="712" t="s">
        <v>87</v>
      </c>
      <c r="B324" s="516">
        <f t="shared" si="124"/>
        <v>0</v>
      </c>
      <c r="C324" s="713" t="s">
        <v>36</v>
      </c>
      <c r="D324" s="713" t="s">
        <v>867</v>
      </c>
      <c r="E324" s="713" t="s">
        <v>192</v>
      </c>
      <c r="F324" s="713" t="s">
        <v>88</v>
      </c>
      <c r="G324" s="2039" t="s">
        <v>80</v>
      </c>
      <c r="H324" s="2065" t="s">
        <v>1389</v>
      </c>
      <c r="I324" s="2046" t="s">
        <v>178</v>
      </c>
      <c r="J324" s="1749"/>
      <c r="K324" s="1750"/>
      <c r="L324" s="1751"/>
      <c r="M324" s="1758"/>
      <c r="N324" s="1757"/>
      <c r="O324" s="1853"/>
      <c r="P324" s="1754"/>
      <c r="Q324" s="688"/>
      <c r="R324" s="507"/>
      <c r="S324" s="507"/>
      <c r="T324" s="507"/>
      <c r="U324" s="507"/>
      <c r="V324" s="507"/>
      <c r="W324" s="507"/>
      <c r="X324" s="507"/>
      <c r="Y324" s="507"/>
      <c r="Z324" s="507"/>
      <c r="AA324" s="507"/>
      <c r="AB324" s="702"/>
      <c r="AC324" s="690">
        <f t="shared" ref="AC324:AC325" si="130">SUM(Q324:AB324)</f>
        <v>0</v>
      </c>
      <c r="AD324" s="689">
        <f t="shared" si="126"/>
        <v>0</v>
      </c>
      <c r="AF324" s="903"/>
      <c r="AG324" s="1362"/>
      <c r="AH324" s="1124"/>
      <c r="AI324" s="1113">
        <f t="shared" si="121"/>
        <v>0</v>
      </c>
      <c r="AJ324" s="904"/>
      <c r="AK324" s="906">
        <f t="shared" si="127"/>
        <v>0</v>
      </c>
      <c r="AL324" s="899"/>
      <c r="AM324" s="1604">
        <f t="shared" si="128"/>
        <v>0</v>
      </c>
    </row>
    <row r="325" spans="1:39" s="687" customFormat="1">
      <c r="A325" s="712" t="s">
        <v>87</v>
      </c>
      <c r="B325" s="516">
        <f t="shared" si="124"/>
        <v>0</v>
      </c>
      <c r="C325" s="713" t="s">
        <v>36</v>
      </c>
      <c r="D325" s="713" t="s">
        <v>867</v>
      </c>
      <c r="E325" s="713" t="s">
        <v>147</v>
      </c>
      <c r="F325" s="713" t="s">
        <v>88</v>
      </c>
      <c r="G325" s="2039" t="s">
        <v>80</v>
      </c>
      <c r="H325" s="2065" t="s">
        <v>1389</v>
      </c>
      <c r="I325" s="2046" t="s">
        <v>349</v>
      </c>
      <c r="J325" s="1749"/>
      <c r="K325" s="1750"/>
      <c r="L325" s="1757"/>
      <c r="M325" s="1758"/>
      <c r="N325" s="1757"/>
      <c r="O325" s="1853"/>
      <c r="P325" s="1754"/>
      <c r="Q325" s="688"/>
      <c r="R325" s="507"/>
      <c r="S325" s="507"/>
      <c r="T325" s="507"/>
      <c r="U325" s="507"/>
      <c r="V325" s="507"/>
      <c r="W325" s="507"/>
      <c r="X325" s="507"/>
      <c r="Y325" s="507"/>
      <c r="Z325" s="507"/>
      <c r="AA325" s="507"/>
      <c r="AB325" s="702"/>
      <c r="AC325" s="690">
        <f t="shared" si="130"/>
        <v>0</v>
      </c>
      <c r="AD325" s="689">
        <f t="shared" si="126"/>
        <v>0</v>
      </c>
      <c r="AF325" s="903" t="s">
        <v>349</v>
      </c>
      <c r="AG325" s="1362" t="s">
        <v>520</v>
      </c>
      <c r="AH325" s="1124" t="s">
        <v>178</v>
      </c>
      <c r="AI325" s="1113">
        <f t="shared" si="121"/>
        <v>0</v>
      </c>
      <c r="AJ325" s="904">
        <f>2680000-2252501</f>
        <v>427499</v>
      </c>
      <c r="AK325" s="906">
        <f t="shared" si="127"/>
        <v>427499</v>
      </c>
      <c r="AL325" s="899"/>
      <c r="AM325" s="1604">
        <f t="shared" si="128"/>
        <v>427499</v>
      </c>
    </row>
    <row r="326" spans="1:39" s="656" customFormat="1" ht="15">
      <c r="A326" s="714" t="s">
        <v>81</v>
      </c>
      <c r="B326" s="14">
        <f>B262-SUM(B263:B325)</f>
        <v>45507499</v>
      </c>
      <c r="C326" s="56"/>
      <c r="D326" s="56"/>
      <c r="E326" s="56"/>
      <c r="F326" s="56"/>
      <c r="G326" s="2040"/>
      <c r="H326" s="2050"/>
      <c r="I326" s="1854"/>
      <c r="J326" s="1779"/>
      <c r="K326" s="1780"/>
      <c r="L326" s="1781"/>
      <c r="M326" s="1782">
        <f>SUM(M263:M325)</f>
        <v>2140461834</v>
      </c>
      <c r="N326" s="1688"/>
      <c r="O326" s="1782">
        <f>SUM(O263:O325)</f>
        <v>2111148830</v>
      </c>
      <c r="P326" s="1820"/>
      <c r="Q326" s="678">
        <f t="shared" ref="Q326:AD326" si="131">SUM(Q263:Q325)</f>
        <v>0</v>
      </c>
      <c r="R326" s="678">
        <f t="shared" si="131"/>
        <v>37649269</v>
      </c>
      <c r="S326" s="678">
        <f t="shared" si="131"/>
        <v>141246000</v>
      </c>
      <c r="T326" s="678">
        <f t="shared" si="131"/>
        <v>199617000</v>
      </c>
      <c r="U326" s="678">
        <f t="shared" si="131"/>
        <v>196704333</v>
      </c>
      <c r="V326" s="678">
        <f t="shared" si="131"/>
        <v>187733666</v>
      </c>
      <c r="W326" s="678">
        <f t="shared" si="131"/>
        <v>207607667</v>
      </c>
      <c r="X326" s="678">
        <f t="shared" si="131"/>
        <v>208539667</v>
      </c>
      <c r="Y326" s="678">
        <f t="shared" si="131"/>
        <v>217137667</v>
      </c>
      <c r="Z326" s="678">
        <f t="shared" si="131"/>
        <v>0</v>
      </c>
      <c r="AA326" s="678">
        <f t="shared" si="131"/>
        <v>0</v>
      </c>
      <c r="AB326" s="701">
        <f t="shared" si="131"/>
        <v>0</v>
      </c>
      <c r="AC326" s="700">
        <f t="shared" si="131"/>
        <v>1396235269</v>
      </c>
      <c r="AD326" s="678">
        <f t="shared" si="131"/>
        <v>714913561</v>
      </c>
      <c r="AF326" s="907"/>
      <c r="AG326" s="14"/>
      <c r="AH326" s="14"/>
      <c r="AI326" s="1117"/>
      <c r="AJ326" s="14">
        <f>SUM(AJ263:AJ325)</f>
        <v>2185969333</v>
      </c>
      <c r="AK326" s="182">
        <f>SUM(AK263:AK325)</f>
        <v>74820503</v>
      </c>
      <c r="AL326" s="899">
        <f>B262-AJ326</f>
        <v>0</v>
      </c>
    </row>
    <row r="327" spans="1:39" s="687" customFormat="1" ht="27.75" customHeight="1">
      <c r="A327" s="711" t="s">
        <v>86</v>
      </c>
      <c r="B327" s="817">
        <v>126000000</v>
      </c>
      <c r="C327" s="1356" t="s">
        <v>36</v>
      </c>
      <c r="D327" s="1356" t="s">
        <v>867</v>
      </c>
      <c r="E327" s="1356" t="s">
        <v>147</v>
      </c>
      <c r="F327" s="1356" t="s">
        <v>88</v>
      </c>
      <c r="G327" s="2041" t="s">
        <v>80</v>
      </c>
      <c r="H327" s="2064" t="s">
        <v>1389</v>
      </c>
      <c r="I327" s="1844"/>
      <c r="J327" s="1849">
        <v>0</v>
      </c>
      <c r="K327" s="1846"/>
      <c r="L327" s="1847"/>
      <c r="M327" s="1846"/>
      <c r="N327" s="1847"/>
      <c r="O327" s="1846"/>
      <c r="P327" s="1848"/>
      <c r="Q327" s="828"/>
      <c r="R327" s="824"/>
      <c r="S327" s="824"/>
      <c r="T327" s="824"/>
      <c r="U327" s="824"/>
      <c r="V327" s="824"/>
      <c r="W327" s="824"/>
      <c r="X327" s="824"/>
      <c r="Y327" s="824"/>
      <c r="Z327" s="824"/>
      <c r="AA327" s="824"/>
      <c r="AB327" s="826"/>
      <c r="AC327" s="828"/>
      <c r="AD327" s="826"/>
      <c r="AF327" s="1254"/>
      <c r="AG327" s="824"/>
      <c r="AH327" s="824"/>
      <c r="AI327" s="1385"/>
      <c r="AJ327" s="824"/>
      <c r="AK327" s="826"/>
      <c r="AL327" s="899"/>
      <c r="AM327" s="1603"/>
    </row>
    <row r="328" spans="1:39" s="687" customFormat="1">
      <c r="A328" s="712" t="s">
        <v>86</v>
      </c>
      <c r="B328" s="516">
        <f>M328</f>
        <v>55600000</v>
      </c>
      <c r="C328" s="713" t="s">
        <v>36</v>
      </c>
      <c r="D328" s="713" t="s">
        <v>867</v>
      </c>
      <c r="E328" s="713" t="s">
        <v>147</v>
      </c>
      <c r="F328" s="713" t="s">
        <v>88</v>
      </c>
      <c r="G328" s="1625" t="s">
        <v>80</v>
      </c>
      <c r="H328" s="2065" t="s">
        <v>1389</v>
      </c>
      <c r="I328" s="2046">
        <v>393</v>
      </c>
      <c r="J328" s="1855">
        <v>0</v>
      </c>
      <c r="K328" s="1856"/>
      <c r="L328" s="1751">
        <v>214</v>
      </c>
      <c r="M328" s="1758">
        <v>55600000</v>
      </c>
      <c r="N328" s="1692">
        <v>235</v>
      </c>
      <c r="O328" s="1703">
        <v>55600000</v>
      </c>
      <c r="P328" s="1857">
        <v>218</v>
      </c>
      <c r="Q328" s="839"/>
      <c r="R328" s="195"/>
      <c r="S328" s="195">
        <v>4448000</v>
      </c>
      <c r="T328" s="507">
        <v>5560000</v>
      </c>
      <c r="U328" s="507">
        <v>5560000</v>
      </c>
      <c r="V328" s="507">
        <v>5560000</v>
      </c>
      <c r="W328" s="507">
        <v>5560000</v>
      </c>
      <c r="X328" s="507">
        <v>5560000</v>
      </c>
      <c r="Y328" s="507">
        <v>5560000</v>
      </c>
      <c r="Z328" s="195"/>
      <c r="AA328" s="195"/>
      <c r="AB328" s="840"/>
      <c r="AC328" s="690">
        <f>SUM(Q328:AB328)</f>
        <v>37808000</v>
      </c>
      <c r="AD328" s="689">
        <f>O328-AC328</f>
        <v>17792000</v>
      </c>
      <c r="AF328" s="903">
        <v>393</v>
      </c>
      <c r="AG328" s="1362" t="s">
        <v>185</v>
      </c>
      <c r="AH328" s="1124" t="s">
        <v>769</v>
      </c>
      <c r="AI328" s="1113">
        <f>P328</f>
        <v>218</v>
      </c>
      <c r="AJ328" s="904">
        <v>55600000</v>
      </c>
      <c r="AK328" s="906">
        <f>AJ328-O328</f>
        <v>0</v>
      </c>
      <c r="AL328" s="899"/>
      <c r="AM328" s="1604">
        <f>AJ328-M328</f>
        <v>0</v>
      </c>
    </row>
    <row r="329" spans="1:39" s="687" customFormat="1">
      <c r="A329" s="712" t="s">
        <v>86</v>
      </c>
      <c r="B329" s="516">
        <f>M329</f>
        <v>66400000</v>
      </c>
      <c r="C329" s="713" t="s">
        <v>36</v>
      </c>
      <c r="D329" s="713" t="s">
        <v>867</v>
      </c>
      <c r="E329" s="713" t="s">
        <v>147</v>
      </c>
      <c r="F329" s="713" t="s">
        <v>88</v>
      </c>
      <c r="G329" s="1625" t="s">
        <v>80</v>
      </c>
      <c r="H329" s="2066" t="s">
        <v>1389</v>
      </c>
      <c r="I329" s="2049">
        <v>394</v>
      </c>
      <c r="J329" s="1858">
        <v>0</v>
      </c>
      <c r="K329" s="1858"/>
      <c r="L329" s="1751">
        <v>123</v>
      </c>
      <c r="M329" s="1758">
        <v>66400000</v>
      </c>
      <c r="N329" s="1692">
        <v>75</v>
      </c>
      <c r="O329" s="1703">
        <v>66400000</v>
      </c>
      <c r="P329" s="1754">
        <v>107</v>
      </c>
      <c r="Q329" s="839"/>
      <c r="R329" s="507">
        <v>2213333</v>
      </c>
      <c r="S329" s="507">
        <f>VLOOKUP(N329,[9]Hoja2!N$2:T$77,7,0)</f>
        <v>6640000</v>
      </c>
      <c r="T329" s="507">
        <v>6640000</v>
      </c>
      <c r="U329" s="507">
        <v>6640000</v>
      </c>
      <c r="V329" s="507">
        <v>6640000</v>
      </c>
      <c r="W329" s="507">
        <v>6640000</v>
      </c>
      <c r="X329" s="507">
        <v>6640000</v>
      </c>
      <c r="Y329" s="507">
        <v>6640000</v>
      </c>
      <c r="Z329" s="195"/>
      <c r="AA329" s="195"/>
      <c r="AB329" s="840"/>
      <c r="AC329" s="690">
        <f t="shared" ref="AC329:AC331" si="132">SUM(Q329:AB329)</f>
        <v>48693333</v>
      </c>
      <c r="AD329" s="689">
        <f>O329-AC329</f>
        <v>17706667</v>
      </c>
      <c r="AF329" s="903">
        <v>394</v>
      </c>
      <c r="AG329" s="1362" t="s">
        <v>186</v>
      </c>
      <c r="AH329" s="1124" t="s">
        <v>580</v>
      </c>
      <c r="AI329" s="1113">
        <f>P329</f>
        <v>107</v>
      </c>
      <c r="AJ329" s="904">
        <v>66400000</v>
      </c>
      <c r="AK329" s="906">
        <f>AJ329-O329</f>
        <v>0</v>
      </c>
      <c r="AL329" s="899"/>
      <c r="AM329" s="1604">
        <f>AJ329-M329</f>
        <v>0</v>
      </c>
    </row>
    <row r="330" spans="1:39" s="687" customFormat="1" ht="15">
      <c r="A330" s="712" t="s">
        <v>86</v>
      </c>
      <c r="B330" s="516">
        <f>M330</f>
        <v>2484200</v>
      </c>
      <c r="C330" s="713" t="s">
        <v>36</v>
      </c>
      <c r="D330" s="713" t="s">
        <v>867</v>
      </c>
      <c r="E330" s="713" t="s">
        <v>147</v>
      </c>
      <c r="F330" s="713" t="s">
        <v>88</v>
      </c>
      <c r="G330" s="1625" t="s">
        <v>80</v>
      </c>
      <c r="H330" s="2065" t="s">
        <v>1389</v>
      </c>
      <c r="I330" s="2046" t="s">
        <v>774</v>
      </c>
      <c r="J330" s="1384" t="s">
        <v>1339</v>
      </c>
      <c r="K330" s="1709">
        <f>137200+308800+339700+339700+339700+339700+339700+339700</f>
        <v>2484200</v>
      </c>
      <c r="L330" s="1757" t="s">
        <v>1352</v>
      </c>
      <c r="M330" s="1709">
        <f>137200+308800+339700+339700+339700+339700+339700+339700</f>
        <v>2484200</v>
      </c>
      <c r="N330" s="1772" t="s">
        <v>1351</v>
      </c>
      <c r="O330" s="1758">
        <f>137200+308800+339700+339700+339700+339700+339700+339700</f>
        <v>2484200</v>
      </c>
      <c r="P330" s="1857" t="s">
        <v>774</v>
      </c>
      <c r="Q330" s="839"/>
      <c r="R330" s="197">
        <v>137200</v>
      </c>
      <c r="S330" s="507">
        <v>308800</v>
      </c>
      <c r="T330" s="507">
        <v>339700</v>
      </c>
      <c r="U330" s="507">
        <v>339700</v>
      </c>
      <c r="V330" s="507">
        <v>339700</v>
      </c>
      <c r="W330" s="507">
        <v>339700</v>
      </c>
      <c r="X330" s="507">
        <v>339700</v>
      </c>
      <c r="Y330" s="507">
        <v>339700</v>
      </c>
      <c r="Z330" s="195"/>
      <c r="AA330" s="195"/>
      <c r="AB330" s="840"/>
      <c r="AC330" s="690">
        <f t="shared" si="132"/>
        <v>2484200</v>
      </c>
      <c r="AD330" s="689">
        <f>O330-AC330</f>
        <v>0</v>
      </c>
      <c r="AF330" s="903" t="s">
        <v>150</v>
      </c>
      <c r="AG330" s="1362" t="s">
        <v>187</v>
      </c>
      <c r="AH330" s="1125" t="s">
        <v>178</v>
      </c>
      <c r="AI330" s="1113" t="str">
        <f>P330</f>
        <v>ARL</v>
      </c>
      <c r="AJ330" s="904">
        <v>4000000</v>
      </c>
      <c r="AK330" s="906">
        <f>AJ330-O330</f>
        <v>1515800</v>
      </c>
      <c r="AL330" s="899"/>
      <c r="AM330" s="1604">
        <f>AJ330-M330</f>
        <v>1515800</v>
      </c>
    </row>
    <row r="331" spans="1:39" s="656" customFormat="1" ht="15">
      <c r="A331" s="712" t="s">
        <v>86</v>
      </c>
      <c r="B331" s="516">
        <f>M331</f>
        <v>0</v>
      </c>
      <c r="C331" s="713" t="s">
        <v>36</v>
      </c>
      <c r="D331" s="713" t="s">
        <v>867</v>
      </c>
      <c r="E331" s="713" t="s">
        <v>147</v>
      </c>
      <c r="F331" s="713" t="s">
        <v>88</v>
      </c>
      <c r="G331" s="1625" t="s">
        <v>80</v>
      </c>
      <c r="H331" s="2067"/>
      <c r="I331" s="1859" t="s">
        <v>178</v>
      </c>
      <c r="J331" s="1817">
        <v>0</v>
      </c>
      <c r="K331" s="1860"/>
      <c r="L331" s="1757"/>
      <c r="M331" s="1752"/>
      <c r="N331" s="1757"/>
      <c r="O331" s="1853"/>
      <c r="P331" s="1754"/>
      <c r="Q331" s="688"/>
      <c r="R331" s="507"/>
      <c r="S331" s="507"/>
      <c r="T331" s="507"/>
      <c r="U331" s="507"/>
      <c r="V331" s="507"/>
      <c r="W331" s="507"/>
      <c r="X331" s="507"/>
      <c r="Y331" s="507"/>
      <c r="Z331" s="507"/>
      <c r="AA331" s="507"/>
      <c r="AB331" s="702"/>
      <c r="AC331" s="690">
        <f t="shared" si="132"/>
        <v>0</v>
      </c>
      <c r="AD331" s="689">
        <f>O331-AC331</f>
        <v>0</v>
      </c>
      <c r="AF331" s="903"/>
      <c r="AG331" s="1362"/>
      <c r="AH331" s="1124"/>
      <c r="AI331" s="1113">
        <f>P331</f>
        <v>0</v>
      </c>
      <c r="AJ331" s="904"/>
      <c r="AK331" s="906">
        <f>AJ331-O331</f>
        <v>0</v>
      </c>
      <c r="AL331" s="899"/>
      <c r="AM331" s="1604">
        <f>AJ331-M331</f>
        <v>0</v>
      </c>
    </row>
    <row r="332" spans="1:39" s="656" customFormat="1" ht="15">
      <c r="A332" s="714" t="s">
        <v>81</v>
      </c>
      <c r="B332" s="14">
        <f>B327-SUM(B328:B331)</f>
        <v>1515800</v>
      </c>
      <c r="C332" s="56"/>
      <c r="D332" s="56"/>
      <c r="E332" s="56"/>
      <c r="F332" s="56"/>
      <c r="G332" s="2040"/>
      <c r="H332" s="2050"/>
      <c r="I332" s="1854"/>
      <c r="J332" s="1779"/>
      <c r="K332" s="1780"/>
      <c r="L332" s="1781"/>
      <c r="M332" s="1782">
        <f>SUM(M328:M331)</f>
        <v>124484200</v>
      </c>
      <c r="N332" s="1688"/>
      <c r="O332" s="1782">
        <f>SUM(O328:O331)</f>
        <v>124484200</v>
      </c>
      <c r="P332" s="1820"/>
      <c r="Q332" s="700">
        <f>SUM(Q328:Q331)</f>
        <v>0</v>
      </c>
      <c r="R332" s="700">
        <f>SUM(R328:R331)</f>
        <v>2350533</v>
      </c>
      <c r="S332" s="700">
        <f t="shared" ref="S332:AD332" si="133">SUM(S328:S331)</f>
        <v>11396800</v>
      </c>
      <c r="T332" s="700">
        <f t="shared" si="133"/>
        <v>12539700</v>
      </c>
      <c r="U332" s="700">
        <f>SUM(U328:U331)</f>
        <v>12539700</v>
      </c>
      <c r="V332" s="700">
        <f t="shared" si="133"/>
        <v>12539700</v>
      </c>
      <c r="W332" s="700">
        <f t="shared" si="133"/>
        <v>12539700</v>
      </c>
      <c r="X332" s="700">
        <f>SUM(X328:X331)</f>
        <v>12539700</v>
      </c>
      <c r="Y332" s="700">
        <f t="shared" si="133"/>
        <v>12539700</v>
      </c>
      <c r="Z332" s="700">
        <f t="shared" si="133"/>
        <v>0</v>
      </c>
      <c r="AA332" s="700">
        <f t="shared" si="133"/>
        <v>0</v>
      </c>
      <c r="AB332" s="701">
        <f t="shared" si="133"/>
        <v>0</v>
      </c>
      <c r="AC332" s="700">
        <f t="shared" si="133"/>
        <v>88985533</v>
      </c>
      <c r="AD332" s="700">
        <f t="shared" si="133"/>
        <v>35498667</v>
      </c>
      <c r="AF332" s="907"/>
      <c r="AG332" s="14"/>
      <c r="AH332" s="14"/>
      <c r="AI332" s="1117"/>
      <c r="AJ332" s="14">
        <f>SUM(AJ328:AJ331)</f>
        <v>126000000</v>
      </c>
      <c r="AK332" s="182">
        <f>SUM(AK328:AK331)</f>
        <v>1515800</v>
      </c>
      <c r="AL332" s="899">
        <f>B327-AJ332</f>
        <v>0</v>
      </c>
    </row>
    <row r="333" spans="1:39" s="656" customFormat="1" ht="34.5" customHeight="1">
      <c r="A333" s="812" t="s">
        <v>151</v>
      </c>
      <c r="B333" s="815">
        <v>38000000</v>
      </c>
      <c r="C333" s="813" t="s">
        <v>152</v>
      </c>
      <c r="D333" s="814" t="s">
        <v>865</v>
      </c>
      <c r="E333" s="910" t="s">
        <v>147</v>
      </c>
      <c r="F333" s="814" t="s">
        <v>868</v>
      </c>
      <c r="G333" s="2042" t="s">
        <v>80</v>
      </c>
      <c r="H333" s="2068" t="s">
        <v>1388</v>
      </c>
      <c r="I333" s="1861"/>
      <c r="J333" s="1862"/>
      <c r="K333" s="1863"/>
      <c r="L333" s="1864"/>
      <c r="M333" s="1865"/>
      <c r="N333" s="1864"/>
      <c r="O333" s="1865"/>
      <c r="P333" s="1866"/>
      <c r="Q333" s="1082"/>
      <c r="R333" s="1082"/>
      <c r="S333" s="1082"/>
      <c r="T333" s="1082"/>
      <c r="U333" s="1082"/>
      <c r="V333" s="1082"/>
      <c r="W333" s="1082"/>
      <c r="X333" s="1082"/>
      <c r="Y333" s="1082"/>
      <c r="Z333" s="1082"/>
      <c r="AA333" s="1082"/>
      <c r="AB333" s="1111"/>
      <c r="AC333" s="1386">
        <f>SUM(Q333:AB333)</f>
        <v>0</v>
      </c>
      <c r="AD333" s="1082">
        <f>O333-AC333</f>
        <v>0</v>
      </c>
      <c r="AF333" s="1083"/>
      <c r="AG333" s="1391"/>
      <c r="AH333" s="1126"/>
      <c r="AI333" s="1114"/>
      <c r="AJ333" s="1084"/>
      <c r="AK333" s="1085"/>
      <c r="AL333" s="899"/>
    </row>
    <row r="334" spans="1:39" s="656" customFormat="1" ht="15">
      <c r="A334" s="911" t="s">
        <v>151</v>
      </c>
      <c r="B334" s="719"/>
      <c r="C334" s="822" t="s">
        <v>152</v>
      </c>
      <c r="D334" s="823" t="s">
        <v>865</v>
      </c>
      <c r="E334" s="823" t="s">
        <v>147</v>
      </c>
      <c r="F334" s="823" t="s">
        <v>868</v>
      </c>
      <c r="G334" s="2043" t="s">
        <v>80</v>
      </c>
      <c r="H334" s="2069" t="s">
        <v>1388</v>
      </c>
      <c r="I334" s="2046" t="s">
        <v>349</v>
      </c>
      <c r="J334" s="1775">
        <v>0</v>
      </c>
      <c r="K334" s="1776"/>
      <c r="L334" s="1777"/>
      <c r="M334" s="1778"/>
      <c r="N334" s="1777"/>
      <c r="O334" s="1778"/>
      <c r="P334" s="1867"/>
      <c r="Q334" s="718"/>
      <c r="R334" s="719"/>
      <c r="S334" s="719"/>
      <c r="T334" s="719"/>
      <c r="U334" s="719"/>
      <c r="V334" s="719"/>
      <c r="W334" s="719"/>
      <c r="X334" s="719"/>
      <c r="Y334" s="719"/>
      <c r="Z334" s="719"/>
      <c r="AA334" s="719"/>
      <c r="AB334" s="811"/>
      <c r="AC334" s="690">
        <f>SUM(Q334:AB334)</f>
        <v>0</v>
      </c>
      <c r="AD334" s="689">
        <f>O334-AC334</f>
        <v>0</v>
      </c>
      <c r="AF334" s="903" t="s">
        <v>349</v>
      </c>
      <c r="AG334" s="1362" t="s">
        <v>495</v>
      </c>
      <c r="AH334" s="1124" t="s">
        <v>178</v>
      </c>
      <c r="AI334" s="1113">
        <f>P334</f>
        <v>0</v>
      </c>
      <c r="AJ334" s="904">
        <v>38000000</v>
      </c>
      <c r="AK334" s="906">
        <f>AJ334-O334</f>
        <v>38000000</v>
      </c>
      <c r="AL334" s="899"/>
    </row>
    <row r="335" spans="1:39" s="656" customFormat="1" ht="15">
      <c r="A335" s="714"/>
      <c r="B335" s="14">
        <f>B333-SUM(B334:B334)</f>
        <v>38000000</v>
      </c>
      <c r="C335" s="56"/>
      <c r="D335" s="56"/>
      <c r="E335" s="56"/>
      <c r="F335" s="56"/>
      <c r="G335" s="2040"/>
      <c r="H335" s="2050"/>
      <c r="I335" s="1854"/>
      <c r="J335" s="1779"/>
      <c r="K335" s="1780"/>
      <c r="L335" s="1781"/>
      <c r="M335" s="1782">
        <f>SUM(M334:M334)</f>
        <v>0</v>
      </c>
      <c r="N335" s="1688"/>
      <c r="O335" s="1782">
        <f>SUM(O334:O334)</f>
        <v>0</v>
      </c>
      <c r="P335" s="1820"/>
      <c r="Q335" s="678">
        <f t="shared" ref="Q335:AD335" si="134">SUM(Q334:Q334)</f>
        <v>0</v>
      </c>
      <c r="R335" s="678">
        <f t="shared" si="134"/>
        <v>0</v>
      </c>
      <c r="S335" s="678">
        <f t="shared" si="134"/>
        <v>0</v>
      </c>
      <c r="T335" s="678">
        <f t="shared" si="134"/>
        <v>0</v>
      </c>
      <c r="U335" s="678">
        <f t="shared" si="134"/>
        <v>0</v>
      </c>
      <c r="V335" s="678">
        <f t="shared" si="134"/>
        <v>0</v>
      </c>
      <c r="W335" s="678">
        <f t="shared" si="134"/>
        <v>0</v>
      </c>
      <c r="X335" s="678">
        <f t="shared" si="134"/>
        <v>0</v>
      </c>
      <c r="Y335" s="678">
        <f t="shared" si="134"/>
        <v>0</v>
      </c>
      <c r="Z335" s="678">
        <f t="shared" si="134"/>
        <v>0</v>
      </c>
      <c r="AA335" s="678">
        <f t="shared" si="134"/>
        <v>0</v>
      </c>
      <c r="AB335" s="701">
        <f t="shared" si="134"/>
        <v>0</v>
      </c>
      <c r="AC335" s="700">
        <f t="shared" si="134"/>
        <v>0</v>
      </c>
      <c r="AD335" s="701">
        <f t="shared" si="134"/>
        <v>0</v>
      </c>
      <c r="AF335" s="907"/>
      <c r="AG335" s="14"/>
      <c r="AH335" s="14"/>
      <c r="AI335" s="1117"/>
      <c r="AJ335" s="14">
        <f>SUM(AJ334:AJ334)</f>
        <v>38000000</v>
      </c>
      <c r="AK335" s="182">
        <f>SUM(AK334:AK334)</f>
        <v>38000000</v>
      </c>
      <c r="AL335" s="899">
        <f>B333-AJ335</f>
        <v>0</v>
      </c>
    </row>
    <row r="336" spans="1:39" s="656" customFormat="1" ht="15">
      <c r="A336" s="715"/>
      <c r="B336" s="716"/>
      <c r="C336" s="717"/>
      <c r="D336" s="717"/>
      <c r="E336" s="717"/>
      <c r="F336" s="717"/>
      <c r="G336" s="2044"/>
      <c r="H336" s="2070"/>
      <c r="I336" s="1765"/>
      <c r="J336" s="1775"/>
      <c r="K336" s="1776"/>
      <c r="L336" s="1777"/>
      <c r="M336" s="1824"/>
      <c r="N336" s="1823"/>
      <c r="O336" s="1836"/>
      <c r="P336" s="1868"/>
      <c r="Q336" s="698"/>
      <c r="R336" s="699"/>
      <c r="S336" s="699"/>
      <c r="T336" s="699"/>
      <c r="U336" s="699"/>
      <c r="V336" s="699"/>
      <c r="W336" s="699"/>
      <c r="X336" s="699"/>
      <c r="Y336" s="699"/>
      <c r="Z336" s="699"/>
      <c r="AA336" s="699"/>
      <c r="AB336" s="720"/>
      <c r="AC336" s="698"/>
      <c r="AD336" s="720"/>
      <c r="AF336" s="903"/>
      <c r="AG336" s="1362"/>
      <c r="AH336" s="1124"/>
      <c r="AI336" s="1113"/>
      <c r="AJ336" s="904"/>
      <c r="AK336" s="905"/>
      <c r="AL336" s="899"/>
    </row>
    <row r="337" spans="1:38" s="656" customFormat="1" ht="18.75" customHeight="1" thickBot="1">
      <c r="A337" s="677" t="s">
        <v>175</v>
      </c>
      <c r="B337" s="678">
        <f>B17+B153+B204+B261+B333</f>
        <v>20358296564</v>
      </c>
      <c r="C337" s="679"/>
      <c r="D337" s="679"/>
      <c r="E337" s="679"/>
      <c r="F337" s="679"/>
      <c r="G337" s="2028"/>
      <c r="H337" s="2071"/>
      <c r="I337" s="1854"/>
      <c r="J337" s="1779"/>
      <c r="K337" s="1780"/>
      <c r="L337" s="1781"/>
      <c r="M337" s="1782">
        <f>M24+M28+M37+M40+M43+M46+M49+M52+M55+M58+M61+M67+M75+M84+M89+M94+M97+M102+M107+M114+M152+M194+M199+M203+M208+M245+M251+M257+M260+M326+M332+M335</f>
        <v>13532520441</v>
      </c>
      <c r="N337" s="1781"/>
      <c r="O337" s="1782">
        <f>O24+O28+O37+O40+O43+O46+O49+O52+O55+O58+O61+O67+O75+O84+O89+O94+O97+O102+O107+O114+O152+O194+O199+O203+O208+O245+O251+O257+O260+O326+O332+O335</f>
        <v>12033711917</v>
      </c>
      <c r="P337" s="1820"/>
      <c r="Q337" s="678">
        <f t="shared" ref="Q337:AD337" si="135">Q24+Q28+Q37+Q40+Q43+Q46+Q49+Q52+Q55+Q58+Q61+Q67+Q75+Q84+Q89+Q94+Q97+Q102+Q107+Q114+Q152+Q194+Q199+Q203+Q208+Q245+Q251+Q257+Q260+Q326+Q332+Q335</f>
        <v>0</v>
      </c>
      <c r="R337" s="678">
        <f t="shared" si="135"/>
        <v>79967116</v>
      </c>
      <c r="S337" s="678">
        <f t="shared" si="135"/>
        <v>352310827</v>
      </c>
      <c r="T337" s="678">
        <f t="shared" si="135"/>
        <v>451030378</v>
      </c>
      <c r="U337" s="678">
        <f t="shared" si="135"/>
        <v>444427265</v>
      </c>
      <c r="V337" s="678">
        <f t="shared" si="135"/>
        <v>664928857</v>
      </c>
      <c r="W337" s="678">
        <f t="shared" si="135"/>
        <v>669229688</v>
      </c>
      <c r="X337" s="678">
        <f t="shared" si="135"/>
        <v>2199122046</v>
      </c>
      <c r="Y337" s="678">
        <f t="shared" si="135"/>
        <v>1237151230</v>
      </c>
      <c r="Z337" s="678">
        <f t="shared" si="135"/>
        <v>0</v>
      </c>
      <c r="AA337" s="678">
        <f t="shared" si="135"/>
        <v>0</v>
      </c>
      <c r="AB337" s="678">
        <f t="shared" si="135"/>
        <v>0</v>
      </c>
      <c r="AC337" s="678">
        <f t="shared" si="135"/>
        <v>6098167407</v>
      </c>
      <c r="AD337" s="678">
        <f t="shared" si="135"/>
        <v>5935544510</v>
      </c>
      <c r="AF337" s="909"/>
      <c r="AG337" s="1392"/>
      <c r="AH337" s="1127"/>
      <c r="AI337" s="1115"/>
      <c r="AJ337" s="721">
        <f>AJ24+AJ28+AJ37+AJ40+AJ43+AJ46+AJ49+AJ52+AJ55+AJ58+AJ61+AJ67+AJ75+AJ84+AJ89+AJ94+AJ97+AJ102+AJ107+AJ114+AJ152+AJ194+AJ199+AJ203+AJ208+AJ245+AJ251+AJ257+AJ260+AJ326+AJ332+AJ335</f>
        <v>20358296564.23119</v>
      </c>
      <c r="AK337" s="721">
        <f>AK24+AK28+AK37+AK40+AK43+AK46+AK49+AK52+AK55+AK58+AK61+AK67+AK75+AK84+AK89+AK94+AK97+AK102+AK107+AK114+AK152+AK194+AK199+AK203+AK208+AK245+AK251+AK257+AK260+AK326+AK332+AK335</f>
        <v>8324584647.2311907</v>
      </c>
      <c r="AL337" s="1248">
        <f>AL24+AL28+AL37+AL40+AL43+AL46+AL49+AL55+AL58+AL61+AL67+AL75+AL84+AL89+AL94+AL97+AL102+AL107+AL114+AL152+AL194+AL199+AL203+AL208+AL245+AL251+AL257+AL260+AL326+AL332+AL335</f>
        <v>-0.2311905175447464</v>
      </c>
    </row>
    <row r="338" spans="1:38" s="722" customFormat="1" ht="15">
      <c r="A338" s="1552"/>
      <c r="B338" s="1553">
        <f>B337-B15</f>
        <v>0</v>
      </c>
      <c r="C338" s="1552"/>
      <c r="D338" s="1552"/>
      <c r="E338" s="1552"/>
      <c r="F338" s="1552"/>
      <c r="G338" s="1552"/>
      <c r="H338" s="1552"/>
      <c r="I338" s="1869"/>
      <c r="J338" s="1870"/>
      <c r="K338" s="1871"/>
      <c r="L338" s="1869"/>
      <c r="M338" s="1871"/>
      <c r="N338" s="1869"/>
      <c r="O338" s="1872"/>
      <c r="P338" s="1873"/>
      <c r="Q338" s="1554"/>
      <c r="R338" s="1554"/>
      <c r="S338" s="1554"/>
      <c r="T338" s="1554"/>
      <c r="U338" s="1554"/>
      <c r="V338" s="1554"/>
      <c r="W338" s="1554"/>
      <c r="X338" s="1554"/>
      <c r="Y338" s="1554"/>
      <c r="Z338" s="1554"/>
      <c r="AA338" s="1554"/>
      <c r="AB338" s="1554"/>
      <c r="AC338" s="1554"/>
      <c r="AD338" s="1554"/>
      <c r="AF338" s="834"/>
      <c r="AG338" s="1393"/>
      <c r="AH338" s="1128"/>
      <c r="AI338" s="1116"/>
      <c r="AJ338" s="1492">
        <f>B337-AJ337</f>
        <v>-0.23118972778320313</v>
      </c>
      <c r="AK338" s="835"/>
      <c r="AL338" s="900"/>
    </row>
    <row r="339" spans="1:38" s="722" customFormat="1" ht="15">
      <c r="A339" s="1555"/>
      <c r="B339" s="1553"/>
      <c r="C339" s="1552"/>
      <c r="D339" s="1552"/>
      <c r="E339" s="1552"/>
      <c r="F339" s="1552"/>
      <c r="G339" s="1552"/>
      <c r="H339" s="1552"/>
      <c r="I339" s="1869"/>
      <c r="J339" s="1870"/>
      <c r="K339" s="1871"/>
      <c r="L339" s="1869"/>
      <c r="M339" s="1871"/>
      <c r="N339" s="1869"/>
      <c r="O339" s="1872"/>
      <c r="P339" s="1873"/>
      <c r="Q339" s="1554"/>
      <c r="R339" s="1554"/>
      <c r="S339" s="1554"/>
      <c r="T339" s="1554"/>
      <c r="U339" s="1554"/>
      <c r="V339" s="1554"/>
      <c r="W339" s="1554"/>
      <c r="X339" s="1554"/>
      <c r="Y339" s="1554"/>
      <c r="Z339" s="1554"/>
      <c r="AA339" s="1554"/>
      <c r="AB339" s="1554"/>
      <c r="AC339" s="1554"/>
      <c r="AD339" s="1571"/>
      <c r="AE339" s="1574"/>
      <c r="AF339" s="1575"/>
      <c r="AG339" s="1576"/>
      <c r="AH339" s="1577"/>
      <c r="AI339" s="1578"/>
      <c r="AJ339" s="1579"/>
      <c r="AK339" s="1580"/>
      <c r="AL339" s="1581"/>
    </row>
    <row r="340" spans="1:38" ht="15">
      <c r="A340" s="1556" t="s">
        <v>30</v>
      </c>
      <c r="B340" s="1557" t="s">
        <v>12</v>
      </c>
      <c r="C340" s="1552"/>
      <c r="D340" s="1552"/>
      <c r="E340" s="1552"/>
      <c r="F340" s="1558"/>
      <c r="G340" s="1558"/>
      <c r="H340" s="1558"/>
      <c r="I340" s="1874"/>
      <c r="J340" s="1875"/>
      <c r="K340" s="1876"/>
      <c r="L340" s="1874"/>
      <c r="M340" s="1876"/>
      <c r="N340" s="1874"/>
      <c r="O340" s="1877"/>
      <c r="P340" s="1878"/>
      <c r="Q340" s="1559"/>
      <c r="R340" s="1559"/>
      <c r="S340" s="1559"/>
      <c r="T340" s="1559"/>
      <c r="U340" s="1559"/>
      <c r="V340" s="1559"/>
      <c r="W340" s="1559"/>
      <c r="X340" s="1559"/>
      <c r="Y340" s="1559"/>
      <c r="Z340" s="1559"/>
      <c r="AA340" s="1559"/>
      <c r="AB340" s="1559"/>
      <c r="AC340" s="1559"/>
      <c r="AD340" s="1572"/>
      <c r="AE340" s="1582"/>
      <c r="AF340" s="1583"/>
      <c r="AG340" s="1584"/>
      <c r="AH340" s="1585"/>
      <c r="AI340" s="1586"/>
      <c r="AJ340" s="1587"/>
      <c r="AK340" s="1588"/>
      <c r="AL340" s="1589"/>
    </row>
    <row r="341" spans="1:38" ht="20.25" customHeight="1">
      <c r="A341" s="1555"/>
      <c r="B341" s="1553"/>
      <c r="C341" s="1552"/>
      <c r="D341" s="1552"/>
      <c r="E341" s="1552"/>
      <c r="F341" s="1558"/>
      <c r="G341" s="1558"/>
      <c r="H341" s="1558"/>
      <c r="I341" s="1874"/>
      <c r="J341" s="1879"/>
      <c r="K341" s="1880"/>
      <c r="L341" s="1881"/>
      <c r="M341" s="1882" t="s">
        <v>17</v>
      </c>
      <c r="N341" s="1883" t="s">
        <v>18</v>
      </c>
      <c r="O341" s="1882" t="s">
        <v>131</v>
      </c>
      <c r="P341" s="1884" t="s">
        <v>137</v>
      </c>
      <c r="Q341" s="1560">
        <v>0</v>
      </c>
      <c r="R341" s="1560">
        <v>79967116</v>
      </c>
      <c r="S341" s="1560">
        <v>352310827</v>
      </c>
      <c r="T341" s="1560">
        <v>451030378</v>
      </c>
      <c r="U341" s="1560">
        <v>444427265</v>
      </c>
      <c r="V341" s="1560">
        <v>664928857</v>
      </c>
      <c r="W341" s="1560">
        <v>669229688</v>
      </c>
      <c r="X341" s="1560">
        <v>2199122046</v>
      </c>
      <c r="Y341" s="1560">
        <v>1237151230</v>
      </c>
      <c r="Z341" s="1560"/>
      <c r="AA341" s="1560"/>
      <c r="AB341" s="1560"/>
      <c r="AC341" s="1560">
        <f>SUM(Q341:AB341)</f>
        <v>6098167407</v>
      </c>
      <c r="AD341" s="1573">
        <f>O337-AC341</f>
        <v>5935544510</v>
      </c>
      <c r="AE341" s="1582"/>
      <c r="AF341" s="1583"/>
      <c r="AG341" s="1584"/>
      <c r="AH341" s="1585"/>
      <c r="AI341" s="1586"/>
      <c r="AJ341" s="1587"/>
      <c r="AK341" s="1588"/>
      <c r="AL341" s="1589"/>
    </row>
    <row r="342" spans="1:38" ht="27" customHeight="1">
      <c r="A342" s="1561" t="s">
        <v>31</v>
      </c>
      <c r="B342" s="1562">
        <f>B18+B25+B30+B38+B41+B44+B47+B50+B53+B56+B59+B62+B68+B76+B85+B90+B95+B98+B103+B108+B115+B154+B195+B200+B205+B209+B246+B252+B258+B262+B327+B333</f>
        <v>20358296564</v>
      </c>
      <c r="C342" s="1563"/>
      <c r="D342" s="1552"/>
      <c r="E342" s="1552"/>
      <c r="F342" s="2142"/>
      <c r="G342" s="2142"/>
      <c r="H342" s="1923"/>
      <c r="I342" s="1881"/>
      <c r="J342" s="1885"/>
      <c r="K342" s="1886"/>
      <c r="L342" s="1887"/>
      <c r="M342" s="1888">
        <f>M337</f>
        <v>13532520441</v>
      </c>
      <c r="N342" s="1888">
        <f>O337</f>
        <v>12033711917</v>
      </c>
      <c r="O342" s="1889">
        <f>AC337</f>
        <v>6098167407</v>
      </c>
      <c r="P342" s="1878"/>
      <c r="Q342" s="1559"/>
      <c r="R342" s="1559"/>
      <c r="S342" s="1559"/>
      <c r="T342" s="1559"/>
      <c r="U342" s="1559"/>
      <c r="V342" s="1559"/>
      <c r="W342" s="1559"/>
      <c r="X342" s="1559"/>
      <c r="Y342" s="1559"/>
      <c r="Z342" s="1559"/>
      <c r="AA342" s="1559"/>
      <c r="AB342" s="1559"/>
      <c r="AC342" s="1559"/>
      <c r="AD342" s="1572"/>
      <c r="AE342" s="1582"/>
      <c r="AF342" s="1583"/>
      <c r="AG342" s="1584"/>
      <c r="AH342" s="1585"/>
      <c r="AI342" s="1586"/>
      <c r="AJ342" s="1587"/>
      <c r="AK342" s="1588"/>
      <c r="AL342" s="1589"/>
    </row>
    <row r="343" spans="1:38" ht="22.5" customHeight="1">
      <c r="A343" s="1555"/>
      <c r="B343" s="1553"/>
      <c r="C343" s="1564"/>
      <c r="D343" s="1564"/>
      <c r="E343" s="1564"/>
      <c r="F343" s="1564"/>
      <c r="G343" s="1565"/>
      <c r="H343" s="1565"/>
      <c r="I343" s="1890" t="s">
        <v>1135</v>
      </c>
      <c r="J343" s="1875"/>
      <c r="K343" s="1876"/>
      <c r="L343" s="1874"/>
      <c r="M343" s="1891"/>
      <c r="N343" s="1892" t="s">
        <v>31</v>
      </c>
      <c r="O343" s="1907">
        <f>O24+O28+O37+O40+O43+O46+O49+O55+O58+O61+O67+O75+O84+O89+O94+O97+O102+O107+O114+O152+O194+O199+O203+O208+O245+O251+O257+O260+O326+O332+O335</f>
        <v>12033711917</v>
      </c>
      <c r="P343" s="1878"/>
      <c r="Q343" s="1566">
        <f t="shared" ref="Q343:AD343" si="136">Q24+Q28+Q37+Q40+Q43+Q46+Q49+Q55+Q58+Q61+Q67+Q75+Q84+Q89+Q94+Q97+Q102+Q107+Q114+Q152+Q194+Q199+Q203+Q208+Q245+Q251+Q257+Q260+Q326+Q332+Q335</f>
        <v>0</v>
      </c>
      <c r="R343" s="1566">
        <f t="shared" si="136"/>
        <v>79967116</v>
      </c>
      <c r="S343" s="1566">
        <f t="shared" si="136"/>
        <v>352310827</v>
      </c>
      <c r="T343" s="1566">
        <f t="shared" si="136"/>
        <v>451030378</v>
      </c>
      <c r="U343" s="1566">
        <f t="shared" si="136"/>
        <v>444427265</v>
      </c>
      <c r="V343" s="1566">
        <f t="shared" si="136"/>
        <v>664928857</v>
      </c>
      <c r="W343" s="1566">
        <f t="shared" si="136"/>
        <v>669229688</v>
      </c>
      <c r="X343" s="1566">
        <f t="shared" si="136"/>
        <v>2199122046</v>
      </c>
      <c r="Y343" s="1566">
        <f t="shared" si="136"/>
        <v>1237151230</v>
      </c>
      <c r="Z343" s="1566">
        <f t="shared" si="136"/>
        <v>0</v>
      </c>
      <c r="AA343" s="1566">
        <f t="shared" si="136"/>
        <v>0</v>
      </c>
      <c r="AB343" s="1566">
        <f t="shared" si="136"/>
        <v>0</v>
      </c>
      <c r="AC343" s="1566">
        <f t="shared" si="136"/>
        <v>6098167407</v>
      </c>
      <c r="AD343" s="1566">
        <f t="shared" si="136"/>
        <v>5935544510</v>
      </c>
    </row>
    <row r="344" spans="1:38" s="656" customFormat="1" ht="15">
      <c r="A344" s="1567"/>
      <c r="B344" s="1567"/>
      <c r="C344" s="2143"/>
      <c r="D344" s="2143"/>
      <c r="E344" s="2143"/>
      <c r="F344" s="2143"/>
      <c r="G344" s="1552"/>
      <c r="H344" s="1552"/>
      <c r="I344" s="1869"/>
      <c r="J344" s="1870"/>
      <c r="K344" s="1871"/>
      <c r="L344" s="1869"/>
      <c r="M344" s="1871"/>
      <c r="N344" s="1893"/>
      <c r="O344" s="1877"/>
      <c r="P344" s="1894"/>
      <c r="Q344" s="1568"/>
      <c r="R344" s="1568"/>
      <c r="S344" s="1568">
        <f t="shared" ref="S344:Y344" si="137">S341-S337</f>
        <v>0</v>
      </c>
      <c r="T344" s="1568">
        <f t="shared" si="137"/>
        <v>0</v>
      </c>
      <c r="U344" s="1568">
        <f t="shared" si="137"/>
        <v>0</v>
      </c>
      <c r="V344" s="1568">
        <f t="shared" si="137"/>
        <v>0</v>
      </c>
      <c r="W344" s="1568">
        <f t="shared" si="137"/>
        <v>0</v>
      </c>
      <c r="X344" s="1568">
        <f t="shared" si="137"/>
        <v>0</v>
      </c>
      <c r="Y344" s="1568">
        <f t="shared" si="137"/>
        <v>0</v>
      </c>
      <c r="Z344" s="1568"/>
      <c r="AA344" s="1568"/>
      <c r="AB344" s="1568"/>
      <c r="AC344" s="1568"/>
      <c r="AD344" s="1568"/>
      <c r="AF344" s="831"/>
      <c r="AG344" s="1389"/>
      <c r="AH344" s="1122"/>
      <c r="AI344" s="1112"/>
      <c r="AJ344" s="838"/>
      <c r="AK344" s="832"/>
      <c r="AL344" s="899"/>
    </row>
    <row r="345" spans="1:38" s="1596" customFormat="1" ht="15">
      <c r="A345" s="1593"/>
      <c r="B345" s="1594"/>
      <c r="C345" s="2149"/>
      <c r="D345" s="2149"/>
      <c r="E345" s="2149"/>
      <c r="F345" s="2149"/>
      <c r="G345" s="1569"/>
      <c r="H345" s="1569"/>
      <c r="I345" s="1895"/>
      <c r="J345" s="1896"/>
      <c r="K345" s="1891"/>
      <c r="L345" s="1895"/>
      <c r="M345" s="1891">
        <v>13532520441</v>
      </c>
      <c r="N345" s="1891">
        <v>12033711917</v>
      </c>
      <c r="O345" s="1880">
        <f>O342</f>
        <v>6098167407</v>
      </c>
      <c r="P345" s="1897"/>
      <c r="Q345" s="1595"/>
      <c r="R345" s="1595"/>
      <c r="S345" s="1595"/>
      <c r="T345" s="1595"/>
      <c r="U345" s="1595"/>
      <c r="V345" s="1595"/>
      <c r="W345" s="1595"/>
      <c r="X345" s="1595"/>
      <c r="Y345" s="1595"/>
      <c r="Z345" s="1595"/>
      <c r="AA345" s="1595"/>
      <c r="AB345" s="1595"/>
      <c r="AC345" s="1595"/>
      <c r="AD345" s="1595"/>
      <c r="AF345" s="1597"/>
      <c r="AG345" s="1598"/>
      <c r="AH345" s="1599"/>
      <c r="AI345" s="1600"/>
      <c r="AJ345" s="1601"/>
      <c r="AK345" s="1598"/>
      <c r="AL345" s="1602"/>
    </row>
    <row r="346" spans="1:38" s="656" customFormat="1" ht="15">
      <c r="A346" s="1567"/>
      <c r="B346" s="1567"/>
      <c r="C346" s="1567"/>
      <c r="D346" s="1552"/>
      <c r="E346" s="1570"/>
      <c r="F346" s="1552"/>
      <c r="G346" s="1552"/>
      <c r="H346" s="1552"/>
      <c r="I346" s="1869"/>
      <c r="J346" s="1870"/>
      <c r="K346" s="1871"/>
      <c r="L346" s="1869"/>
      <c r="M346" s="1871">
        <f>M342-M343-M345</f>
        <v>0</v>
      </c>
      <c r="N346" s="1871">
        <f>N345-N342</f>
        <v>0</v>
      </c>
      <c r="O346" s="1871">
        <f>O345-AC337</f>
        <v>0</v>
      </c>
      <c r="P346" s="1894"/>
      <c r="Q346" s="1568"/>
      <c r="R346" s="1568"/>
      <c r="S346" s="1568"/>
      <c r="T346" s="1568"/>
      <c r="U346" s="1568"/>
      <c r="V346" s="1568"/>
      <c r="W346" s="1568"/>
      <c r="X346" s="1568"/>
      <c r="Y346" s="1568"/>
      <c r="Z346" s="1568"/>
      <c r="AA346" s="1568"/>
      <c r="AB346" s="1568"/>
      <c r="AC346" s="1568"/>
      <c r="AD346" s="1568"/>
      <c r="AF346" s="831"/>
      <c r="AG346" s="1389"/>
      <c r="AH346" s="1122"/>
      <c r="AI346" s="1112"/>
      <c r="AJ346" s="838"/>
      <c r="AK346" s="832"/>
      <c r="AL346" s="899"/>
    </row>
    <row r="347" spans="1:38">
      <c r="B347" s="357" t="s">
        <v>124</v>
      </c>
    </row>
    <row r="349" spans="1:38">
      <c r="A349" s="725" t="s">
        <v>42</v>
      </c>
      <c r="B349" s="726" t="s">
        <v>43</v>
      </c>
      <c r="C349" s="725" t="s">
        <v>153</v>
      </c>
      <c r="D349" s="725" t="s">
        <v>125</v>
      </c>
      <c r="E349" s="725" t="s">
        <v>126</v>
      </c>
      <c r="F349" s="725" t="s">
        <v>127</v>
      </c>
    </row>
    <row r="350" spans="1:38">
      <c r="A350" s="816" t="s">
        <v>44</v>
      </c>
      <c r="B350" s="727" t="s">
        <v>89</v>
      </c>
      <c r="C350" s="1395">
        <f>B18+B25+B30+B59+B62+B68+B76+B85+B90+B95+B115+B154+B195</f>
        <v>8254217374</v>
      </c>
      <c r="D350" s="1396">
        <f>M24+M28+M37+M61+M67+M75+M84+M89+M94+M97+M152+M194+M199</f>
        <v>5284309691</v>
      </c>
      <c r="E350" s="1396">
        <f>O24+O28+O37+O61+O67+O75+O84+O89+O94+O97+O152+O194+O199</f>
        <v>4058625177</v>
      </c>
      <c r="F350" s="1314">
        <f>AC24+AC28+AC37+AC61+AC67+AC75+AC84+AC89+AC97+AC94+AC152+AC194+AC199+AC203</f>
        <v>2456586509</v>
      </c>
      <c r="G350" s="724"/>
      <c r="H350" s="724"/>
      <c r="I350" s="1129"/>
    </row>
    <row r="351" spans="1:38">
      <c r="A351" s="816" t="s">
        <v>44</v>
      </c>
      <c r="B351" s="727" t="s">
        <v>93</v>
      </c>
      <c r="C351" s="1395">
        <f>B205+B209+B246+B252+B258</f>
        <v>2824159293</v>
      </c>
      <c r="D351" s="1396">
        <f>M208+M245+M251+M257+M260</f>
        <v>2529134819</v>
      </c>
      <c r="E351" s="1396">
        <f>O208+O245+O251+O257+O260</f>
        <v>2505681036</v>
      </c>
      <c r="F351" s="1314">
        <f>AC208+AC245+AC251+AC257+AC260</f>
        <v>467540334</v>
      </c>
      <c r="G351" s="724"/>
      <c r="H351" s="724"/>
      <c r="I351" s="1129"/>
    </row>
    <row r="352" spans="1:38">
      <c r="A352" s="816" t="s">
        <v>44</v>
      </c>
      <c r="B352" s="727" t="s">
        <v>94</v>
      </c>
      <c r="C352" s="1395">
        <f>B262+B327</f>
        <v>2311969333</v>
      </c>
      <c r="D352" s="1396">
        <f>M326+M332</f>
        <v>2264946034</v>
      </c>
      <c r="E352" s="1396">
        <f>O326+O332</f>
        <v>2235633030</v>
      </c>
      <c r="F352" s="1314">
        <f>AC326+AC332</f>
        <v>1485220802</v>
      </c>
      <c r="G352" s="724"/>
      <c r="H352" s="724"/>
      <c r="I352" s="1129"/>
    </row>
    <row r="353" spans="1:15">
      <c r="A353" s="816" t="s">
        <v>91</v>
      </c>
      <c r="B353" s="727" t="s">
        <v>89</v>
      </c>
      <c r="C353" s="1395">
        <f>B38</f>
        <v>864424000</v>
      </c>
      <c r="D353" s="1396">
        <f>M40</f>
        <v>0</v>
      </c>
      <c r="E353" s="1396">
        <f>O40</f>
        <v>0</v>
      </c>
      <c r="F353" s="1314">
        <f>AC40</f>
        <v>0</v>
      </c>
      <c r="G353" s="1395"/>
      <c r="H353" s="2027"/>
      <c r="I353" s="1129"/>
      <c r="N353" s="1908"/>
      <c r="O353" s="1908"/>
    </row>
    <row r="354" spans="1:15">
      <c r="A354" s="816" t="s">
        <v>154</v>
      </c>
      <c r="B354" s="727" t="s">
        <v>89</v>
      </c>
      <c r="C354" s="1395">
        <f>B333</f>
        <v>38000000</v>
      </c>
      <c r="D354" s="1396">
        <f>M335</f>
        <v>0</v>
      </c>
      <c r="E354" s="1396">
        <f>O335</f>
        <v>0</v>
      </c>
      <c r="F354" s="1314">
        <f>AC335</f>
        <v>0</v>
      </c>
      <c r="G354" s="724"/>
      <c r="H354" s="724"/>
      <c r="I354" s="1129"/>
    </row>
    <row r="355" spans="1:15">
      <c r="A355" s="816" t="s">
        <v>92</v>
      </c>
      <c r="B355" s="727" t="s">
        <v>89</v>
      </c>
      <c r="C355" s="1395">
        <f>B41</f>
        <v>725000</v>
      </c>
      <c r="D355" s="1396">
        <f>M43</f>
        <v>0</v>
      </c>
      <c r="E355" s="1396">
        <f>O43</f>
        <v>0</v>
      </c>
      <c r="F355" s="1314">
        <f>AC43</f>
        <v>0</v>
      </c>
      <c r="G355" s="724"/>
      <c r="H355" s="724"/>
      <c r="I355" s="1129"/>
    </row>
    <row r="356" spans="1:15">
      <c r="A356" s="816" t="s">
        <v>155</v>
      </c>
      <c r="B356" s="727" t="s">
        <v>89</v>
      </c>
      <c r="C356" s="1395">
        <f>B44</f>
        <v>528108000</v>
      </c>
      <c r="D356" s="1396">
        <f>M46</f>
        <v>0</v>
      </c>
      <c r="E356" s="1396">
        <f>O46</f>
        <v>0</v>
      </c>
      <c r="F356" s="1314">
        <f>AC46</f>
        <v>0</v>
      </c>
      <c r="G356" s="724"/>
      <c r="H356" s="724"/>
      <c r="I356" s="1129"/>
      <c r="O356" s="1908"/>
    </row>
    <row r="357" spans="1:15">
      <c r="A357" s="816" t="s">
        <v>90</v>
      </c>
      <c r="B357" s="727" t="s">
        <v>89</v>
      </c>
      <c r="C357" s="1395">
        <f>B47+B50</f>
        <v>2052827000</v>
      </c>
      <c r="D357" s="1396">
        <f>M49+M52</f>
        <v>0</v>
      </c>
      <c r="E357" s="1396">
        <f>O49+O52</f>
        <v>0</v>
      </c>
      <c r="F357" s="1314">
        <f>AC49+AC52</f>
        <v>0</v>
      </c>
      <c r="G357" s="724"/>
      <c r="H357" s="724"/>
      <c r="I357" s="1129"/>
    </row>
    <row r="358" spans="1:15" ht="15">
      <c r="A358" s="816" t="s">
        <v>874</v>
      </c>
      <c r="B358" s="727" t="s">
        <v>89</v>
      </c>
      <c r="C358" s="1395">
        <f>B98</f>
        <v>3211907757</v>
      </c>
      <c r="D358" s="1396">
        <f>M102</f>
        <v>3211907757</v>
      </c>
      <c r="E358" s="1396">
        <f>O102</f>
        <v>3158072463</v>
      </c>
      <c r="F358" s="1314">
        <f>AC102</f>
        <v>1645787640</v>
      </c>
      <c r="G358" s="724"/>
      <c r="H358" s="724"/>
      <c r="I358" s="1129"/>
      <c r="L358" s="1899"/>
    </row>
    <row r="359" spans="1:15">
      <c r="A359" s="816" t="s">
        <v>156</v>
      </c>
      <c r="B359" s="727" t="s">
        <v>89</v>
      </c>
      <c r="C359" s="1395">
        <f>B53</f>
        <v>2570000</v>
      </c>
      <c r="D359" s="1396">
        <f>M55</f>
        <v>0</v>
      </c>
      <c r="E359" s="1396">
        <f>O55</f>
        <v>0</v>
      </c>
      <c r="F359" s="1314">
        <f>AC55</f>
        <v>0</v>
      </c>
      <c r="G359" s="724"/>
      <c r="H359" s="724"/>
      <c r="I359" s="1129"/>
    </row>
    <row r="360" spans="1:15" ht="15">
      <c r="A360" s="816" t="s">
        <v>159</v>
      </c>
      <c r="B360" s="727" t="s">
        <v>89</v>
      </c>
      <c r="C360" s="1396">
        <f>B56+B103+B108</f>
        <v>269388807</v>
      </c>
      <c r="D360" s="1396">
        <f>M58+M107+M114</f>
        <v>242222140</v>
      </c>
      <c r="E360" s="1396">
        <f>O58+O107+O114</f>
        <v>75700211</v>
      </c>
      <c r="F360" s="1314">
        <f>AC58+AC107+AC114</f>
        <v>43032122</v>
      </c>
      <c r="G360" s="356"/>
      <c r="H360" s="356"/>
      <c r="I360" s="1129"/>
      <c r="L360" s="1899"/>
    </row>
    <row r="361" spans="1:15">
      <c r="A361" s="2147" t="s">
        <v>128</v>
      </c>
      <c r="B361" s="2148"/>
      <c r="C361" s="1394">
        <f>SUM(C350:C360)</f>
        <v>20358296564</v>
      </c>
      <c r="D361" s="1394">
        <f>SUM(D350:D360)</f>
        <v>13532520441</v>
      </c>
      <c r="E361" s="1394">
        <f>+SUM(E350:E360)</f>
        <v>12033711917</v>
      </c>
      <c r="F361" s="1394">
        <f>+SUM(F350:F360)</f>
        <v>6098167407</v>
      </c>
    </row>
  </sheetData>
  <autoFilter ref="A16:AL335"/>
  <mergeCells count="19">
    <mergeCell ref="A361:B361"/>
    <mergeCell ref="C345:D345"/>
    <mergeCell ref="E345:F345"/>
    <mergeCell ref="A9:G9"/>
    <mergeCell ref="A1:A3"/>
    <mergeCell ref="A4:G4"/>
    <mergeCell ref="A5:G5"/>
    <mergeCell ref="A6:G6"/>
    <mergeCell ref="A7:G7"/>
    <mergeCell ref="A8:G8"/>
    <mergeCell ref="B10:D10"/>
    <mergeCell ref="B11:G11"/>
    <mergeCell ref="B12:G12"/>
    <mergeCell ref="F342:G342"/>
    <mergeCell ref="C344:D344"/>
    <mergeCell ref="E344:F344"/>
    <mergeCell ref="B1:AD1"/>
    <mergeCell ref="B2:AD2"/>
    <mergeCell ref="B3:AD3"/>
  </mergeCells>
  <conditionalFormatting sqref="B341 B336:B339 B1:B18 B333:B334 B204:B208 B196:B199 B53:B58 B38:B51 B23:B29 B152:B194 AK95:AK336 B261:B326 B343:B360 AK338:AK1048576 B362:B1048576">
    <cfRule type="cellIs" dxfId="64" priority="141" operator="lessThan">
      <formula>0</formula>
    </cfRule>
    <cfRule type="cellIs" dxfId="63" priority="142" operator="lessThan">
      <formula>0</formula>
    </cfRule>
  </conditionalFormatting>
  <conditionalFormatting sqref="B115:B151">
    <cfRule type="cellIs" dxfId="62" priority="135" operator="lessThan">
      <formula>0</formula>
    </cfRule>
    <cfRule type="cellIs" dxfId="61" priority="136" operator="lessThan">
      <formula>0</formula>
    </cfRule>
  </conditionalFormatting>
  <conditionalFormatting sqref="B335">
    <cfRule type="cellIs" dxfId="60" priority="132" operator="lessThan">
      <formula>0</formula>
    </cfRule>
    <cfRule type="cellIs" dxfId="59" priority="133" operator="lessThan">
      <formula>0</formula>
    </cfRule>
  </conditionalFormatting>
  <conditionalFormatting sqref="B327:B332">
    <cfRule type="cellIs" dxfId="58" priority="129" operator="lessThan">
      <formula>0</formula>
    </cfRule>
    <cfRule type="cellIs" dxfId="57" priority="130" operator="lessThan">
      <formula>0</formula>
    </cfRule>
  </conditionalFormatting>
  <conditionalFormatting sqref="B30 B36:B37">
    <cfRule type="cellIs" dxfId="56" priority="126" operator="lessThan">
      <formula>0</formula>
    </cfRule>
    <cfRule type="cellIs" dxfId="55" priority="127" operator="lessThan">
      <formula>0</formula>
    </cfRule>
  </conditionalFormatting>
  <conditionalFormatting sqref="B59:B61">
    <cfRule type="cellIs" dxfId="54" priority="122" operator="lessThan">
      <formula>0</formula>
    </cfRule>
    <cfRule type="cellIs" dxfId="53" priority="123" operator="lessThan">
      <formula>0</formula>
    </cfRule>
  </conditionalFormatting>
  <conditionalFormatting sqref="B62 B66:B67">
    <cfRule type="cellIs" dxfId="52" priority="119" operator="lessThan">
      <formula>0</formula>
    </cfRule>
    <cfRule type="cellIs" dxfId="51" priority="120" operator="lessThan">
      <formula>0</formula>
    </cfRule>
  </conditionalFormatting>
  <conditionalFormatting sqref="B68 B74:B75">
    <cfRule type="cellIs" dxfId="50" priority="116" operator="lessThan">
      <formula>0</formula>
    </cfRule>
    <cfRule type="cellIs" dxfId="49" priority="117" operator="lessThan">
      <formula>0</formula>
    </cfRule>
  </conditionalFormatting>
  <conditionalFormatting sqref="B76 B83:B84">
    <cfRule type="cellIs" dxfId="48" priority="113" operator="lessThan">
      <formula>0</formula>
    </cfRule>
    <cfRule type="cellIs" dxfId="47" priority="114" operator="lessThan">
      <formula>0</formula>
    </cfRule>
  </conditionalFormatting>
  <conditionalFormatting sqref="B85:B94">
    <cfRule type="cellIs" dxfId="46" priority="110" operator="lessThan">
      <formula>0</formula>
    </cfRule>
    <cfRule type="cellIs" dxfId="45" priority="111" operator="lessThan">
      <formula>0</formula>
    </cfRule>
  </conditionalFormatting>
  <conditionalFormatting sqref="B95:B97 B99:B102 B104:B107 B109:B114">
    <cfRule type="cellIs" dxfId="44" priority="107" operator="lessThan">
      <formula>0</formula>
    </cfRule>
    <cfRule type="cellIs" dxfId="43" priority="108" operator="lessThan">
      <formula>0</formula>
    </cfRule>
  </conditionalFormatting>
  <conditionalFormatting sqref="B209 B241:B245">
    <cfRule type="cellIs" dxfId="42" priority="104" operator="lessThan">
      <formula>0</formula>
    </cfRule>
    <cfRule type="cellIs" dxfId="41" priority="105" operator="lessThan">
      <formula>0</formula>
    </cfRule>
  </conditionalFormatting>
  <conditionalFormatting sqref="B246:B251">
    <cfRule type="cellIs" dxfId="40" priority="101" operator="lessThan">
      <formula>0</formula>
    </cfRule>
    <cfRule type="cellIs" dxfId="39" priority="102" operator="lessThan">
      <formula>0</formula>
    </cfRule>
  </conditionalFormatting>
  <conditionalFormatting sqref="B252:B257">
    <cfRule type="cellIs" dxfId="38" priority="98" operator="lessThan">
      <formula>0</formula>
    </cfRule>
    <cfRule type="cellIs" dxfId="37" priority="99" operator="lessThan">
      <formula>0</formula>
    </cfRule>
  </conditionalFormatting>
  <conditionalFormatting sqref="B258:B260">
    <cfRule type="cellIs" dxfId="36" priority="95" operator="lessThan">
      <formula>0</formula>
    </cfRule>
    <cfRule type="cellIs" dxfId="35" priority="96" operator="lessThan">
      <formula>0</formula>
    </cfRule>
  </conditionalFormatting>
  <conditionalFormatting sqref="B200:B203">
    <cfRule type="cellIs" dxfId="34" priority="92" operator="lessThan">
      <formula>0</formula>
    </cfRule>
    <cfRule type="cellIs" dxfId="33" priority="93" operator="lessThan">
      <formula>0</formula>
    </cfRule>
  </conditionalFormatting>
  <conditionalFormatting sqref="B63:B65">
    <cfRule type="cellIs" dxfId="32" priority="89" operator="lessThan">
      <formula>0</formula>
    </cfRule>
    <cfRule type="cellIs" dxfId="31" priority="90" operator="lessThan">
      <formula>0</formula>
    </cfRule>
  </conditionalFormatting>
  <conditionalFormatting sqref="B19:B22">
    <cfRule type="cellIs" dxfId="30" priority="87" operator="lessThan">
      <formula>0</formula>
    </cfRule>
    <cfRule type="cellIs" dxfId="29" priority="88" operator="lessThan">
      <formula>0</formula>
    </cfRule>
  </conditionalFormatting>
  <conditionalFormatting sqref="B31:B35">
    <cfRule type="cellIs" dxfId="28" priority="85" operator="lessThan">
      <formula>0</formula>
    </cfRule>
    <cfRule type="cellIs" dxfId="27" priority="86" operator="lessThan">
      <formula>0</formula>
    </cfRule>
  </conditionalFormatting>
  <conditionalFormatting sqref="B77:B82">
    <cfRule type="cellIs" dxfId="26" priority="83" operator="lessThan">
      <formula>0</formula>
    </cfRule>
    <cfRule type="cellIs" dxfId="25" priority="84" operator="lessThan">
      <formula>0</formula>
    </cfRule>
  </conditionalFormatting>
  <conditionalFormatting sqref="B69:B73">
    <cfRule type="cellIs" dxfId="24" priority="81" operator="lessThan">
      <formula>0</formula>
    </cfRule>
    <cfRule type="cellIs" dxfId="23" priority="82" operator="lessThan">
      <formula>0</formula>
    </cfRule>
  </conditionalFormatting>
  <conditionalFormatting sqref="B210:B240">
    <cfRule type="cellIs" dxfId="22" priority="79" operator="lessThan">
      <formula>0</formula>
    </cfRule>
    <cfRule type="cellIs" dxfId="21" priority="80" operator="lessThan">
      <formula>0</formula>
    </cfRule>
  </conditionalFormatting>
  <conditionalFormatting sqref="Q333:AB333">
    <cfRule type="duplicateValues" dxfId="20" priority="51"/>
  </conditionalFormatting>
  <conditionalFormatting sqref="Q333:AB333">
    <cfRule type="duplicateValues" dxfId="19" priority="50"/>
  </conditionalFormatting>
  <conditionalFormatting sqref="I4:I7">
    <cfRule type="duplicateValues" dxfId="18" priority="45"/>
    <cfRule type="duplicateValues" dxfId="17" priority="46"/>
  </conditionalFormatting>
  <conditionalFormatting sqref="B98">
    <cfRule type="cellIs" dxfId="16" priority="43" operator="lessThan">
      <formula>0</formula>
    </cfRule>
    <cfRule type="cellIs" dxfId="15" priority="44" operator="lessThan">
      <formula>0</formula>
    </cfRule>
  </conditionalFormatting>
  <conditionalFormatting sqref="B103">
    <cfRule type="cellIs" dxfId="14" priority="41" operator="lessThan">
      <formula>0</formula>
    </cfRule>
    <cfRule type="cellIs" dxfId="13" priority="42" operator="lessThan">
      <formula>0</formula>
    </cfRule>
  </conditionalFormatting>
  <conditionalFormatting sqref="B108">
    <cfRule type="cellIs" dxfId="12" priority="39" operator="lessThan">
      <formula>0</formula>
    </cfRule>
    <cfRule type="cellIs" dxfId="11" priority="40" operator="lessThan">
      <formula>0</formula>
    </cfRule>
  </conditionalFormatting>
  <conditionalFormatting sqref="B195">
    <cfRule type="cellIs" dxfId="10" priority="28" operator="lessThan">
      <formula>0</formula>
    </cfRule>
    <cfRule type="cellIs" dxfId="9" priority="29" operator="lessThan">
      <formula>0</formula>
    </cfRule>
  </conditionalFormatting>
  <conditionalFormatting sqref="B52">
    <cfRule type="cellIs" dxfId="8" priority="26" operator="lessThan">
      <formula>0</formula>
    </cfRule>
    <cfRule type="cellIs" dxfId="7" priority="27" operator="lessThan">
      <formula>0</formula>
    </cfRule>
  </conditionalFormatting>
  <conditionalFormatting sqref="AK1:AK24 AK26:AK27 AK29:AK88">
    <cfRule type="cellIs" dxfId="6" priority="22" operator="lessThan">
      <formula>0</formula>
    </cfRule>
    <cfRule type="cellIs" dxfId="5" priority="25" operator="lessThan">
      <formula>0</formula>
    </cfRule>
  </conditionalFormatting>
  <conditionalFormatting sqref="AM1:AM1048576 AK1:AK1048576 B1:B1048576">
    <cfRule type="cellIs" dxfId="4" priority="23" operator="lessThan">
      <formula>0</formula>
    </cfRule>
  </conditionalFormatting>
  <conditionalFormatting sqref="AK90">
    <cfRule type="cellIs" dxfId="3" priority="13" operator="lessThan">
      <formula>0</formula>
    </cfRule>
    <cfRule type="cellIs" dxfId="2" priority="14" operator="lessThan">
      <formula>0</formula>
    </cfRule>
  </conditionalFormatting>
  <conditionalFormatting sqref="AK91:AK93">
    <cfRule type="cellIs" dxfId="1" priority="11" operator="lessThan">
      <formula>0</formula>
    </cfRule>
    <cfRule type="cellIs" dxfId="0" priority="12" operator="lessThan">
      <formula>0</formula>
    </cfRule>
  </conditionalFormatting>
  <printOptions horizontalCentered="1" verticalCentered="1"/>
  <pageMargins left="0.39370078740157483" right="0.78740157480314965" top="0.27559055118110237" bottom="0.15748031496062992" header="0.31496062992125984" footer="0.31496062992125984"/>
  <pageSetup scale="35" fitToWidth="2" fitToHeight="2" orientation="landscape" r:id="rId1"/>
  <headerFooter>
    <oddFooter>&amp;LVersión 3. 23/07/2019</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zoomScale="91" zoomScaleNormal="91" workbookViewId="0">
      <selection sqref="A1:N1"/>
    </sheetView>
  </sheetViews>
  <sheetFormatPr baseColWidth="10" defaultRowHeight="12.75"/>
  <cols>
    <col min="1" max="1" width="33.28515625" customWidth="1"/>
    <col min="2" max="2" width="18.7109375" customWidth="1"/>
    <col min="3" max="3" width="18.5703125" customWidth="1"/>
    <col min="4" max="4" width="17" customWidth="1"/>
    <col min="5" max="5" width="16.28515625" customWidth="1"/>
    <col min="6" max="6" width="9.7109375" customWidth="1"/>
    <col min="7" max="7" width="15.42578125" customWidth="1"/>
    <col min="8" max="8" width="12.28515625" customWidth="1"/>
    <col min="9" max="9" width="10.42578125" customWidth="1"/>
    <col min="17" max="17" width="12.140625" bestFit="1" customWidth="1"/>
  </cols>
  <sheetData>
    <row r="1" spans="1:14" ht="22.5" customHeight="1">
      <c r="A1" s="2170" t="s">
        <v>646</v>
      </c>
      <c r="B1" s="2170"/>
      <c r="C1" s="2170"/>
      <c r="D1" s="2170"/>
      <c r="E1" s="2170"/>
      <c r="F1" s="2170"/>
      <c r="G1" s="2170"/>
      <c r="H1" s="2170"/>
      <c r="I1" s="2170"/>
      <c r="J1" s="2170"/>
      <c r="K1" s="2170"/>
      <c r="L1" s="2170"/>
      <c r="M1" s="2170"/>
      <c r="N1" s="2170"/>
    </row>
    <row r="2" spans="1:14">
      <c r="A2" s="1153"/>
      <c r="B2" s="1153"/>
      <c r="C2" s="1153"/>
      <c r="D2" s="1153"/>
      <c r="E2" s="1153"/>
      <c r="F2" s="1153"/>
      <c r="G2" s="1153"/>
      <c r="H2" s="1153"/>
      <c r="I2" s="1153"/>
      <c r="J2" s="1153"/>
      <c r="K2" s="1153"/>
      <c r="L2" s="1153"/>
      <c r="M2" s="1153"/>
      <c r="N2" s="1153"/>
    </row>
    <row r="3" spans="1:14" ht="15">
      <c r="A3" s="2160" t="s">
        <v>597</v>
      </c>
      <c r="B3" s="2161"/>
      <c r="C3" s="2161"/>
      <c r="D3" s="2161"/>
      <c r="E3" s="2161"/>
      <c r="F3" s="2161"/>
      <c r="G3" s="2161"/>
      <c r="H3" s="2161"/>
      <c r="I3" s="2161"/>
      <c r="J3" s="2161"/>
      <c r="K3" s="2161"/>
      <c r="L3" s="2161"/>
      <c r="M3" s="2161"/>
      <c r="N3" s="2161"/>
    </row>
    <row r="4" spans="1:14">
      <c r="A4" s="1154"/>
      <c r="B4" s="1154"/>
      <c r="C4" s="1154"/>
      <c r="D4" s="1154"/>
      <c r="E4" s="1154"/>
      <c r="F4" s="1154"/>
      <c r="G4" s="1154"/>
      <c r="H4" s="1154"/>
      <c r="I4" s="1154"/>
      <c r="J4" s="1154"/>
      <c r="K4" s="1154"/>
      <c r="L4" s="1154"/>
      <c r="M4" s="1154"/>
      <c r="N4" s="1154"/>
    </row>
    <row r="5" spans="1:14" ht="24">
      <c r="A5" s="1209" t="s">
        <v>598</v>
      </c>
      <c r="B5" s="1209" t="s">
        <v>599</v>
      </c>
      <c r="C5" s="1209" t="s">
        <v>125</v>
      </c>
      <c r="D5" s="1209" t="s">
        <v>126</v>
      </c>
      <c r="E5" s="1209" t="s">
        <v>600</v>
      </c>
      <c r="F5" s="1210" t="s">
        <v>601</v>
      </c>
      <c r="G5" s="2162" t="s">
        <v>125</v>
      </c>
      <c r="H5" s="2163"/>
      <c r="I5" s="1210" t="s">
        <v>602</v>
      </c>
      <c r="J5" s="2162" t="s">
        <v>126</v>
      </c>
      <c r="K5" s="2163"/>
      <c r="L5" s="1210" t="s">
        <v>603</v>
      </c>
      <c r="M5" s="2162" t="s">
        <v>600</v>
      </c>
      <c r="N5" s="2163"/>
    </row>
    <row r="6" spans="1:14" ht="25.5">
      <c r="A6" s="1155" t="s">
        <v>23</v>
      </c>
      <c r="B6" s="1156">
        <f>'1024'!B17</f>
        <v>621600000</v>
      </c>
      <c r="C6" s="1156">
        <f>'1024'!M37</f>
        <v>614167256</v>
      </c>
      <c r="D6" s="1156">
        <f>'1024'!O37</f>
        <v>614167256</v>
      </c>
      <c r="E6" s="1156">
        <f>'1024'!AC37</f>
        <v>319628601</v>
      </c>
      <c r="F6" s="1157">
        <f>C6/B6</f>
        <v>0.98804256113256117</v>
      </c>
      <c r="G6" s="1158">
        <f>C6/B6</f>
        <v>0.98804256113256117</v>
      </c>
      <c r="H6" s="1159">
        <f>C6/B6</f>
        <v>0.98804256113256117</v>
      </c>
      <c r="I6" s="1160">
        <f>D6/B6</f>
        <v>0.98804256113256117</v>
      </c>
      <c r="J6" s="1158">
        <f>D6/B6</f>
        <v>0.98804256113256117</v>
      </c>
      <c r="K6" s="1159">
        <f>D6/B6</f>
        <v>0.98804256113256117</v>
      </c>
      <c r="L6" s="1161">
        <f>E6/B6</f>
        <v>0.51420302606177604</v>
      </c>
      <c r="M6" s="1158">
        <f>E6/B6</f>
        <v>0.51420302606177604</v>
      </c>
      <c r="N6" s="1159">
        <f>E6/B6</f>
        <v>0.51420302606177604</v>
      </c>
    </row>
    <row r="7" spans="1:14">
      <c r="A7" s="1162" t="s">
        <v>604</v>
      </c>
      <c r="B7" s="1156">
        <f>'1024'!B38</f>
        <v>98400000</v>
      </c>
      <c r="C7" s="1156">
        <f>'1024'!M43</f>
        <v>98400000</v>
      </c>
      <c r="D7" s="1156">
        <f>'1024'!O43</f>
        <v>98400000</v>
      </c>
      <c r="E7" s="1156">
        <f>'1024'!AC43</f>
        <v>60726667</v>
      </c>
      <c r="F7" s="1157">
        <f>C7/B7</f>
        <v>1</v>
      </c>
      <c r="G7" s="1158">
        <f>C7/B7</f>
        <v>1</v>
      </c>
      <c r="H7" s="1159">
        <f>C7/B7</f>
        <v>1</v>
      </c>
      <c r="I7" s="1160">
        <f>D7/B7</f>
        <v>1</v>
      </c>
      <c r="J7" s="1158">
        <f>D7/B7</f>
        <v>1</v>
      </c>
      <c r="K7" s="1159">
        <f>D7/B7</f>
        <v>1</v>
      </c>
      <c r="L7" s="1161">
        <f>E7/B7</f>
        <v>0.61714092479674798</v>
      </c>
      <c r="M7" s="1158">
        <f>E7/B7</f>
        <v>0.61714092479674798</v>
      </c>
      <c r="N7" s="1159">
        <f>E7/B7</f>
        <v>0.61714092479674798</v>
      </c>
    </row>
    <row r="8" spans="1:14">
      <c r="A8" s="1155" t="s">
        <v>605</v>
      </c>
      <c r="B8" s="1156">
        <f>'1024'!B44</f>
        <v>20000000</v>
      </c>
      <c r="C8" s="1156">
        <f>'1024'!M48</f>
        <v>18394943</v>
      </c>
      <c r="D8" s="1156">
        <f>'1024'!O48</f>
        <v>18394943</v>
      </c>
      <c r="E8" s="1156">
        <f>'1024'!AC48</f>
        <v>3397443</v>
      </c>
      <c r="F8" s="1157">
        <f>C8/B8</f>
        <v>0.91974714999999996</v>
      </c>
      <c r="G8" s="1158">
        <f>C8/B8</f>
        <v>0.91974714999999996</v>
      </c>
      <c r="H8" s="1159">
        <f>C8/B8</f>
        <v>0.91974714999999996</v>
      </c>
      <c r="I8" s="1160">
        <f>D8/B8</f>
        <v>0.91974714999999996</v>
      </c>
      <c r="J8" s="1158">
        <f>D8/B8</f>
        <v>0.91974714999999996</v>
      </c>
      <c r="K8" s="1159">
        <f>D8/B8</f>
        <v>0.91974714999999996</v>
      </c>
      <c r="L8" s="1161">
        <f>E8/B8</f>
        <v>0.16987215</v>
      </c>
      <c r="M8" s="1158">
        <f>E8/B8</f>
        <v>0.16987215</v>
      </c>
      <c r="N8" s="1159">
        <f>E8/B8</f>
        <v>0.16987215</v>
      </c>
    </row>
    <row r="9" spans="1:14">
      <c r="A9" s="1163" t="s">
        <v>606</v>
      </c>
      <c r="B9" s="1164">
        <f>SUM(B6:B8)</f>
        <v>740000000</v>
      </c>
      <c r="C9" s="1164">
        <f>SUM(C6:C8)</f>
        <v>730962199</v>
      </c>
      <c r="D9" s="1164">
        <f>SUM(D6:D8)</f>
        <v>730962199</v>
      </c>
      <c r="E9" s="1165">
        <f>SUM(E6:E8)</f>
        <v>383752711</v>
      </c>
      <c r="F9" s="1166">
        <f>C9/B9</f>
        <v>0.98778675540540539</v>
      </c>
      <c r="G9" s="1167">
        <f>C9/B9</f>
        <v>0.98778675540540539</v>
      </c>
      <c r="H9" s="1168">
        <f>C9/B9</f>
        <v>0.98778675540540539</v>
      </c>
      <c r="I9" s="1169">
        <f>D9/B9</f>
        <v>0.98778675540540539</v>
      </c>
      <c r="J9" s="1167">
        <f>D9/B9</f>
        <v>0.98778675540540539</v>
      </c>
      <c r="K9" s="1168">
        <f>D9/B9</f>
        <v>0.98778675540540539</v>
      </c>
      <c r="L9" s="1170">
        <f>E9/B9</f>
        <v>0.51858474459459458</v>
      </c>
      <c r="M9" s="1167">
        <f>E9/B9</f>
        <v>0.51858474459459458</v>
      </c>
      <c r="N9" s="1168">
        <f>E9/B9</f>
        <v>0.51858474459459458</v>
      </c>
    </row>
    <row r="10" spans="1:14" ht="24">
      <c r="A10" s="1211" t="s">
        <v>607</v>
      </c>
      <c r="B10" s="1211" t="s">
        <v>599</v>
      </c>
      <c r="C10" s="1211" t="s">
        <v>125</v>
      </c>
      <c r="D10" s="1211" t="s">
        <v>126</v>
      </c>
      <c r="E10" s="1211" t="s">
        <v>600</v>
      </c>
      <c r="F10" s="1211" t="s">
        <v>601</v>
      </c>
      <c r="G10" s="2157" t="s">
        <v>125</v>
      </c>
      <c r="H10" s="2158"/>
      <c r="I10" s="1211" t="s">
        <v>602</v>
      </c>
      <c r="J10" s="2157" t="s">
        <v>126</v>
      </c>
      <c r="K10" s="2158"/>
      <c r="L10" s="1211" t="s">
        <v>603</v>
      </c>
      <c r="M10" s="2157" t="s">
        <v>600</v>
      </c>
      <c r="N10" s="2158"/>
    </row>
    <row r="11" spans="1:14" ht="25.5">
      <c r="A11" s="1155" t="s">
        <v>22</v>
      </c>
      <c r="B11" s="1156">
        <f>'1024'!B55</f>
        <v>740000000</v>
      </c>
      <c r="C11" s="1156">
        <f>'1024'!M50</f>
        <v>730962199</v>
      </c>
      <c r="D11" s="1156">
        <f>'1024'!O50</f>
        <v>730962199</v>
      </c>
      <c r="E11" s="1156">
        <f>'1024'!AC50</f>
        <v>383752711</v>
      </c>
      <c r="F11" s="1157">
        <f>C11/B11</f>
        <v>0.98778675540540539</v>
      </c>
      <c r="G11" s="1158">
        <f>C11/B11</f>
        <v>0.98778675540540539</v>
      </c>
      <c r="H11" s="1159">
        <f>C11/B11</f>
        <v>0.98778675540540539</v>
      </c>
      <c r="I11" s="1160">
        <f>D11/B11</f>
        <v>0.98778675540540539</v>
      </c>
      <c r="J11" s="1158">
        <f>D11/B11</f>
        <v>0.98778675540540539</v>
      </c>
      <c r="K11" s="1159">
        <f>D11/B11</f>
        <v>0.98778675540540539</v>
      </c>
      <c r="L11" s="1161">
        <f>E11/B11</f>
        <v>0.51858474459459458</v>
      </c>
      <c r="M11" s="1158">
        <f>E11/B11</f>
        <v>0.51858474459459458</v>
      </c>
      <c r="N11" s="1159">
        <f>E11/B11</f>
        <v>0.51858474459459458</v>
      </c>
    </row>
    <row r="12" spans="1:14">
      <c r="A12" s="1171"/>
      <c r="B12" s="1172"/>
      <c r="C12" s="1172"/>
      <c r="D12" s="1172"/>
      <c r="E12" s="1172"/>
      <c r="F12" s="1173"/>
      <c r="G12" s="1174"/>
      <c r="H12" s="1175"/>
      <c r="I12" s="1173"/>
      <c r="J12" s="1174"/>
      <c r="K12" s="1175"/>
      <c r="L12" s="1176"/>
      <c r="M12" s="1174"/>
      <c r="N12" s="1175"/>
    </row>
    <row r="13" spans="1:14" ht="15">
      <c r="A13" s="2160" t="s">
        <v>608</v>
      </c>
      <c r="B13" s="2161"/>
      <c r="C13" s="2161"/>
      <c r="D13" s="2161"/>
      <c r="E13" s="2161"/>
      <c r="F13" s="2161"/>
      <c r="G13" s="2161"/>
      <c r="H13" s="2161"/>
      <c r="I13" s="2161"/>
      <c r="J13" s="2161"/>
      <c r="K13" s="2161"/>
      <c r="L13" s="2161"/>
      <c r="M13" s="2161"/>
      <c r="N13" s="2161"/>
    </row>
    <row r="14" spans="1:14">
      <c r="A14" s="1154"/>
      <c r="B14" s="1154"/>
      <c r="C14" s="1154"/>
      <c r="D14" s="1154"/>
      <c r="E14" s="1154"/>
      <c r="F14" s="1154"/>
      <c r="G14" s="1154"/>
      <c r="H14" s="1154"/>
      <c r="I14" s="1154"/>
      <c r="J14" s="1154"/>
      <c r="K14" s="1154"/>
      <c r="L14" s="1154"/>
      <c r="M14" s="1154"/>
      <c r="N14" s="1154"/>
    </row>
    <row r="15" spans="1:14" ht="24">
      <c r="A15" s="1209" t="s">
        <v>598</v>
      </c>
      <c r="B15" s="1209" t="s">
        <v>599</v>
      </c>
      <c r="C15" s="1209" t="s">
        <v>125</v>
      </c>
      <c r="D15" s="1209" t="s">
        <v>126</v>
      </c>
      <c r="E15" s="1209" t="s">
        <v>600</v>
      </c>
      <c r="F15" s="1210" t="s">
        <v>601</v>
      </c>
      <c r="G15" s="2162" t="s">
        <v>125</v>
      </c>
      <c r="H15" s="2163"/>
      <c r="I15" s="1210" t="s">
        <v>602</v>
      </c>
      <c r="J15" s="2162" t="s">
        <v>126</v>
      </c>
      <c r="K15" s="2163"/>
      <c r="L15" s="1210" t="s">
        <v>603</v>
      </c>
      <c r="M15" s="2162" t="s">
        <v>600</v>
      </c>
      <c r="N15" s="2163"/>
    </row>
    <row r="16" spans="1:14" ht="23.25" customHeight="1">
      <c r="A16" s="1155" t="s">
        <v>35</v>
      </c>
      <c r="B16" s="1156">
        <f>'1107'!B17</f>
        <v>3580208828</v>
      </c>
      <c r="C16" s="1156">
        <f>'1107'!M115+'1107'!M119+'1107'!M123+'1107'!M129</f>
        <v>2107747089</v>
      </c>
      <c r="D16" s="1156">
        <f>'1107'!O115+'1107'!O119+'1107'!O123+'1107'!O129</f>
        <v>2087230227</v>
      </c>
      <c r="E16" s="1156">
        <f>'1107'!AC115+'1107'!AC119+'1107'!AC123+'1107'!AC129</f>
        <v>1257958423</v>
      </c>
      <c r="F16" s="1157">
        <f>IFERROR(C16/B16,0)</f>
        <v>0.58872182888210001</v>
      </c>
      <c r="G16" s="1158">
        <f>IFERROR(C16/B16,0)</f>
        <v>0.58872182888210001</v>
      </c>
      <c r="H16" s="1159">
        <f>IFERROR(C16/B16,0)</f>
        <v>0.58872182888210001</v>
      </c>
      <c r="I16" s="1160">
        <f>IFERROR(D16/B16,0)</f>
        <v>0.58299119612136774</v>
      </c>
      <c r="J16" s="1158">
        <f>IFERROR(D16/B16,0)</f>
        <v>0.58299119612136774</v>
      </c>
      <c r="K16" s="1159">
        <f>IFERROR(D16/B16,0)</f>
        <v>0.58299119612136774</v>
      </c>
      <c r="L16" s="1161">
        <f>IFERROR(E16/B16,0)</f>
        <v>0.3513645386162374</v>
      </c>
      <c r="M16" s="1158">
        <f>IFERROR(E16/B16,0)</f>
        <v>0.3513645386162374</v>
      </c>
      <c r="N16" s="1159">
        <f>IFERROR(E16/B16,0)</f>
        <v>0.3513645386162374</v>
      </c>
    </row>
    <row r="17" spans="1:17" ht="23.25" customHeight="1">
      <c r="A17" s="1155" t="s">
        <v>41</v>
      </c>
      <c r="B17" s="1156">
        <f>'1107'!B190</f>
        <v>2771571172</v>
      </c>
      <c r="C17" s="1156">
        <f>'1107'!M258+'1107'!M262</f>
        <v>2735457844</v>
      </c>
      <c r="D17" s="1156">
        <f>'1107'!O258+'1107'!O262</f>
        <v>2693957844</v>
      </c>
      <c r="E17" s="1156">
        <f>'1107'!AC258+'1107'!AC262</f>
        <v>1504656807</v>
      </c>
      <c r="F17" s="1157">
        <f>C17/B17</f>
        <v>0.98697008817062415</v>
      </c>
      <c r="G17" s="1158">
        <f>C17/B17</f>
        <v>0.98697008817062415</v>
      </c>
      <c r="H17" s="1159">
        <f>C17/B17</f>
        <v>0.98697008817062415</v>
      </c>
      <c r="I17" s="1160">
        <f>D17/B17</f>
        <v>0.97199663180794549</v>
      </c>
      <c r="J17" s="1158">
        <f>D17/B17</f>
        <v>0.97199663180794549</v>
      </c>
      <c r="K17" s="1159">
        <f>D17/B17</f>
        <v>0.97199663180794549</v>
      </c>
      <c r="L17" s="1161">
        <f>E17/B17</f>
        <v>0.54288947085353789</v>
      </c>
      <c r="M17" s="1158">
        <f>E17/B17</f>
        <v>0.54288947085353789</v>
      </c>
      <c r="N17" s="1159">
        <f>E17/B17</f>
        <v>0.54288947085353789</v>
      </c>
    </row>
    <row r="18" spans="1:17" ht="38.25">
      <c r="A18" s="1155" t="s">
        <v>622</v>
      </c>
      <c r="B18" s="1156">
        <f>'1107'!B130</f>
        <v>586220000</v>
      </c>
      <c r="C18" s="1156">
        <f>'1107'!M189</f>
        <v>562953000</v>
      </c>
      <c r="D18" s="1156">
        <f>'1107'!O189</f>
        <v>562953000</v>
      </c>
      <c r="E18" s="1156">
        <f>'1107'!AC189</f>
        <v>461961633</v>
      </c>
      <c r="F18" s="1157">
        <f>C18/B18</f>
        <v>0.96031012247961511</v>
      </c>
      <c r="G18" s="1158">
        <f>C18/B18</f>
        <v>0.96031012247961511</v>
      </c>
      <c r="H18" s="1159">
        <f>C18/B18</f>
        <v>0.96031012247961511</v>
      </c>
      <c r="I18" s="1160">
        <f>D18/B18</f>
        <v>0.96031012247961511</v>
      </c>
      <c r="J18" s="1158">
        <f>D18/B18</f>
        <v>0.96031012247961511</v>
      </c>
      <c r="K18" s="1159">
        <f>D18/B18</f>
        <v>0.96031012247961511</v>
      </c>
      <c r="L18" s="1161">
        <f>E18/B18</f>
        <v>0.78803458257991876</v>
      </c>
      <c r="M18" s="1158">
        <f>E18/B18</f>
        <v>0.78803458257991876</v>
      </c>
      <c r="N18" s="1159">
        <f>E18/B18</f>
        <v>0.78803458257991876</v>
      </c>
    </row>
    <row r="19" spans="1:17">
      <c r="A19" s="1163" t="s">
        <v>606</v>
      </c>
      <c r="B19" s="1164">
        <f>SUM(B16:B18)</f>
        <v>6938000000</v>
      </c>
      <c r="C19" s="1164">
        <f>SUM(C16:C18)</f>
        <v>5406157933</v>
      </c>
      <c r="D19" s="1164">
        <f>SUM(D16:D18)</f>
        <v>5344141071</v>
      </c>
      <c r="E19" s="1165">
        <f>SUM(E16:E18)</f>
        <v>3224576863</v>
      </c>
      <c r="F19" s="1166">
        <f>C19/B19</f>
        <v>0.77920984909195734</v>
      </c>
      <c r="G19" s="1167">
        <f>C19/B19</f>
        <v>0.77920984909195734</v>
      </c>
      <c r="H19" s="1168">
        <f>C19/B19</f>
        <v>0.77920984909195734</v>
      </c>
      <c r="I19" s="1169">
        <f>D19/B19</f>
        <v>0.77027112582876911</v>
      </c>
      <c r="J19" s="1167">
        <f>D19/B19</f>
        <v>0.77027112582876911</v>
      </c>
      <c r="K19" s="1168">
        <f>D19/B19</f>
        <v>0.77027112582876911</v>
      </c>
      <c r="L19" s="1170">
        <f>E19/B19</f>
        <v>0.46477037518016717</v>
      </c>
      <c r="M19" s="1167">
        <f>E19/B19</f>
        <v>0.46477037518016717</v>
      </c>
      <c r="N19" s="1168">
        <f>E19/B19</f>
        <v>0.46477037518016717</v>
      </c>
    </row>
    <row r="20" spans="1:17" ht="24">
      <c r="A20" s="1211" t="s">
        <v>607</v>
      </c>
      <c r="B20" s="1211" t="s">
        <v>599</v>
      </c>
      <c r="C20" s="1211" t="s">
        <v>125</v>
      </c>
      <c r="D20" s="1211" t="s">
        <v>126</v>
      </c>
      <c r="E20" s="1211" t="s">
        <v>600</v>
      </c>
      <c r="F20" s="1211" t="s">
        <v>601</v>
      </c>
      <c r="G20" s="2157" t="s">
        <v>125</v>
      </c>
      <c r="H20" s="2158"/>
      <c r="I20" s="1211" t="s">
        <v>602</v>
      </c>
      <c r="J20" s="2157" t="s">
        <v>126</v>
      </c>
      <c r="K20" s="2158"/>
      <c r="L20" s="1211" t="s">
        <v>603</v>
      </c>
      <c r="M20" s="2157" t="s">
        <v>600</v>
      </c>
      <c r="N20" s="2158"/>
    </row>
    <row r="21" spans="1:17" ht="38.25">
      <c r="A21" s="1155" t="s">
        <v>609</v>
      </c>
      <c r="B21" s="1156">
        <f>'1107'!B271</f>
        <v>6938000000</v>
      </c>
      <c r="C21" s="1156">
        <f>'1107'!M264</f>
        <v>5406157933</v>
      </c>
      <c r="D21" s="1156">
        <f>'1107'!O264</f>
        <v>5344141071</v>
      </c>
      <c r="E21" s="1156">
        <f>'1107'!AC264</f>
        <v>3224576863</v>
      </c>
      <c r="F21" s="1157">
        <f>C21/B21</f>
        <v>0.77920984909195734</v>
      </c>
      <c r="G21" s="1158">
        <f>C21/B21</f>
        <v>0.77920984909195734</v>
      </c>
      <c r="H21" s="1159">
        <f>C21/B21</f>
        <v>0.77920984909195734</v>
      </c>
      <c r="I21" s="1160">
        <f>D21/B21</f>
        <v>0.77027112582876911</v>
      </c>
      <c r="J21" s="1158">
        <f>D21/B21</f>
        <v>0.77027112582876911</v>
      </c>
      <c r="K21" s="1159">
        <f>D21/B21</f>
        <v>0.77027112582876911</v>
      </c>
      <c r="L21" s="1161">
        <f>E21/B21</f>
        <v>0.46477037518016717</v>
      </c>
      <c r="M21" s="1158">
        <f>E21/B21</f>
        <v>0.46477037518016717</v>
      </c>
      <c r="N21" s="1159">
        <f>E21/B21</f>
        <v>0.46477037518016717</v>
      </c>
    </row>
    <row r="22" spans="1:17">
      <c r="A22" s="1171"/>
      <c r="B22" s="1172"/>
      <c r="C22" s="1172"/>
      <c r="D22" s="1172"/>
      <c r="E22" s="1172"/>
      <c r="F22" s="1173"/>
      <c r="G22" s="1174"/>
      <c r="H22" s="1175"/>
      <c r="I22" s="1173"/>
      <c r="J22" s="1174"/>
      <c r="K22" s="1175"/>
      <c r="L22" s="1176"/>
      <c r="M22" s="1174"/>
      <c r="N22" s="1175"/>
    </row>
    <row r="23" spans="1:17" ht="15">
      <c r="A23" s="2160" t="s">
        <v>610</v>
      </c>
      <c r="B23" s="2161"/>
      <c r="C23" s="2161"/>
      <c r="D23" s="2161"/>
      <c r="E23" s="2161"/>
      <c r="F23" s="2161"/>
      <c r="G23" s="2161"/>
      <c r="H23" s="2161"/>
      <c r="I23" s="2161"/>
      <c r="J23" s="2161"/>
      <c r="K23" s="2161"/>
      <c r="L23" s="2161"/>
      <c r="M23" s="2161"/>
      <c r="N23" s="2161"/>
    </row>
    <row r="24" spans="1:17">
      <c r="A24" s="1154"/>
      <c r="B24" s="1154"/>
      <c r="C24" s="1154"/>
      <c r="D24" s="1154"/>
      <c r="E24" s="1154"/>
      <c r="F24" s="1154"/>
      <c r="G24" s="1154"/>
      <c r="H24" s="1154"/>
      <c r="I24" s="1154"/>
      <c r="J24" s="1154"/>
      <c r="K24" s="1154"/>
      <c r="L24" s="1154"/>
      <c r="M24" s="1154"/>
      <c r="N24" s="1154"/>
    </row>
    <row r="25" spans="1:17" ht="24">
      <c r="A25" s="1209" t="s">
        <v>598</v>
      </c>
      <c r="B25" s="1209" t="s">
        <v>599</v>
      </c>
      <c r="C25" s="1209" t="s">
        <v>125</v>
      </c>
      <c r="D25" s="1209" t="s">
        <v>126</v>
      </c>
      <c r="E25" s="1209" t="s">
        <v>600</v>
      </c>
      <c r="F25" s="1210" t="s">
        <v>601</v>
      </c>
      <c r="G25" s="2162" t="s">
        <v>125</v>
      </c>
      <c r="H25" s="2163"/>
      <c r="I25" s="1210" t="s">
        <v>602</v>
      </c>
      <c r="J25" s="2162" t="s">
        <v>126</v>
      </c>
      <c r="K25" s="2163"/>
      <c r="L25" s="1210" t="s">
        <v>603</v>
      </c>
      <c r="M25" s="2162" t="s">
        <v>600</v>
      </c>
      <c r="N25" s="2163"/>
      <c r="Q25" s="114"/>
    </row>
    <row r="26" spans="1:17" ht="51">
      <c r="A26" s="1213" t="s">
        <v>625</v>
      </c>
      <c r="B26" s="1156">
        <f>'1110'!B83</f>
        <v>567820000</v>
      </c>
      <c r="C26" s="1156">
        <f>'1110'!M104</f>
        <v>469580670</v>
      </c>
      <c r="D26" s="1156">
        <f>'1110'!O104</f>
        <v>467217336</v>
      </c>
      <c r="E26" s="1156">
        <f>'1110'!AC104</f>
        <v>293102000</v>
      </c>
      <c r="F26" s="1177">
        <f>IFERROR(C26/B26,0)</f>
        <v>0.82698860554401044</v>
      </c>
      <c r="G26" s="1158">
        <f>IFERROR(C26/B26,0)</f>
        <v>0.82698860554401044</v>
      </c>
      <c r="H26" s="1159">
        <f>IFERROR(C26/B26,0)</f>
        <v>0.82698860554401044</v>
      </c>
      <c r="I26" s="1178">
        <f>IFERROR(D26/B26,0)</f>
        <v>0.82282648726709173</v>
      </c>
      <c r="J26" s="1158">
        <f>IFERROR(D26/B26,0)</f>
        <v>0.82282648726709173</v>
      </c>
      <c r="K26" s="1159">
        <f>IFERROR(D26/B26,0)</f>
        <v>0.82282648726709173</v>
      </c>
      <c r="L26" s="1161">
        <f>IFERROR(E26/B26,0)</f>
        <v>0.51618822866401326</v>
      </c>
      <c r="M26" s="1158">
        <f>IFERROR(E26/B26,0)</f>
        <v>0.51618822866401326</v>
      </c>
      <c r="N26" s="1159">
        <f>IFERROR(E26/B26,0)</f>
        <v>0.51618822866401326</v>
      </c>
    </row>
    <row r="27" spans="1:17" ht="25.5">
      <c r="A27" s="1155" t="s">
        <v>623</v>
      </c>
      <c r="B27" s="1156">
        <f>'1110'!B105</f>
        <v>2479052000</v>
      </c>
      <c r="C27" s="1156">
        <f>'1110'!M175+'1110'!M178</f>
        <v>2466344000</v>
      </c>
      <c r="D27" s="1156">
        <f>'1110'!O175+'1110'!O178</f>
        <v>2443874000</v>
      </c>
      <c r="E27" s="1156">
        <f>'1110'!AC175+'1110'!AC178</f>
        <v>1582287727</v>
      </c>
      <c r="F27" s="1177">
        <f t="shared" ref="F27:F32" si="0">C27/B27</f>
        <v>0.99487384693826508</v>
      </c>
      <c r="G27" s="1158">
        <f t="shared" ref="G27:G32" si="1">C27/B27</f>
        <v>0.99487384693826508</v>
      </c>
      <c r="H27" s="1159">
        <f t="shared" ref="H27:H32" si="2">C27/B27</f>
        <v>0.99487384693826508</v>
      </c>
      <c r="I27" s="1178">
        <f t="shared" ref="I27:I32" si="3">D27/B27</f>
        <v>0.98580989829983401</v>
      </c>
      <c r="J27" s="1158">
        <f t="shared" ref="J27:J32" si="4">D27/B27</f>
        <v>0.98580989829983401</v>
      </c>
      <c r="K27" s="1159">
        <f t="shared" ref="K27:K32" si="5">D27/B27</f>
        <v>0.98580989829983401</v>
      </c>
      <c r="L27" s="1161">
        <f t="shared" ref="L27:L32" si="6">E27/B27</f>
        <v>0.63826322602349606</v>
      </c>
      <c r="M27" s="1158">
        <f t="shared" ref="M27:M32" si="7">E27/B27</f>
        <v>0.63826322602349606</v>
      </c>
      <c r="N27" s="1159">
        <f t="shared" ref="N27:N32" si="8">E27/B27</f>
        <v>0.63826322602349606</v>
      </c>
    </row>
    <row r="28" spans="1:17" ht="25.5">
      <c r="A28" s="1155" t="s">
        <v>62</v>
      </c>
      <c r="B28" s="1156">
        <f>'1110'!B179</f>
        <v>259680000</v>
      </c>
      <c r="C28" s="1156">
        <f>'1110'!M187</f>
        <v>250180000</v>
      </c>
      <c r="D28" s="1156">
        <f>'1110'!O187</f>
        <v>249150000</v>
      </c>
      <c r="E28" s="1156">
        <f>'1110'!AC187</f>
        <v>163462000</v>
      </c>
      <c r="F28" s="1177">
        <f t="shared" si="0"/>
        <v>0.96341651263093042</v>
      </c>
      <c r="G28" s="1158">
        <f t="shared" si="1"/>
        <v>0.96341651263093042</v>
      </c>
      <c r="H28" s="1159">
        <f t="shared" si="2"/>
        <v>0.96341651263093042</v>
      </c>
      <c r="I28" s="1178">
        <f t="shared" si="3"/>
        <v>0.95945009242144175</v>
      </c>
      <c r="J28" s="1158">
        <f t="shared" si="4"/>
        <v>0.95945009242144175</v>
      </c>
      <c r="K28" s="1159">
        <f t="shared" si="5"/>
        <v>0.95945009242144175</v>
      </c>
      <c r="L28" s="1161">
        <f t="shared" si="6"/>
        <v>0.62947473813924826</v>
      </c>
      <c r="M28" s="1158">
        <f t="shared" si="7"/>
        <v>0.62947473813924826</v>
      </c>
      <c r="N28" s="1159">
        <f t="shared" si="8"/>
        <v>0.62947473813924826</v>
      </c>
    </row>
    <row r="29" spans="1:17" ht="38.25">
      <c r="A29" s="1155" t="s">
        <v>624</v>
      </c>
      <c r="B29" s="1156">
        <f>'1110'!B74</f>
        <v>295227139</v>
      </c>
      <c r="C29" s="1156">
        <f>'1110'!M82</f>
        <v>265350000</v>
      </c>
      <c r="D29" s="1156">
        <f>'1110'!O82</f>
        <v>265350000</v>
      </c>
      <c r="E29" s="1156">
        <f>'1110'!AC82</f>
        <v>171647333</v>
      </c>
      <c r="F29" s="1177">
        <f t="shared" si="0"/>
        <v>0.89879948333611703</v>
      </c>
      <c r="G29" s="1158">
        <f t="shared" si="1"/>
        <v>0.89879948333611703</v>
      </c>
      <c r="H29" s="1159">
        <f t="shared" si="2"/>
        <v>0.89879948333611703</v>
      </c>
      <c r="I29" s="1178">
        <f t="shared" si="3"/>
        <v>0.89879948333611703</v>
      </c>
      <c r="J29" s="1158">
        <f t="shared" si="4"/>
        <v>0.89879948333611703</v>
      </c>
      <c r="K29" s="1159">
        <f t="shared" si="5"/>
        <v>0.89879948333611703</v>
      </c>
      <c r="L29" s="1161">
        <f t="shared" si="6"/>
        <v>0.58140770384934026</v>
      </c>
      <c r="M29" s="1158">
        <f t="shared" si="7"/>
        <v>0.58140770384934026</v>
      </c>
      <c r="N29" s="1159">
        <f t="shared" si="8"/>
        <v>0.58140770384934026</v>
      </c>
    </row>
    <row r="30" spans="1:17" ht="25.5">
      <c r="A30" s="1155" t="s">
        <v>59</v>
      </c>
      <c r="B30" s="1156">
        <f>'1110'!B44</f>
        <v>508490000</v>
      </c>
      <c r="C30" s="1156">
        <f>'1110'!M65+'1110'!M73</f>
        <v>302218267</v>
      </c>
      <c r="D30" s="1156">
        <f>'1110'!O65+'1110'!O73</f>
        <v>259409070</v>
      </c>
      <c r="E30" s="1156">
        <f>'1110'!AC65+'1110'!AC73</f>
        <v>182423237</v>
      </c>
      <c r="F30" s="1177">
        <f t="shared" si="0"/>
        <v>0.59434456331491281</v>
      </c>
      <c r="G30" s="1158">
        <f t="shared" si="1"/>
        <v>0.59434456331491281</v>
      </c>
      <c r="H30" s="1159">
        <f t="shared" si="2"/>
        <v>0.59434456331491281</v>
      </c>
      <c r="I30" s="1178">
        <f t="shared" si="3"/>
        <v>0.51015569627721291</v>
      </c>
      <c r="J30" s="1158">
        <f t="shared" si="4"/>
        <v>0.51015569627721291</v>
      </c>
      <c r="K30" s="1159">
        <f t="shared" si="5"/>
        <v>0.51015569627721291</v>
      </c>
      <c r="L30" s="1161">
        <f t="shared" si="6"/>
        <v>0.35875481720387814</v>
      </c>
      <c r="M30" s="1158">
        <f t="shared" si="7"/>
        <v>0.35875481720387814</v>
      </c>
      <c r="N30" s="1159">
        <f t="shared" si="8"/>
        <v>0.35875481720387814</v>
      </c>
    </row>
    <row r="31" spans="1:17" ht="25.5">
      <c r="A31" s="1212" t="s">
        <v>53</v>
      </c>
      <c r="B31" s="1187">
        <f>'1110'!B17</f>
        <v>1467892861</v>
      </c>
      <c r="C31" s="1187">
        <f>'1110'!M33+'1110'!M38+'1110'!M43</f>
        <v>1360941311</v>
      </c>
      <c r="D31" s="1187">
        <f>'1110'!O33+'1110'!O38+'1110'!O43</f>
        <v>1288337296</v>
      </c>
      <c r="E31" s="1156">
        <f>'1110'!AC33+'1110'!AC38+'1110'!AC43</f>
        <v>525818039</v>
      </c>
      <c r="F31" s="1178">
        <f t="shared" si="0"/>
        <v>0.92713940312568899</v>
      </c>
      <c r="G31" s="1158">
        <f t="shared" si="1"/>
        <v>0.92713940312568899</v>
      </c>
      <c r="H31" s="1159">
        <f t="shared" si="2"/>
        <v>0.92713940312568899</v>
      </c>
      <c r="I31" s="1178">
        <f t="shared" si="3"/>
        <v>0.87767801740129858</v>
      </c>
      <c r="J31" s="1158">
        <f t="shared" si="4"/>
        <v>0.87767801740129858</v>
      </c>
      <c r="K31" s="1159">
        <f t="shared" si="5"/>
        <v>0.87767801740129858</v>
      </c>
      <c r="L31" s="1161">
        <f t="shared" si="6"/>
        <v>0.35821281850351611</v>
      </c>
      <c r="M31" s="1158">
        <f t="shared" si="7"/>
        <v>0.35821281850351611</v>
      </c>
      <c r="N31" s="1159">
        <f t="shared" si="8"/>
        <v>0.35821281850351611</v>
      </c>
    </row>
    <row r="32" spans="1:17">
      <c r="A32" s="1163" t="s">
        <v>606</v>
      </c>
      <c r="B32" s="1164">
        <f>SUM(B26:B31)</f>
        <v>5578162000</v>
      </c>
      <c r="C32" s="1164">
        <f>SUM(C26:C31)</f>
        <v>5114614248</v>
      </c>
      <c r="D32" s="1164">
        <f>SUM(D26:D31)</f>
        <v>4973337702</v>
      </c>
      <c r="E32" s="1164">
        <f>SUM(E26:E31)</f>
        <v>2918740336</v>
      </c>
      <c r="F32" s="1179">
        <f t="shared" si="0"/>
        <v>0.91689955365226039</v>
      </c>
      <c r="G32" s="1167">
        <f t="shared" si="1"/>
        <v>0.91689955365226039</v>
      </c>
      <c r="H32" s="1168">
        <f t="shared" si="2"/>
        <v>0.91689955365226039</v>
      </c>
      <c r="I32" s="1180">
        <f t="shared" si="3"/>
        <v>0.89157283384742148</v>
      </c>
      <c r="J32" s="1167">
        <f t="shared" si="4"/>
        <v>0.89157283384742148</v>
      </c>
      <c r="K32" s="1168">
        <f t="shared" si="5"/>
        <v>0.89157283384742148</v>
      </c>
      <c r="L32" s="1170">
        <f t="shared" si="6"/>
        <v>0.5232440965321552</v>
      </c>
      <c r="M32" s="1167">
        <f t="shared" si="7"/>
        <v>0.5232440965321552</v>
      </c>
      <c r="N32" s="1168">
        <f t="shared" si="8"/>
        <v>0.5232440965321552</v>
      </c>
    </row>
    <row r="33" spans="1:14" ht="24">
      <c r="A33" s="1211" t="s">
        <v>607</v>
      </c>
      <c r="B33" s="1211" t="s">
        <v>599</v>
      </c>
      <c r="C33" s="1211" t="s">
        <v>125</v>
      </c>
      <c r="D33" s="1211" t="s">
        <v>126</v>
      </c>
      <c r="E33" s="1211" t="s">
        <v>600</v>
      </c>
      <c r="F33" s="1211" t="s">
        <v>601</v>
      </c>
      <c r="G33" s="2157" t="s">
        <v>125</v>
      </c>
      <c r="H33" s="2158"/>
      <c r="I33" s="1211" t="s">
        <v>602</v>
      </c>
      <c r="J33" s="2157" t="s">
        <v>126</v>
      </c>
      <c r="K33" s="2158"/>
      <c r="L33" s="1211" t="s">
        <v>603</v>
      </c>
      <c r="M33" s="2157" t="s">
        <v>600</v>
      </c>
      <c r="N33" s="2158"/>
    </row>
    <row r="34" spans="1:14" ht="25.5">
      <c r="A34" s="1155" t="str">
        <f>'[10]1110'!A81</f>
        <v>10. Procesos articulados dentro del sistema integrado de gestión.</v>
      </c>
      <c r="B34" s="1156">
        <f>'1110'!B194</f>
        <v>5578162000</v>
      </c>
      <c r="C34" s="1156">
        <f>'1110'!M189</f>
        <v>5114614248</v>
      </c>
      <c r="D34" s="1156">
        <f>'1110'!O189</f>
        <v>4973337702</v>
      </c>
      <c r="E34" s="1156">
        <f>'1110'!AC189</f>
        <v>2918740336</v>
      </c>
      <c r="F34" s="1177">
        <f>C34/B34</f>
        <v>0.91689955365226039</v>
      </c>
      <c r="G34" s="1158">
        <f>C34/B34</f>
        <v>0.91689955365226039</v>
      </c>
      <c r="H34" s="1159">
        <f>C34/B34</f>
        <v>0.91689955365226039</v>
      </c>
      <c r="I34" s="1178">
        <f>D34/B34</f>
        <v>0.89157283384742148</v>
      </c>
      <c r="J34" s="1158">
        <f>D34/B34</f>
        <v>0.89157283384742148</v>
      </c>
      <c r="K34" s="1159">
        <f>D34/B34</f>
        <v>0.89157283384742148</v>
      </c>
      <c r="L34" s="1161">
        <f>E34/B34</f>
        <v>0.5232440965321552</v>
      </c>
      <c r="M34" s="1158">
        <f>E34/B34</f>
        <v>0.5232440965321552</v>
      </c>
      <c r="N34" s="1159">
        <f>E34/B34</f>
        <v>0.5232440965321552</v>
      </c>
    </row>
    <row r="35" spans="1:14">
      <c r="A35" s="1171"/>
      <c r="B35" s="1172"/>
      <c r="C35" s="1172"/>
      <c r="D35" s="1172"/>
      <c r="E35" s="1172"/>
      <c r="F35" s="1173"/>
      <c r="G35" s="1174"/>
      <c r="H35" s="1175"/>
      <c r="I35" s="1173"/>
      <c r="J35" s="1174"/>
      <c r="K35" s="1175"/>
      <c r="L35" s="1176"/>
      <c r="M35" s="1174"/>
      <c r="N35" s="1175"/>
    </row>
    <row r="36" spans="1:14" ht="15">
      <c r="A36" s="2160" t="s">
        <v>611</v>
      </c>
      <c r="B36" s="2161"/>
      <c r="C36" s="2161"/>
      <c r="D36" s="2161"/>
      <c r="E36" s="2161"/>
      <c r="F36" s="2161"/>
      <c r="G36" s="2161"/>
      <c r="H36" s="2161"/>
      <c r="I36" s="2161"/>
      <c r="J36" s="2161"/>
      <c r="K36" s="2161"/>
      <c r="L36" s="2161"/>
      <c r="M36" s="2161"/>
      <c r="N36" s="2161"/>
    </row>
    <row r="37" spans="1:14">
      <c r="A37" s="1154"/>
      <c r="B37" s="1154"/>
      <c r="C37" s="1154"/>
      <c r="D37" s="1154"/>
      <c r="E37" s="1154"/>
      <c r="F37" s="1154"/>
      <c r="G37" s="1154"/>
      <c r="H37" s="1154"/>
      <c r="I37" s="1154"/>
      <c r="J37" s="1154"/>
      <c r="K37" s="1154"/>
      <c r="L37" s="1154"/>
      <c r="M37" s="1154"/>
      <c r="N37" s="1154"/>
    </row>
    <row r="38" spans="1:14" ht="24">
      <c r="A38" s="1209" t="s">
        <v>598</v>
      </c>
      <c r="B38" s="1209" t="s">
        <v>599</v>
      </c>
      <c r="C38" s="1209" t="s">
        <v>125</v>
      </c>
      <c r="D38" s="1209" t="s">
        <v>126</v>
      </c>
      <c r="E38" s="1209" t="s">
        <v>600</v>
      </c>
      <c r="F38" s="1210" t="s">
        <v>601</v>
      </c>
      <c r="G38" s="2162" t="s">
        <v>125</v>
      </c>
      <c r="H38" s="2163"/>
      <c r="I38" s="1210" t="s">
        <v>602</v>
      </c>
      <c r="J38" s="2162" t="s">
        <v>126</v>
      </c>
      <c r="K38" s="2163"/>
      <c r="L38" s="1210" t="s">
        <v>603</v>
      </c>
      <c r="M38" s="2162" t="s">
        <v>600</v>
      </c>
      <c r="N38" s="2163"/>
    </row>
    <row r="39" spans="1:14" ht="25.5">
      <c r="A39" s="1213" t="s">
        <v>73</v>
      </c>
      <c r="B39" s="1156">
        <f>'1112'!B17</f>
        <v>1437411665</v>
      </c>
      <c r="C39" s="1156">
        <f>'1112'!M81</f>
        <v>1406704166</v>
      </c>
      <c r="D39" s="1156">
        <f>'1112'!O81</f>
        <v>1406704166</v>
      </c>
      <c r="E39" s="1156">
        <f>'1112'!AC81</f>
        <v>996394833</v>
      </c>
      <c r="F39" s="1177">
        <f>IFERROR(C39/B39,0)</f>
        <v>0.9786369487964327</v>
      </c>
      <c r="G39" s="1158">
        <f>IFERROR(C39/B39,0)</f>
        <v>0.9786369487964327</v>
      </c>
      <c r="H39" s="1159">
        <f>IFERROR(C39/B39,0)</f>
        <v>0.9786369487964327</v>
      </c>
      <c r="I39" s="1178">
        <f>IFERROR(D39/B39,0)</f>
        <v>0.9786369487964327</v>
      </c>
      <c r="J39" s="1158">
        <f>IFERROR(D39/B39,0)</f>
        <v>0.9786369487964327</v>
      </c>
      <c r="K39" s="1159">
        <f>IFERROR(D39/B39,0)</f>
        <v>0.9786369487964327</v>
      </c>
      <c r="L39" s="1161">
        <f>IFERROR(E39/B39,0)</f>
        <v>0.69318682828415756</v>
      </c>
      <c r="M39" s="1158">
        <f>IFERROR(E39/B39,0)</f>
        <v>0.69318682828415756</v>
      </c>
      <c r="N39" s="1159">
        <f>IFERROR(E39/B39,0)</f>
        <v>0.69318682828415756</v>
      </c>
    </row>
    <row r="40" spans="1:14" ht="25.5">
      <c r="A40" s="1213" t="s">
        <v>75</v>
      </c>
      <c r="B40" s="1156">
        <f>'1112'!B89</f>
        <v>768861668</v>
      </c>
      <c r="C40" s="1156">
        <f>'1112'!O115</f>
        <v>760101668</v>
      </c>
      <c r="D40" s="1156">
        <f>'1112'!O115</f>
        <v>760101668</v>
      </c>
      <c r="E40" s="1156">
        <f>'1112'!AC115</f>
        <v>388974665</v>
      </c>
      <c r="F40" s="1177">
        <f>C40/B40</f>
        <v>0.98860653305452606</v>
      </c>
      <c r="G40" s="1158">
        <f>C40/B40</f>
        <v>0.98860653305452606</v>
      </c>
      <c r="H40" s="1159">
        <f>C40/B40</f>
        <v>0.98860653305452606</v>
      </c>
      <c r="I40" s="1178">
        <f>D40/B40</f>
        <v>0.98860653305452606</v>
      </c>
      <c r="J40" s="1158">
        <f>D40/B40</f>
        <v>0.98860653305452606</v>
      </c>
      <c r="K40" s="1159">
        <f>D40/B40</f>
        <v>0.98860653305452606</v>
      </c>
      <c r="L40" s="1161">
        <f>E40/B40</f>
        <v>0.50590981601647489</v>
      </c>
      <c r="M40" s="1158">
        <f>E40/B40</f>
        <v>0.50590981601647489</v>
      </c>
      <c r="N40" s="1159">
        <f>E40/B40</f>
        <v>0.50590981601647489</v>
      </c>
    </row>
    <row r="41" spans="1:14" ht="38.25">
      <c r="A41" s="1213" t="s">
        <v>626</v>
      </c>
      <c r="B41" s="1156">
        <f>'1112'!B116</f>
        <v>217726667</v>
      </c>
      <c r="C41" s="1156">
        <f>'1112'!M123</f>
        <v>217726667</v>
      </c>
      <c r="D41" s="1156">
        <f>'1112'!O123</f>
        <v>217726667</v>
      </c>
      <c r="E41" s="1156">
        <f>'1112'!AC123</f>
        <v>139511334</v>
      </c>
      <c r="F41" s="1177">
        <f>IFERROR(C41/B41,0)</f>
        <v>1</v>
      </c>
      <c r="G41" s="1158">
        <f>IFERROR(C41/B41,0)</f>
        <v>1</v>
      </c>
      <c r="H41" s="1159">
        <f>IFERROR(C41/B41,0)</f>
        <v>1</v>
      </c>
      <c r="I41" s="1178">
        <f>IFERROR(D41/B41,0)</f>
        <v>1</v>
      </c>
      <c r="J41" s="1158">
        <f>IFERROR(D41/B41,0)</f>
        <v>1</v>
      </c>
      <c r="K41" s="1159">
        <f>IFERROR(D41/B41,0)</f>
        <v>1</v>
      </c>
      <c r="L41" s="1161">
        <f>IFERROR(E41/B41,0)</f>
        <v>0.64076365069236096</v>
      </c>
      <c r="M41" s="1158">
        <f>IFERROR(E41/B41,0)</f>
        <v>0.64076365069236096</v>
      </c>
      <c r="N41" s="1159">
        <f>IFERROR(E41/B41,0)</f>
        <v>0.64076365069236096</v>
      </c>
    </row>
    <row r="42" spans="1:14" ht="51">
      <c r="A42" s="1212" t="s">
        <v>1357</v>
      </c>
      <c r="B42" s="1187">
        <f>'1112'!B82</f>
        <v>499660347</v>
      </c>
      <c r="C42" s="1187">
        <f>'1112'!M88</f>
        <v>427383000</v>
      </c>
      <c r="D42" s="1187">
        <f>'1112'!O88</f>
        <v>0</v>
      </c>
      <c r="E42" s="1187">
        <f>'1112'!AC88</f>
        <v>0</v>
      </c>
      <c r="F42" s="1177">
        <f>IFERROR(C42/B42,0)</f>
        <v>0.85534704237796966</v>
      </c>
      <c r="G42" s="1158">
        <f>IFERROR(C42/B42,0)</f>
        <v>0.85534704237796966</v>
      </c>
      <c r="H42" s="1159">
        <f>IFERROR(C42/B42,0)</f>
        <v>0.85534704237796966</v>
      </c>
      <c r="I42" s="1178">
        <f>IFERROR(D42/B42,0)</f>
        <v>0</v>
      </c>
      <c r="J42" s="1158">
        <f>IFERROR(D42/B42,0)</f>
        <v>0</v>
      </c>
      <c r="K42" s="1159">
        <f>IFERROR(D42/B42,0)</f>
        <v>0</v>
      </c>
      <c r="L42" s="1161">
        <f>IFERROR(E42/B42,0)</f>
        <v>0</v>
      </c>
      <c r="M42" s="1158">
        <f>IFERROR(E42/B42,0)</f>
        <v>0</v>
      </c>
      <c r="N42" s="1159">
        <f>IFERROR(E42/B42,0)</f>
        <v>0</v>
      </c>
    </row>
    <row r="43" spans="1:14">
      <c r="A43" s="1163" t="s">
        <v>606</v>
      </c>
      <c r="B43" s="1164">
        <f>SUM(B39:B42)</f>
        <v>2923660347</v>
      </c>
      <c r="C43" s="1164">
        <f>SUM(C39:C42)</f>
        <v>2811915501</v>
      </c>
      <c r="D43" s="1164">
        <f>SUM(D39:D42)</f>
        <v>2384532501</v>
      </c>
      <c r="E43" s="1164">
        <f>SUM(E39:E42)</f>
        <v>1524880832</v>
      </c>
      <c r="F43" s="1179">
        <f>C43/B43</f>
        <v>0.96177912864787363</v>
      </c>
      <c r="G43" s="1167">
        <f>C43/B43</f>
        <v>0.96177912864787363</v>
      </c>
      <c r="H43" s="1168">
        <f>C43/B43</f>
        <v>0.96177912864787363</v>
      </c>
      <c r="I43" s="1180">
        <f>D43/B43</f>
        <v>0.81559833153902261</v>
      </c>
      <c r="J43" s="1167">
        <f>D43/B43</f>
        <v>0.81559833153902261</v>
      </c>
      <c r="K43" s="1168">
        <f>D43/B43</f>
        <v>0.81559833153902261</v>
      </c>
      <c r="L43" s="1170">
        <f>E43/B43</f>
        <v>0.52156565777714126</v>
      </c>
      <c r="M43" s="1167">
        <f>E43/B43</f>
        <v>0.52156565777714126</v>
      </c>
      <c r="N43" s="1168">
        <f>E43/B43</f>
        <v>0.52156565777714126</v>
      </c>
    </row>
    <row r="44" spans="1:14" ht="24">
      <c r="A44" s="1211" t="s">
        <v>607</v>
      </c>
      <c r="B44" s="1211" t="s">
        <v>599</v>
      </c>
      <c r="C44" s="1211" t="s">
        <v>125</v>
      </c>
      <c r="D44" s="1211" t="s">
        <v>126</v>
      </c>
      <c r="E44" s="1211" t="s">
        <v>600</v>
      </c>
      <c r="F44" s="1211" t="s">
        <v>601</v>
      </c>
      <c r="G44" s="2157" t="s">
        <v>125</v>
      </c>
      <c r="H44" s="2158"/>
      <c r="I44" s="1211" t="s">
        <v>602</v>
      </c>
      <c r="J44" s="2157" t="s">
        <v>126</v>
      </c>
      <c r="K44" s="2158"/>
      <c r="L44" s="1211" t="s">
        <v>603</v>
      </c>
      <c r="M44" s="2157" t="s">
        <v>600</v>
      </c>
      <c r="N44" s="2158"/>
    </row>
    <row r="45" spans="1:14" ht="38.25">
      <c r="A45" s="1155" t="str">
        <f>'[10]1112'!A94</f>
        <v>15. Instrumentos técnicos de gestión para la preservación del patrimonio cultural</v>
      </c>
      <c r="B45" s="1156">
        <f>'1112'!B131</f>
        <v>2923660347</v>
      </c>
      <c r="C45" s="1156">
        <f>'1112'!M125</f>
        <v>2811915501</v>
      </c>
      <c r="D45" s="1156">
        <f>'1112'!O125</f>
        <v>2384532501</v>
      </c>
      <c r="E45" s="1156">
        <f>'1112'!AC125</f>
        <v>1524880832</v>
      </c>
      <c r="F45" s="1177">
        <f>C45/B45</f>
        <v>0.96177912864787363</v>
      </c>
      <c r="G45" s="1158">
        <f>C45/B45</f>
        <v>0.96177912864787363</v>
      </c>
      <c r="H45" s="1159">
        <f>C45/B45</f>
        <v>0.96177912864787363</v>
      </c>
      <c r="I45" s="1178">
        <f>D45/B45</f>
        <v>0.81559833153902261</v>
      </c>
      <c r="J45" s="1158">
        <f>D45/B45</f>
        <v>0.81559833153902261</v>
      </c>
      <c r="K45" s="1159">
        <f>D45/B45</f>
        <v>0.81559833153902261</v>
      </c>
      <c r="L45" s="1161">
        <f>E45/B45</f>
        <v>0.52156565777714126</v>
      </c>
      <c r="M45" s="1158">
        <f>E45/B45</f>
        <v>0.52156565777714126</v>
      </c>
      <c r="N45" s="1159">
        <f>E45/B45</f>
        <v>0.52156565777714126</v>
      </c>
    </row>
    <row r="46" spans="1:14">
      <c r="A46" s="1171"/>
      <c r="B46" s="1172"/>
      <c r="C46" s="1172"/>
      <c r="D46" s="1172"/>
      <c r="E46" s="1172"/>
      <c r="F46" s="1173"/>
      <c r="G46" s="1174"/>
      <c r="H46" s="1175"/>
      <c r="I46" s="1173"/>
      <c r="J46" s="1174"/>
      <c r="K46" s="1175"/>
      <c r="L46" s="1176"/>
      <c r="M46" s="1174"/>
      <c r="N46" s="1175"/>
    </row>
    <row r="47" spans="1:14" ht="15">
      <c r="A47" s="2160" t="s">
        <v>612</v>
      </c>
      <c r="B47" s="2161"/>
      <c r="C47" s="2161"/>
      <c r="D47" s="2161"/>
      <c r="E47" s="2161"/>
      <c r="F47" s="2161"/>
      <c r="G47" s="2161"/>
      <c r="H47" s="2161"/>
      <c r="I47" s="2161"/>
      <c r="J47" s="2161"/>
      <c r="K47" s="2161"/>
      <c r="L47" s="2161"/>
      <c r="M47" s="2161"/>
      <c r="N47" s="2161"/>
    </row>
    <row r="48" spans="1:14">
      <c r="A48" s="1154"/>
      <c r="B48" s="1154"/>
      <c r="C48" s="1154"/>
      <c r="D48" s="1154"/>
      <c r="E48" s="1154"/>
      <c r="F48" s="1154"/>
      <c r="G48" s="1154"/>
      <c r="H48" s="1154"/>
      <c r="I48" s="1154"/>
      <c r="J48" s="1154"/>
      <c r="K48" s="1154"/>
      <c r="L48" s="1154"/>
      <c r="M48" s="1154"/>
      <c r="N48" s="1154"/>
    </row>
    <row r="49" spans="1:14" ht="24">
      <c r="A49" s="1209" t="s">
        <v>598</v>
      </c>
      <c r="B49" s="1209" t="s">
        <v>599</v>
      </c>
      <c r="C49" s="1209" t="s">
        <v>125</v>
      </c>
      <c r="D49" s="1209" t="s">
        <v>126</v>
      </c>
      <c r="E49" s="1209" t="s">
        <v>600</v>
      </c>
      <c r="F49" s="1210" t="s">
        <v>601</v>
      </c>
      <c r="G49" s="2162" t="s">
        <v>125</v>
      </c>
      <c r="H49" s="2163"/>
      <c r="I49" s="1210" t="s">
        <v>602</v>
      </c>
      <c r="J49" s="2162" t="s">
        <v>126</v>
      </c>
      <c r="K49" s="2163"/>
      <c r="L49" s="1210" t="s">
        <v>603</v>
      </c>
      <c r="M49" s="2162" t="s">
        <v>600</v>
      </c>
      <c r="N49" s="2163"/>
    </row>
    <row r="50" spans="1:14" ht="25.5">
      <c r="A50" s="1215" t="str">
        <f>'[10]1114'!A16</f>
        <v xml:space="preserve">Bienes de Interés Cultural de tipo inmueble intervenidos </v>
      </c>
      <c r="B50" s="1214">
        <f>SUM(B51:B62)</f>
        <v>13706575753</v>
      </c>
      <c r="C50" s="1214">
        <f>SUM(C51:C62)</f>
        <v>7310664241</v>
      </c>
      <c r="D50" s="1214">
        <f>SUM(D51:D62)</f>
        <v>6127690838</v>
      </c>
      <c r="E50" s="1214">
        <f>SUM(E51:E62)</f>
        <v>3546398087</v>
      </c>
      <c r="F50" s="1181">
        <f t="shared" ref="F50:F70" si="9">IFERROR(C50/B50,0)</f>
        <v>0.53336911951913979</v>
      </c>
      <c r="G50" s="1182">
        <f t="shared" ref="G50:G62" si="10">IFERROR(C50/B50,0)</f>
        <v>0.53336911951913979</v>
      </c>
      <c r="H50" s="1183">
        <f t="shared" ref="H50:H70" si="11">IFERROR(C50/B50,0)</f>
        <v>0.53336911951913979</v>
      </c>
      <c r="I50" s="1184">
        <f t="shared" ref="I50:I70" si="12">IFERROR(D50/B50,0)</f>
        <v>0.44706212174538296</v>
      </c>
      <c r="J50" s="1182">
        <f t="shared" ref="J50:J70" si="13">IFERROR(D50/B50,0)</f>
        <v>0.44706212174538296</v>
      </c>
      <c r="K50" s="1183">
        <f t="shared" ref="K50:K70" si="14">IFERROR(D50/B50,0)</f>
        <v>0.44706212174538296</v>
      </c>
      <c r="L50" s="1185">
        <f t="shared" ref="L50:L70" si="15">IFERROR(E50/B50,0)</f>
        <v>0.2587369851455269</v>
      </c>
      <c r="M50" s="1182">
        <f t="shared" ref="M50:M70" si="16">IFERROR(E50/B50,0)</f>
        <v>0.2587369851455269</v>
      </c>
      <c r="N50" s="1183">
        <f t="shared" ref="N50:N70" si="17">IFERROR(E50/B50,0)</f>
        <v>0.2587369851455269</v>
      </c>
    </row>
    <row r="51" spans="1:14">
      <c r="A51" s="1155" t="s">
        <v>613</v>
      </c>
      <c r="B51" s="1156">
        <f>'1114'!B18</f>
        <v>499999999</v>
      </c>
      <c r="C51" s="1156">
        <f>'1114'!M24</f>
        <v>389542533</v>
      </c>
      <c r="D51" s="1156">
        <f>'1114'!O24</f>
        <v>0</v>
      </c>
      <c r="E51" s="1156">
        <f>'1114'!AC24</f>
        <v>0</v>
      </c>
      <c r="F51" s="1177">
        <f t="shared" si="9"/>
        <v>0.77908506755817009</v>
      </c>
      <c r="G51" s="1158">
        <f t="shared" si="10"/>
        <v>0.77908506755817009</v>
      </c>
      <c r="H51" s="1159">
        <f t="shared" si="11"/>
        <v>0.77908506755817009</v>
      </c>
      <c r="I51" s="1178">
        <f t="shared" si="12"/>
        <v>0</v>
      </c>
      <c r="J51" s="1158">
        <f t="shared" si="13"/>
        <v>0</v>
      </c>
      <c r="K51" s="1159">
        <f t="shared" si="14"/>
        <v>0</v>
      </c>
      <c r="L51" s="1161">
        <f t="shared" si="15"/>
        <v>0</v>
      </c>
      <c r="M51" s="1158">
        <f t="shared" si="16"/>
        <v>0</v>
      </c>
      <c r="N51" s="1159">
        <f t="shared" si="17"/>
        <v>0</v>
      </c>
    </row>
    <row r="52" spans="1:14" ht="25.5">
      <c r="A52" s="1213" t="s">
        <v>1143</v>
      </c>
      <c r="B52" s="1156">
        <f>'1114'!B25</f>
        <v>251888417</v>
      </c>
      <c r="C52" s="1156">
        <f>'1114'!M28</f>
        <v>251888417</v>
      </c>
      <c r="D52" s="1156">
        <f>'1114'!O28</f>
        <v>0</v>
      </c>
      <c r="E52" s="1156">
        <f>'1114'!AC28</f>
        <v>0</v>
      </c>
      <c r="F52" s="1177">
        <f t="shared" ref="F52" si="18">IFERROR(C52/B52,0)</f>
        <v>1</v>
      </c>
      <c r="G52" s="1158">
        <f t="shared" ref="G52" si="19">IFERROR(C52/B52,0)</f>
        <v>1</v>
      </c>
      <c r="H52" s="1159">
        <f t="shared" ref="H52" si="20">IFERROR(C52/B52,0)</f>
        <v>1</v>
      </c>
      <c r="I52" s="1178">
        <f t="shared" ref="I52" si="21">IFERROR(D52/B52,0)</f>
        <v>0</v>
      </c>
      <c r="J52" s="1158">
        <f t="shared" ref="J52" si="22">IFERROR(D52/B52,0)</f>
        <v>0</v>
      </c>
      <c r="K52" s="1159">
        <f t="shared" ref="K52" si="23">IFERROR(D52/B52,0)</f>
        <v>0</v>
      </c>
      <c r="L52" s="1161">
        <f t="shared" ref="L52" si="24">IFERROR(E52/B52,0)</f>
        <v>0</v>
      </c>
      <c r="M52" s="1158">
        <f t="shared" ref="M52" si="25">IFERROR(E52/B52,0)</f>
        <v>0</v>
      </c>
      <c r="N52" s="1159">
        <f t="shared" ref="N52" si="26">IFERROR(E52/B52,0)</f>
        <v>0</v>
      </c>
    </row>
    <row r="53" spans="1:14">
      <c r="A53" s="1213" t="s">
        <v>628</v>
      </c>
      <c r="B53" s="1156">
        <f>'1114'!B29</f>
        <v>6035425773</v>
      </c>
      <c r="C53" s="1156">
        <f>'1114'!M37+'1114'!M40+'1114'!M43+'1114'!M46+'1114'!M49+'1114'!M55+'1114'!M58</f>
        <v>129457575</v>
      </c>
      <c r="D53" s="1156">
        <f>'1114'!O37+'1114'!O40+'1114'!O43+'1114'!O46+'1114'!O49+'1114'!O55+'1114'!O58</f>
        <v>56777699</v>
      </c>
      <c r="E53" s="1156">
        <f>'1114'!AC37+'1114'!AC40+'1114'!AC43+'1114'!AC46+'1114'!AC49+'1114'!AC55+'1114'!AC58</f>
        <v>31942537</v>
      </c>
      <c r="F53" s="1177">
        <f t="shared" si="9"/>
        <v>2.1449617619214153E-2</v>
      </c>
      <c r="G53" s="1158">
        <f t="shared" si="10"/>
        <v>2.1449617619214153E-2</v>
      </c>
      <c r="H53" s="1159">
        <f t="shared" si="11"/>
        <v>2.1449617619214153E-2</v>
      </c>
      <c r="I53" s="1178">
        <f t="shared" si="12"/>
        <v>9.4074057300149328E-3</v>
      </c>
      <c r="J53" s="1158">
        <f t="shared" si="13"/>
        <v>9.4074057300149328E-3</v>
      </c>
      <c r="K53" s="1159">
        <f t="shared" si="14"/>
        <v>9.4074057300149328E-3</v>
      </c>
      <c r="L53" s="1161">
        <f t="shared" si="15"/>
        <v>5.2925076376380449E-3</v>
      </c>
      <c r="M53" s="1158">
        <f t="shared" si="16"/>
        <v>5.2925076376380449E-3</v>
      </c>
      <c r="N53" s="1159">
        <f t="shared" si="17"/>
        <v>5.2925076376380449E-3</v>
      </c>
    </row>
    <row r="54" spans="1:14">
      <c r="A54" s="1213" t="s">
        <v>629</v>
      </c>
      <c r="B54" s="1156">
        <f>'1114'!B59</f>
        <v>100000000</v>
      </c>
      <c r="C54" s="1156">
        <f>'1114'!M61</f>
        <v>0</v>
      </c>
      <c r="D54" s="1156">
        <f>'1114'!O61</f>
        <v>0</v>
      </c>
      <c r="E54" s="1156">
        <f>'1114'!AC61</f>
        <v>0</v>
      </c>
      <c r="F54" s="1177">
        <f t="shared" si="9"/>
        <v>0</v>
      </c>
      <c r="G54" s="1158">
        <f t="shared" si="10"/>
        <v>0</v>
      </c>
      <c r="H54" s="1159">
        <f t="shared" si="11"/>
        <v>0</v>
      </c>
      <c r="I54" s="1178">
        <f t="shared" si="12"/>
        <v>0</v>
      </c>
      <c r="J54" s="1158">
        <f t="shared" si="13"/>
        <v>0</v>
      </c>
      <c r="K54" s="1159">
        <f t="shared" si="14"/>
        <v>0</v>
      </c>
      <c r="L54" s="1161">
        <f t="shared" si="15"/>
        <v>0</v>
      </c>
      <c r="M54" s="1158">
        <f t="shared" si="16"/>
        <v>0</v>
      </c>
      <c r="N54" s="1159">
        <f t="shared" si="17"/>
        <v>0</v>
      </c>
    </row>
    <row r="55" spans="1:14">
      <c r="A55" s="1213" t="s">
        <v>630</v>
      </c>
      <c r="B55" s="1156">
        <f>'1114'!B62</f>
        <v>330000000</v>
      </c>
      <c r="C55" s="1156">
        <f>'1114'!M67</f>
        <v>245333333</v>
      </c>
      <c r="D55" s="1156">
        <f>'1114'!O67</f>
        <v>15333333</v>
      </c>
      <c r="E55" s="1156">
        <f>'1114'!AC67</f>
        <v>0</v>
      </c>
      <c r="F55" s="1177">
        <f t="shared" si="9"/>
        <v>0.74343434242424244</v>
      </c>
      <c r="G55" s="1158">
        <f t="shared" si="10"/>
        <v>0.74343434242424244</v>
      </c>
      <c r="H55" s="1159">
        <f t="shared" si="11"/>
        <v>0.74343434242424244</v>
      </c>
      <c r="I55" s="1178">
        <f t="shared" si="12"/>
        <v>4.6464645454545456E-2</v>
      </c>
      <c r="J55" s="1158">
        <f t="shared" si="13"/>
        <v>4.6464645454545456E-2</v>
      </c>
      <c r="K55" s="1159">
        <f t="shared" si="14"/>
        <v>4.6464645454545456E-2</v>
      </c>
      <c r="L55" s="1161">
        <f t="shared" si="15"/>
        <v>0</v>
      </c>
      <c r="M55" s="1158">
        <f t="shared" si="16"/>
        <v>0</v>
      </c>
      <c r="N55" s="1159">
        <f t="shared" si="17"/>
        <v>0</v>
      </c>
    </row>
    <row r="56" spans="1:14">
      <c r="A56" s="1213" t="s">
        <v>631</v>
      </c>
      <c r="B56" s="1156">
        <f>'1114'!B68</f>
        <v>885000000</v>
      </c>
      <c r="C56" s="1156">
        <f>'1114'!M75</f>
        <v>884628413</v>
      </c>
      <c r="D56" s="1156">
        <f>'1114'!O75</f>
        <v>866123059</v>
      </c>
      <c r="E56" s="1156">
        <f>'1114'!AC75</f>
        <v>516818549</v>
      </c>
      <c r="F56" s="1177">
        <f t="shared" si="9"/>
        <v>0.99958012768361582</v>
      </c>
      <c r="G56" s="1158">
        <f t="shared" ref="G56:G61" si="27">IFERROR(C56/B56,0)</f>
        <v>0.99958012768361582</v>
      </c>
      <c r="H56" s="1159">
        <f t="shared" si="11"/>
        <v>0.99958012768361582</v>
      </c>
      <c r="I56" s="1178">
        <f t="shared" si="12"/>
        <v>0.97867012316384183</v>
      </c>
      <c r="J56" s="1158">
        <f t="shared" si="13"/>
        <v>0.97867012316384183</v>
      </c>
      <c r="K56" s="1159">
        <f t="shared" si="14"/>
        <v>0.97867012316384183</v>
      </c>
      <c r="L56" s="1161">
        <f t="shared" si="15"/>
        <v>0.58397576158192088</v>
      </c>
      <c r="M56" s="1158">
        <f t="shared" si="16"/>
        <v>0.58397576158192088</v>
      </c>
      <c r="N56" s="1159">
        <f t="shared" si="17"/>
        <v>0.58397576158192088</v>
      </c>
    </row>
    <row r="57" spans="1:14">
      <c r="A57" s="1213" t="s">
        <v>632</v>
      </c>
      <c r="B57" s="1156">
        <f>'1114'!B76</f>
        <v>430000000</v>
      </c>
      <c r="C57" s="1156">
        <f>'1114'!M84</f>
        <v>423402072</v>
      </c>
      <c r="D57" s="1156">
        <f>'1114'!O84</f>
        <v>423402072</v>
      </c>
      <c r="E57" s="1156">
        <f>'1114'!AC84</f>
        <v>401979393</v>
      </c>
      <c r="F57" s="1177">
        <f t="shared" si="9"/>
        <v>0.98465598139534882</v>
      </c>
      <c r="G57" s="1158">
        <f t="shared" si="27"/>
        <v>0.98465598139534882</v>
      </c>
      <c r="H57" s="1159">
        <f t="shared" si="11"/>
        <v>0.98465598139534882</v>
      </c>
      <c r="I57" s="1178">
        <f t="shared" si="12"/>
        <v>0.98465598139534882</v>
      </c>
      <c r="J57" s="1158">
        <f t="shared" si="13"/>
        <v>0.98465598139534882</v>
      </c>
      <c r="K57" s="1159">
        <f t="shared" si="14"/>
        <v>0.98465598139534882</v>
      </c>
      <c r="L57" s="1161">
        <f t="shared" si="15"/>
        <v>0.9348357976744186</v>
      </c>
      <c r="M57" s="1158">
        <f t="shared" si="16"/>
        <v>0.9348357976744186</v>
      </c>
      <c r="N57" s="1159">
        <f t="shared" si="17"/>
        <v>0.9348357976744186</v>
      </c>
    </row>
    <row r="58" spans="1:14">
      <c r="A58" s="1213" t="s">
        <v>633</v>
      </c>
      <c r="B58" s="1156">
        <f>'1114'!B85</f>
        <v>156936164</v>
      </c>
      <c r="C58" s="1156">
        <f>'1114'!M89</f>
        <v>0</v>
      </c>
      <c r="D58" s="1156">
        <f>'1114'!O89</f>
        <v>0</v>
      </c>
      <c r="E58" s="1156">
        <f>'1114'!AC89</f>
        <v>0</v>
      </c>
      <c r="F58" s="1177">
        <f t="shared" si="9"/>
        <v>0</v>
      </c>
      <c r="G58" s="1158">
        <f t="shared" si="27"/>
        <v>0</v>
      </c>
      <c r="H58" s="1159">
        <f t="shared" si="11"/>
        <v>0</v>
      </c>
      <c r="I58" s="1178">
        <f t="shared" si="12"/>
        <v>0</v>
      </c>
      <c r="J58" s="1158">
        <f t="shared" si="13"/>
        <v>0</v>
      </c>
      <c r="K58" s="1159">
        <f t="shared" si="14"/>
        <v>0</v>
      </c>
      <c r="L58" s="1161">
        <f t="shared" si="15"/>
        <v>0</v>
      </c>
      <c r="M58" s="1158">
        <f t="shared" si="16"/>
        <v>0</v>
      </c>
      <c r="N58" s="1159">
        <f t="shared" si="17"/>
        <v>0</v>
      </c>
    </row>
    <row r="59" spans="1:14">
      <c r="A59" s="1213" t="s">
        <v>1193</v>
      </c>
      <c r="B59" s="1156">
        <f>'1114'!B90</f>
        <v>79592836</v>
      </c>
      <c r="C59" s="1156">
        <f>'1114'!M94</f>
        <v>79592836</v>
      </c>
      <c r="D59" s="1156">
        <f>'1114'!O94</f>
        <v>79592836</v>
      </c>
      <c r="E59" s="1156">
        <f>'1114'!AC94</f>
        <v>68029011</v>
      </c>
      <c r="F59" s="1177">
        <f t="shared" ref="F59" si="28">IFERROR(C59/B59,0)</f>
        <v>1</v>
      </c>
      <c r="G59" s="1158">
        <f t="shared" si="27"/>
        <v>1</v>
      </c>
      <c r="H59" s="1159">
        <f t="shared" ref="H59" si="29">IFERROR(C59/B59,0)</f>
        <v>1</v>
      </c>
      <c r="I59" s="1178">
        <f t="shared" ref="I59" si="30">IFERROR(D59/B59,0)</f>
        <v>1</v>
      </c>
      <c r="J59" s="1158">
        <f t="shared" ref="J59" si="31">IFERROR(D59/B59,0)</f>
        <v>1</v>
      </c>
      <c r="K59" s="1159">
        <f t="shared" ref="K59" si="32">IFERROR(D59/B59,0)</f>
        <v>1</v>
      </c>
      <c r="L59" s="1161">
        <f t="shared" ref="L59" si="33">IFERROR(E59/B59,0)</f>
        <v>0.85471274072958026</v>
      </c>
      <c r="M59" s="1158">
        <f t="shared" ref="M59" si="34">IFERROR(E59/B59,0)</f>
        <v>0.85471274072958026</v>
      </c>
      <c r="N59" s="1159">
        <f t="shared" ref="N59" si="35">IFERROR(E59/B59,0)</f>
        <v>0.85471274072958026</v>
      </c>
    </row>
    <row r="60" spans="1:14">
      <c r="A60" s="1155" t="s">
        <v>614</v>
      </c>
      <c r="B60" s="1156">
        <f>'1114'!B98+'1114'!B103</f>
        <v>3272274635</v>
      </c>
      <c r="C60" s="1156">
        <f>'1114'!M102+'1114'!M107</f>
        <v>3272274635</v>
      </c>
      <c r="D60" s="1156">
        <f>'1114'!O102+'1114'!O107</f>
        <v>3218439341</v>
      </c>
      <c r="E60" s="1156">
        <f>'1114'!AC102+'1114'!AC107</f>
        <v>1688819762</v>
      </c>
      <c r="F60" s="1177">
        <f t="shared" si="9"/>
        <v>1</v>
      </c>
      <c r="G60" s="1158">
        <f t="shared" si="27"/>
        <v>1</v>
      </c>
      <c r="H60" s="1159">
        <f t="shared" si="11"/>
        <v>1</v>
      </c>
      <c r="I60" s="1178">
        <f t="shared" si="12"/>
        <v>0.98354805143059154</v>
      </c>
      <c r="J60" s="1158">
        <f t="shared" si="13"/>
        <v>0.98354805143059154</v>
      </c>
      <c r="K60" s="1159">
        <f t="shared" si="14"/>
        <v>0.98354805143059154</v>
      </c>
      <c r="L60" s="1161">
        <f t="shared" si="15"/>
        <v>0.51609964027362265</v>
      </c>
      <c r="M60" s="1158">
        <f t="shared" si="16"/>
        <v>0.51609964027362265</v>
      </c>
      <c r="N60" s="1159">
        <f t="shared" si="17"/>
        <v>0.51609964027362265</v>
      </c>
    </row>
    <row r="61" spans="1:14">
      <c r="A61" s="1213" t="s">
        <v>634</v>
      </c>
      <c r="B61" s="1156">
        <f>'1114'!B108</f>
        <v>189021929</v>
      </c>
      <c r="C61" s="1156">
        <f>'1114'!M114</f>
        <v>181855262</v>
      </c>
      <c r="D61" s="1156">
        <f>'1114'!O114</f>
        <v>15333333</v>
      </c>
      <c r="E61" s="1156">
        <f>'1114'!AC114</f>
        <v>0</v>
      </c>
      <c r="F61" s="1177">
        <f t="shared" si="9"/>
        <v>0.96208552606613174</v>
      </c>
      <c r="G61" s="1158">
        <f t="shared" si="27"/>
        <v>0.96208552606613174</v>
      </c>
      <c r="H61" s="1159">
        <f t="shared" si="11"/>
        <v>0.96208552606613174</v>
      </c>
      <c r="I61" s="1178">
        <f t="shared" si="12"/>
        <v>8.1119334042982924E-2</v>
      </c>
      <c r="J61" s="1158">
        <f t="shared" si="13"/>
        <v>8.1119334042982924E-2</v>
      </c>
      <c r="K61" s="1159">
        <f t="shared" si="14"/>
        <v>8.1119334042982924E-2</v>
      </c>
      <c r="L61" s="1161">
        <f t="shared" si="15"/>
        <v>0</v>
      </c>
      <c r="M61" s="1158">
        <f t="shared" si="16"/>
        <v>0</v>
      </c>
      <c r="N61" s="1159">
        <f t="shared" si="17"/>
        <v>0</v>
      </c>
    </row>
    <row r="62" spans="1:14">
      <c r="A62" s="1213" t="s">
        <v>785</v>
      </c>
      <c r="B62" s="1156">
        <f>'1114'!B95+'1114'!B115</f>
        <v>1476436000</v>
      </c>
      <c r="C62" s="1156">
        <f>'1114'!M97+'1114'!M152</f>
        <v>1452689165</v>
      </c>
      <c r="D62" s="1156">
        <f>'1114'!O97+'1114'!O152</f>
        <v>1452689165</v>
      </c>
      <c r="E62" s="1156">
        <f>'1114'!AC97+'1114'!AC152</f>
        <v>838808835</v>
      </c>
      <c r="F62" s="1177">
        <f t="shared" si="9"/>
        <v>0.98391610946901864</v>
      </c>
      <c r="G62" s="1158">
        <f t="shared" si="10"/>
        <v>0.98391610946901864</v>
      </c>
      <c r="H62" s="1159">
        <f t="shared" si="11"/>
        <v>0.98391610946901864</v>
      </c>
      <c r="I62" s="1178">
        <f t="shared" si="12"/>
        <v>0.98391610946901864</v>
      </c>
      <c r="J62" s="1158">
        <f t="shared" si="13"/>
        <v>0.98391610946901864</v>
      </c>
      <c r="K62" s="1159">
        <f t="shared" si="14"/>
        <v>0.98391610946901864</v>
      </c>
      <c r="L62" s="1161">
        <f t="shared" si="15"/>
        <v>0.5681308468501175</v>
      </c>
      <c r="M62" s="1158">
        <f t="shared" si="16"/>
        <v>0.5681308468501175</v>
      </c>
      <c r="N62" s="1159">
        <f t="shared" si="17"/>
        <v>0.5681308468501175</v>
      </c>
    </row>
    <row r="63" spans="1:14" ht="27.75" customHeight="1">
      <c r="A63" s="1215" t="str">
        <f>'[10]1114'!A144</f>
        <v>Monumentos en espacios públicos a intervenir</v>
      </c>
      <c r="B63" s="1214">
        <f>SUM(B64:B68)</f>
        <v>2824159293</v>
      </c>
      <c r="C63" s="1214">
        <f>SUM(C64:C68)</f>
        <v>2529134819</v>
      </c>
      <c r="D63" s="1214">
        <f>SUM(D64:D68)</f>
        <v>2505681036</v>
      </c>
      <c r="E63" s="1214">
        <f>SUM(E64:E68)</f>
        <v>467540334</v>
      </c>
      <c r="F63" s="1181">
        <f t="shared" si="9"/>
        <v>0.89553546971261444</v>
      </c>
      <c r="G63" s="1182">
        <f t="shared" ref="G63:G70" si="36">IFERROR(C63/B63,0)</f>
        <v>0.89553546971261444</v>
      </c>
      <c r="H63" s="1183">
        <f t="shared" si="11"/>
        <v>0.89553546971261444</v>
      </c>
      <c r="I63" s="1184">
        <f t="shared" si="12"/>
        <v>0.88723077420265051</v>
      </c>
      <c r="J63" s="1182">
        <f t="shared" si="13"/>
        <v>0.88723077420265051</v>
      </c>
      <c r="K63" s="1183">
        <f t="shared" si="14"/>
        <v>0.88723077420265051</v>
      </c>
      <c r="L63" s="1185">
        <f t="shared" si="15"/>
        <v>0.16555027018442334</v>
      </c>
      <c r="M63" s="1182">
        <f t="shared" si="16"/>
        <v>0.16555027018442334</v>
      </c>
      <c r="N63" s="1183">
        <f t="shared" si="17"/>
        <v>0.16555027018442334</v>
      </c>
    </row>
    <row r="64" spans="1:14" s="8" customFormat="1" ht="38.25">
      <c r="A64" s="1213" t="s">
        <v>636</v>
      </c>
      <c r="B64" s="1156">
        <f>'1114'!B205</f>
        <v>0</v>
      </c>
      <c r="C64" s="1156">
        <f>'1114'!M208</f>
        <v>0</v>
      </c>
      <c r="D64" s="1156">
        <f>'1114'!O208</f>
        <v>0</v>
      </c>
      <c r="E64" s="1156">
        <f>'1114'!AC208</f>
        <v>0</v>
      </c>
      <c r="F64" s="1177">
        <f t="shared" si="9"/>
        <v>0</v>
      </c>
      <c r="G64" s="1158">
        <f t="shared" si="36"/>
        <v>0</v>
      </c>
      <c r="H64" s="1159">
        <f t="shared" si="11"/>
        <v>0</v>
      </c>
      <c r="I64" s="1178">
        <f t="shared" si="12"/>
        <v>0</v>
      </c>
      <c r="J64" s="1158">
        <f t="shared" si="13"/>
        <v>0</v>
      </c>
      <c r="K64" s="1159">
        <f t="shared" si="14"/>
        <v>0</v>
      </c>
      <c r="L64" s="1161">
        <f t="shared" si="15"/>
        <v>0</v>
      </c>
      <c r="M64" s="1158">
        <f t="shared" si="16"/>
        <v>0</v>
      </c>
      <c r="N64" s="1159">
        <f t="shared" si="17"/>
        <v>0</v>
      </c>
    </row>
    <row r="65" spans="1:14" s="8" customFormat="1" ht="25.5">
      <c r="A65" s="1213" t="s">
        <v>640</v>
      </c>
      <c r="B65" s="1156">
        <f>'1114'!B209</f>
        <v>1066904767</v>
      </c>
      <c r="C65" s="1156">
        <f>'1114'!M245</f>
        <v>1013823430</v>
      </c>
      <c r="D65" s="1156">
        <f>'1114'!O245</f>
        <v>1013822675</v>
      </c>
      <c r="E65" s="1156">
        <f>'1114'!AC245</f>
        <v>467540334</v>
      </c>
      <c r="F65" s="1177">
        <f t="shared" si="9"/>
        <v>0.95024735230187607</v>
      </c>
      <c r="G65" s="1158">
        <f t="shared" si="36"/>
        <v>0.95024735230187607</v>
      </c>
      <c r="H65" s="1159">
        <f t="shared" si="11"/>
        <v>0.95024735230187607</v>
      </c>
      <c r="I65" s="1178">
        <f t="shared" si="12"/>
        <v>0.9502466446473381</v>
      </c>
      <c r="J65" s="1158">
        <f t="shared" si="13"/>
        <v>0.9502466446473381</v>
      </c>
      <c r="K65" s="1159">
        <f t="shared" si="14"/>
        <v>0.9502466446473381</v>
      </c>
      <c r="L65" s="1161">
        <f t="shared" si="15"/>
        <v>0.43822124378979366</v>
      </c>
      <c r="M65" s="1158">
        <f t="shared" si="16"/>
        <v>0.43822124378979366</v>
      </c>
      <c r="N65" s="1159">
        <f t="shared" si="17"/>
        <v>0.43822124378979366</v>
      </c>
    </row>
    <row r="66" spans="1:14" s="8" customFormat="1">
      <c r="A66" s="1213" t="s">
        <v>637</v>
      </c>
      <c r="B66" s="1156">
        <f>'1114'!B246</f>
        <v>144137048</v>
      </c>
      <c r="C66" s="1156">
        <f>'1114'!M251</f>
        <v>144137048</v>
      </c>
      <c r="D66" s="1156">
        <f>'1114'!O251</f>
        <v>138181524</v>
      </c>
      <c r="E66" s="1156">
        <f>'1114'!AC251</f>
        <v>0</v>
      </c>
      <c r="F66" s="1177">
        <f t="shared" si="9"/>
        <v>1</v>
      </c>
      <c r="G66" s="1158">
        <f t="shared" si="36"/>
        <v>1</v>
      </c>
      <c r="H66" s="1159">
        <f t="shared" si="11"/>
        <v>1</v>
      </c>
      <c r="I66" s="1178">
        <f t="shared" si="12"/>
        <v>0.95868151816179836</v>
      </c>
      <c r="J66" s="1158">
        <f t="shared" si="13"/>
        <v>0.95868151816179836</v>
      </c>
      <c r="K66" s="1159">
        <f t="shared" si="14"/>
        <v>0.95868151816179836</v>
      </c>
      <c r="L66" s="1161">
        <f t="shared" si="15"/>
        <v>0</v>
      </c>
      <c r="M66" s="1158">
        <f t="shared" si="16"/>
        <v>0</v>
      </c>
      <c r="N66" s="1159">
        <f t="shared" si="17"/>
        <v>0</v>
      </c>
    </row>
    <row r="67" spans="1:14" s="8" customFormat="1">
      <c r="A67" s="1213" t="s">
        <v>638</v>
      </c>
      <c r="B67" s="1156">
        <f>'1114'!B252</f>
        <v>1568437478</v>
      </c>
      <c r="C67" s="1156">
        <f>'1114'!M257</f>
        <v>1371174341</v>
      </c>
      <c r="D67" s="1156">
        <f>'1114'!O257</f>
        <v>1353676837</v>
      </c>
      <c r="E67" s="1156">
        <f>'1114'!AC257</f>
        <v>0</v>
      </c>
      <c r="F67" s="1177">
        <f t="shared" si="9"/>
        <v>0.87422951837931029</v>
      </c>
      <c r="G67" s="1158">
        <f t="shared" si="36"/>
        <v>0.87422951837931029</v>
      </c>
      <c r="H67" s="1159">
        <f t="shared" si="11"/>
        <v>0.87422951837931029</v>
      </c>
      <c r="I67" s="1178">
        <f t="shared" si="12"/>
        <v>0.86307350849977582</v>
      </c>
      <c r="J67" s="1158">
        <f t="shared" si="13"/>
        <v>0.86307350849977582</v>
      </c>
      <c r="K67" s="1159">
        <f t="shared" si="14"/>
        <v>0.86307350849977582</v>
      </c>
      <c r="L67" s="1161">
        <f t="shared" si="15"/>
        <v>0</v>
      </c>
      <c r="M67" s="1158">
        <f t="shared" si="16"/>
        <v>0</v>
      </c>
      <c r="N67" s="1159">
        <f t="shared" si="17"/>
        <v>0</v>
      </c>
    </row>
    <row r="68" spans="1:14" ht="25.5">
      <c r="A68" s="1213" t="s">
        <v>639</v>
      </c>
      <c r="B68" s="1156">
        <f>'1114'!B258</f>
        <v>44680000</v>
      </c>
      <c r="C68" s="1156">
        <f>'1114'!M260</f>
        <v>0</v>
      </c>
      <c r="D68" s="1156">
        <f>'1114'!O260</f>
        <v>0</v>
      </c>
      <c r="E68" s="1156">
        <f>'1114'!AC260</f>
        <v>0</v>
      </c>
      <c r="F68" s="1177">
        <f t="shared" si="9"/>
        <v>0</v>
      </c>
      <c r="G68" s="1158">
        <f t="shared" si="36"/>
        <v>0</v>
      </c>
      <c r="H68" s="1159">
        <f t="shared" si="11"/>
        <v>0</v>
      </c>
      <c r="I68" s="1178">
        <f t="shared" si="12"/>
        <v>0</v>
      </c>
      <c r="J68" s="1158">
        <f t="shared" si="13"/>
        <v>0</v>
      </c>
      <c r="K68" s="1159">
        <f t="shared" si="14"/>
        <v>0</v>
      </c>
      <c r="L68" s="1161">
        <f t="shared" si="15"/>
        <v>0</v>
      </c>
      <c r="M68" s="1158">
        <f t="shared" si="16"/>
        <v>0</v>
      </c>
      <c r="N68" s="1159">
        <f t="shared" si="17"/>
        <v>0</v>
      </c>
    </row>
    <row r="69" spans="1:14">
      <c r="A69" s="1216" t="s">
        <v>85</v>
      </c>
      <c r="B69" s="1214">
        <f>SUM(B70:B71)</f>
        <v>1477592185</v>
      </c>
      <c r="C69" s="1214">
        <f>SUM(C70:C71)</f>
        <v>1427775347</v>
      </c>
      <c r="D69" s="1214">
        <f>SUM(D70:D71)</f>
        <v>1164707013</v>
      </c>
      <c r="E69" s="1214">
        <f>SUM(E70:E71)</f>
        <v>599008184</v>
      </c>
      <c r="F69" s="1181">
        <f t="shared" si="9"/>
        <v>0.96628512352344365</v>
      </c>
      <c r="G69" s="1182">
        <f t="shared" si="36"/>
        <v>0.96628512352344365</v>
      </c>
      <c r="H69" s="1183">
        <f t="shared" si="11"/>
        <v>0.96628512352344365</v>
      </c>
      <c r="I69" s="1184">
        <f t="shared" si="12"/>
        <v>0.78824659796099283</v>
      </c>
      <c r="J69" s="1182">
        <f t="shared" si="13"/>
        <v>0.78824659796099283</v>
      </c>
      <c r="K69" s="1183">
        <f t="shared" si="14"/>
        <v>0.78824659796099283</v>
      </c>
      <c r="L69" s="1185">
        <f t="shared" si="15"/>
        <v>0.40539479707656956</v>
      </c>
      <c r="M69" s="1182">
        <f t="shared" si="16"/>
        <v>0.40539479707656956</v>
      </c>
      <c r="N69" s="1183">
        <f t="shared" si="17"/>
        <v>0.40539479707656956</v>
      </c>
    </row>
    <row r="70" spans="1:14">
      <c r="A70" s="1213" t="s">
        <v>85</v>
      </c>
      <c r="B70" s="1156">
        <f>'1114'!B154</f>
        <v>1196340647</v>
      </c>
      <c r="C70" s="1156">
        <f>'1114'!M194</f>
        <v>1146523809</v>
      </c>
      <c r="D70" s="1156">
        <f>'1114'!O194</f>
        <v>1113455475</v>
      </c>
      <c r="E70" s="1156">
        <f>'1114'!AC194</f>
        <v>552881801</v>
      </c>
      <c r="F70" s="1177">
        <f t="shared" si="9"/>
        <v>0.9583589856911382</v>
      </c>
      <c r="G70" s="1158">
        <f t="shared" si="36"/>
        <v>0.9583589856911382</v>
      </c>
      <c r="H70" s="1159">
        <f t="shared" si="11"/>
        <v>0.9583589856911382</v>
      </c>
      <c r="I70" s="1178">
        <f t="shared" si="12"/>
        <v>0.93071774982497946</v>
      </c>
      <c r="J70" s="1158">
        <f t="shared" si="13"/>
        <v>0.93071774982497946</v>
      </c>
      <c r="K70" s="1159">
        <f t="shared" si="14"/>
        <v>0.93071774982497946</v>
      </c>
      <c r="L70" s="1161">
        <f t="shared" si="15"/>
        <v>0.46214412457390991</v>
      </c>
      <c r="M70" s="1158">
        <f t="shared" si="16"/>
        <v>0.46214412457390991</v>
      </c>
      <c r="N70" s="1159">
        <f t="shared" si="17"/>
        <v>0.46214412457390991</v>
      </c>
    </row>
    <row r="71" spans="1:14" ht="38.25">
      <c r="A71" s="1213" t="s">
        <v>642</v>
      </c>
      <c r="B71" s="1156">
        <f>'1114'!B195</f>
        <v>281251538</v>
      </c>
      <c r="C71" s="1156">
        <f>'1114'!M199</f>
        <v>281251538</v>
      </c>
      <c r="D71" s="1156">
        <f>'1114'!O199</f>
        <v>51251538</v>
      </c>
      <c r="E71" s="1156">
        <f>'1114'!AC199</f>
        <v>46126383</v>
      </c>
      <c r="F71" s="1177"/>
      <c r="G71" s="1158"/>
      <c r="H71" s="1159"/>
      <c r="I71" s="1178"/>
      <c r="J71" s="1158"/>
      <c r="K71" s="1159"/>
      <c r="L71" s="1161"/>
      <c r="M71" s="1158"/>
      <c r="N71" s="1159"/>
    </row>
    <row r="72" spans="1:14">
      <c r="A72" s="1341" t="s">
        <v>641</v>
      </c>
      <c r="B72" s="1342">
        <f>'1114'!B333</f>
        <v>38000000</v>
      </c>
      <c r="C72" s="1342">
        <f>'1114'!M335</f>
        <v>0</v>
      </c>
      <c r="D72" s="1342">
        <f>'1114'!O335</f>
        <v>0</v>
      </c>
      <c r="E72" s="1342">
        <f>'1114'!AC335</f>
        <v>0</v>
      </c>
      <c r="F72" s="1179">
        <f>IFERROR(C72/B72,0)</f>
        <v>0</v>
      </c>
      <c r="G72" s="1167">
        <f>IFERROR(C72/B72,0)</f>
        <v>0</v>
      </c>
      <c r="H72" s="1168">
        <f>IFERROR(C72/B72,0)</f>
        <v>0</v>
      </c>
      <c r="I72" s="1180">
        <f>IFERROR(D72/B72,0)</f>
        <v>0</v>
      </c>
      <c r="J72" s="1167">
        <f>IFERROR(D72/B72,0)</f>
        <v>0</v>
      </c>
      <c r="K72" s="1168">
        <f>IFERROR(D72/B72,0)</f>
        <v>0</v>
      </c>
      <c r="L72" s="1170">
        <f>IFERROR(E72/B72,0)</f>
        <v>0</v>
      </c>
      <c r="M72" s="1167">
        <f>IFERROR(E72/B72,0)</f>
        <v>0</v>
      </c>
      <c r="N72" s="1168">
        <f>IFERROR(E72/B72,0)</f>
        <v>0</v>
      </c>
    </row>
    <row r="73" spans="1:14" ht="51">
      <c r="A73" s="1215" t="s">
        <v>635</v>
      </c>
      <c r="B73" s="1214">
        <f>'1114'!B261</f>
        <v>2311969333</v>
      </c>
      <c r="C73" s="1214">
        <f>'1114'!M326+'1114'!M332</f>
        <v>2264946034</v>
      </c>
      <c r="D73" s="1214">
        <f>'1114'!O326+'1114'!O332</f>
        <v>2235633030</v>
      </c>
      <c r="E73" s="1214">
        <f>'1114'!AC326+'1114'!AC332</f>
        <v>1485220802</v>
      </c>
      <c r="F73" s="1181">
        <f>IFERROR(C73/B73,0)</f>
        <v>0.97966093307172775</v>
      </c>
      <c r="G73" s="1182">
        <f>IFERROR(C73/B73,0)</f>
        <v>0.97966093307172775</v>
      </c>
      <c r="H73" s="1183">
        <f>IFERROR(C73/B73,0)</f>
        <v>0.97966093307172775</v>
      </c>
      <c r="I73" s="1184">
        <f>IFERROR(D73/B73,0)</f>
        <v>0.9669821299485204</v>
      </c>
      <c r="J73" s="1182">
        <f>IFERROR(D73/B73,0)</f>
        <v>0.9669821299485204</v>
      </c>
      <c r="K73" s="1183">
        <f>IFERROR(D73/B73,0)</f>
        <v>0.9669821299485204</v>
      </c>
      <c r="L73" s="1185">
        <f>IFERROR(E73/B73,0)</f>
        <v>0.64240506169378331</v>
      </c>
      <c r="M73" s="1182">
        <f>IFERROR(E73/B73,0)</f>
        <v>0.64240506169378331</v>
      </c>
      <c r="N73" s="1183">
        <f>IFERROR(E73/B73,0)</f>
        <v>0.64240506169378331</v>
      </c>
    </row>
    <row r="74" spans="1:14">
      <c r="A74" s="1163" t="s">
        <v>606</v>
      </c>
      <c r="B74" s="1164">
        <f>B50+B63+B69+B72+B73</f>
        <v>20358296564</v>
      </c>
      <c r="C74" s="1164">
        <f>C50+C63+C69+C72+C73</f>
        <v>13532520441</v>
      </c>
      <c r="D74" s="1164">
        <f>D50+D63+D69+D72+D73</f>
        <v>12033711917</v>
      </c>
      <c r="E74" s="1164">
        <f>E50+E63+E69+E72+E73</f>
        <v>6098167407</v>
      </c>
      <c r="F74" s="1188">
        <f>C74/B74</f>
        <v>0.66471771832471671</v>
      </c>
      <c r="G74" s="1167">
        <f>C74/B74</f>
        <v>0.66471771832471671</v>
      </c>
      <c r="H74" s="1168">
        <f>C74/B74</f>
        <v>0.66471771832471671</v>
      </c>
      <c r="I74" s="1180">
        <f>D74/B74</f>
        <v>0.59109620881933034</v>
      </c>
      <c r="J74" s="1167">
        <f>D74/B74</f>
        <v>0.59109620881933034</v>
      </c>
      <c r="K74" s="1168">
        <f>D74/B74</f>
        <v>0.59109620881933034</v>
      </c>
      <c r="L74" s="1170">
        <f>E74/B74</f>
        <v>0.29954212464826335</v>
      </c>
      <c r="M74" s="1167">
        <f>E74/B74</f>
        <v>0.29954212464826335</v>
      </c>
      <c r="N74" s="1168">
        <f>E74/B74</f>
        <v>0.29954212464826335</v>
      </c>
    </row>
    <row r="75" spans="1:14" ht="24">
      <c r="A75" s="1211" t="s">
        <v>607</v>
      </c>
      <c r="B75" s="1211" t="s">
        <v>599</v>
      </c>
      <c r="C75" s="1211" t="s">
        <v>125</v>
      </c>
      <c r="D75" s="1211" t="s">
        <v>126</v>
      </c>
      <c r="E75" s="1211" t="s">
        <v>600</v>
      </c>
      <c r="F75" s="1211" t="s">
        <v>601</v>
      </c>
      <c r="G75" s="2157" t="s">
        <v>125</v>
      </c>
      <c r="H75" s="2158"/>
      <c r="I75" s="1211" t="s">
        <v>602</v>
      </c>
      <c r="J75" s="2157" t="s">
        <v>126</v>
      </c>
      <c r="K75" s="2158"/>
      <c r="L75" s="1211" t="s">
        <v>603</v>
      </c>
      <c r="M75" s="2157" t="s">
        <v>600</v>
      </c>
      <c r="N75" s="2158"/>
    </row>
    <row r="76" spans="1:14" ht="51">
      <c r="A76" s="1186" t="str">
        <f>'[10]1114'!A263</f>
        <v>4. Obras de Intervención en Bienes muebles - inmuebles y sectores que conforman el patrimonio cultural del D.C.</v>
      </c>
      <c r="B76" s="1156">
        <f>'1114'!B342</f>
        <v>20358296564</v>
      </c>
      <c r="C76" s="1156">
        <f>'1114'!M337</f>
        <v>13532520441</v>
      </c>
      <c r="D76" s="1156">
        <f>'1114'!O337</f>
        <v>12033711917</v>
      </c>
      <c r="E76" s="1156">
        <f>'1114'!AC337</f>
        <v>6098167407</v>
      </c>
      <c r="F76" s="1177">
        <f>IFERROR(C76/B76,0)</f>
        <v>0.66471771832471671</v>
      </c>
      <c r="G76" s="1158">
        <f>IFERROR(C76/B76,0)</f>
        <v>0.66471771832471671</v>
      </c>
      <c r="H76" s="1159">
        <f>IFERROR(C76/B76,0)</f>
        <v>0.66471771832471671</v>
      </c>
      <c r="I76" s="1178">
        <f>IFERROR(D76/B76,0)</f>
        <v>0.59109620881933034</v>
      </c>
      <c r="J76" s="1158">
        <f>IFERROR(D76/B76,0)</f>
        <v>0.59109620881933034</v>
      </c>
      <c r="K76" s="1159">
        <f>IFERROR(D76/B76,0)</f>
        <v>0.59109620881933034</v>
      </c>
      <c r="L76" s="1161">
        <f>IFERROR(E76/B76,0)</f>
        <v>0.29954212464826335</v>
      </c>
      <c r="M76" s="1158">
        <f>IFERROR(E76/B76,0)</f>
        <v>0.29954212464826335</v>
      </c>
      <c r="N76" s="1159">
        <f>IFERROR(E76/B76,0)</f>
        <v>0.29954212464826335</v>
      </c>
    </row>
    <row r="77" spans="1:14">
      <c r="A77" s="129"/>
      <c r="B77" s="551"/>
      <c r="C77" s="129"/>
      <c r="D77" s="129"/>
      <c r="E77" s="129"/>
      <c r="F77" s="129"/>
      <c r="G77" s="129"/>
      <c r="H77" s="129"/>
      <c r="I77" s="129"/>
      <c r="J77" s="129"/>
      <c r="K77" s="129"/>
      <c r="L77" s="129"/>
      <c r="M77" s="129"/>
      <c r="N77" s="129"/>
    </row>
    <row r="78" spans="1:14">
      <c r="A78" s="129"/>
      <c r="B78" s="551"/>
      <c r="C78" s="551"/>
      <c r="D78" s="129"/>
      <c r="E78" s="129"/>
      <c r="F78" s="129"/>
      <c r="G78" s="129"/>
      <c r="H78" s="129"/>
      <c r="I78" s="129"/>
      <c r="J78" s="129"/>
      <c r="K78" s="129"/>
      <c r="L78" s="129"/>
      <c r="M78" s="129"/>
      <c r="N78" s="129"/>
    </row>
    <row r="79" spans="1:14">
      <c r="A79" s="129"/>
      <c r="B79" s="129"/>
      <c r="C79" s="129"/>
      <c r="D79" s="551"/>
      <c r="E79" s="129"/>
      <c r="F79" s="129"/>
      <c r="G79" s="129"/>
      <c r="H79" s="129"/>
      <c r="I79" s="129"/>
      <c r="J79" s="129"/>
      <c r="K79" s="129"/>
      <c r="L79" s="129"/>
      <c r="M79" s="129"/>
      <c r="N79" s="129"/>
    </row>
    <row r="80" spans="1:14">
      <c r="A80" s="129"/>
      <c r="B80" s="129"/>
      <c r="C80" s="129"/>
      <c r="D80" s="129"/>
      <c r="E80" s="129"/>
      <c r="F80" s="129"/>
      <c r="G80" s="129"/>
      <c r="H80" s="129"/>
      <c r="I80" s="129"/>
      <c r="J80" s="129"/>
      <c r="K80" s="129"/>
      <c r="L80" s="129"/>
      <c r="M80" s="129"/>
      <c r="N80" s="129"/>
    </row>
    <row r="81" spans="1:14">
      <c r="A81" s="2171" t="s">
        <v>627</v>
      </c>
      <c r="B81" s="2172"/>
      <c r="C81" s="2172"/>
      <c r="D81" s="2172"/>
      <c r="E81" s="2172"/>
      <c r="F81" s="2172"/>
      <c r="G81" s="2172"/>
      <c r="H81" s="2172"/>
      <c r="I81" s="129"/>
      <c r="J81" s="129"/>
      <c r="K81" s="129"/>
      <c r="L81" s="129"/>
      <c r="M81" s="129"/>
      <c r="N81" s="129"/>
    </row>
    <row r="82" spans="1:14">
      <c r="A82" s="1189"/>
      <c r="B82" s="1189"/>
      <c r="C82" s="1189"/>
      <c r="D82" s="1189"/>
      <c r="E82" s="1189"/>
      <c r="F82" s="1189"/>
      <c r="G82" s="129"/>
      <c r="H82" s="129"/>
      <c r="I82" s="129"/>
      <c r="J82" s="129"/>
      <c r="K82" s="129"/>
      <c r="L82" s="129"/>
      <c r="M82" s="129"/>
      <c r="N82" s="129"/>
    </row>
    <row r="83" spans="1:14">
      <c r="A83" s="1190" t="s">
        <v>615</v>
      </c>
      <c r="B83" s="1190" t="s">
        <v>599</v>
      </c>
      <c r="C83" s="1190" t="s">
        <v>616</v>
      </c>
      <c r="D83" s="2164" t="s">
        <v>617</v>
      </c>
      <c r="E83" s="2164"/>
      <c r="F83" s="2164"/>
      <c r="G83" s="2168" t="s">
        <v>776</v>
      </c>
      <c r="H83" s="2169"/>
      <c r="I83" s="129"/>
      <c r="J83" s="129"/>
      <c r="K83" s="129"/>
      <c r="L83" s="129"/>
      <c r="M83" s="129"/>
      <c r="N83" s="129"/>
    </row>
    <row r="84" spans="1:14">
      <c r="A84" s="1191">
        <v>1024</v>
      </c>
      <c r="B84" s="1192">
        <f>'1024'!B50</f>
        <v>740000000</v>
      </c>
      <c r="C84" s="1192">
        <f>'1024'!O50</f>
        <v>730962199</v>
      </c>
      <c r="D84" s="2165">
        <f>C84/B84</f>
        <v>0.98778675540540539</v>
      </c>
      <c r="E84" s="2166"/>
      <c r="F84" s="2167"/>
      <c r="G84" s="1448">
        <f>E9</f>
        <v>383752711</v>
      </c>
      <c r="H84" s="1431">
        <f>G84/B84</f>
        <v>0.51858474459459458</v>
      </c>
      <c r="I84" s="129"/>
      <c r="J84" s="129"/>
      <c r="K84" s="129"/>
      <c r="L84" s="129"/>
      <c r="M84" s="129"/>
      <c r="N84" s="129"/>
    </row>
    <row r="85" spans="1:14">
      <c r="A85" s="1191">
        <v>1107</v>
      </c>
      <c r="B85" s="1193">
        <f>'1107'!B264</f>
        <v>6938000000</v>
      </c>
      <c r="C85" s="1192">
        <f>'1107'!O264</f>
        <v>5344141071</v>
      </c>
      <c r="D85" s="2159">
        <f t="shared" ref="D85:D88" si="37">C85/B85</f>
        <v>0.77027112582876911</v>
      </c>
      <c r="E85" s="2159"/>
      <c r="F85" s="2159"/>
      <c r="G85" s="1448">
        <f>E19</f>
        <v>3224576863</v>
      </c>
      <c r="H85" s="1431">
        <f t="shared" ref="H85:H89" si="38">G85/B85</f>
        <v>0.46477037518016717</v>
      </c>
      <c r="I85" s="129"/>
      <c r="J85" s="129"/>
      <c r="K85" s="129"/>
      <c r="L85" s="129"/>
      <c r="M85" s="129"/>
      <c r="N85" s="129"/>
    </row>
    <row r="86" spans="1:14">
      <c r="A86" s="1191">
        <v>1110</v>
      </c>
      <c r="B86" s="1193">
        <f>'1110'!B189</f>
        <v>5578162000</v>
      </c>
      <c r="C86" s="1192">
        <f>'1110'!O189</f>
        <v>4973337702</v>
      </c>
      <c r="D86" s="2159">
        <f t="shared" si="37"/>
        <v>0.89157283384742148</v>
      </c>
      <c r="E86" s="2159"/>
      <c r="F86" s="2159"/>
      <c r="G86" s="1449">
        <f>E32</f>
        <v>2918740336</v>
      </c>
      <c r="H86" s="1431">
        <f t="shared" si="38"/>
        <v>0.5232440965321552</v>
      </c>
      <c r="I86" s="129"/>
      <c r="J86" s="129"/>
      <c r="K86" s="129"/>
      <c r="L86" s="129"/>
      <c r="M86" s="129"/>
      <c r="N86" s="129"/>
    </row>
    <row r="87" spans="1:14">
      <c r="A87" s="1191">
        <v>1112</v>
      </c>
      <c r="B87" s="1193">
        <f>'1112'!B125</f>
        <v>2923660347</v>
      </c>
      <c r="C87" s="1192">
        <f>'1112'!O125</f>
        <v>2384532501</v>
      </c>
      <c r="D87" s="2159">
        <f t="shared" si="37"/>
        <v>0.81559833153902261</v>
      </c>
      <c r="E87" s="2159"/>
      <c r="F87" s="2159"/>
      <c r="G87" s="1449">
        <f>E43</f>
        <v>1524880832</v>
      </c>
      <c r="H87" s="1431">
        <f t="shared" si="38"/>
        <v>0.52156565777714126</v>
      </c>
      <c r="I87" s="129"/>
      <c r="J87" s="129"/>
      <c r="K87" s="129"/>
      <c r="L87" s="129"/>
      <c r="M87" s="129"/>
      <c r="N87" s="129"/>
    </row>
    <row r="88" spans="1:14">
      <c r="A88" s="1191">
        <v>1114</v>
      </c>
      <c r="B88" s="1192">
        <f>'1114'!B337</f>
        <v>20358296564</v>
      </c>
      <c r="C88" s="1192">
        <f>'1114'!O337</f>
        <v>12033711917</v>
      </c>
      <c r="D88" s="2159">
        <f t="shared" si="37"/>
        <v>0.59109620881933034</v>
      </c>
      <c r="E88" s="2159"/>
      <c r="F88" s="2159"/>
      <c r="G88" s="1449">
        <f>E74</f>
        <v>6098167407</v>
      </c>
      <c r="H88" s="1431">
        <f t="shared" si="38"/>
        <v>0.29954212464826335</v>
      </c>
      <c r="I88" s="129"/>
      <c r="J88" s="129"/>
      <c r="K88" s="129"/>
      <c r="L88" s="129"/>
      <c r="M88" s="129"/>
      <c r="N88" s="129"/>
    </row>
    <row r="89" spans="1:14">
      <c r="A89" s="1194" t="s">
        <v>618</v>
      </c>
      <c r="B89" s="1195">
        <f>SUM(B84:B88)</f>
        <v>36538118911</v>
      </c>
      <c r="C89" s="1195">
        <f>SUM(C84:C88)</f>
        <v>25466685390</v>
      </c>
      <c r="D89" s="2174">
        <f>C89/B89</f>
        <v>0.69698950435932583</v>
      </c>
      <c r="E89" s="2174"/>
      <c r="F89" s="2174"/>
      <c r="G89" s="1434">
        <f>SUM(G84:G88)</f>
        <v>14150118149</v>
      </c>
      <c r="H89" s="1432">
        <f t="shared" si="38"/>
        <v>0.38727002294417595</v>
      </c>
      <c r="I89" s="129"/>
      <c r="J89" s="129"/>
      <c r="K89" s="129"/>
      <c r="L89" s="129"/>
      <c r="M89" s="129"/>
      <c r="N89" s="129"/>
    </row>
    <row r="90" spans="1:14">
      <c r="A90" s="1189"/>
      <c r="B90" s="1189"/>
      <c r="C90" s="1189"/>
      <c r="D90" s="1189"/>
      <c r="E90" s="1189"/>
      <c r="F90" s="1189"/>
      <c r="G90" s="129"/>
      <c r="H90" s="129"/>
      <c r="I90" s="129"/>
      <c r="J90" s="129"/>
      <c r="K90" s="129"/>
      <c r="L90" s="129"/>
      <c r="M90" s="129"/>
      <c r="N90" s="129"/>
    </row>
    <row r="91" spans="1:14">
      <c r="A91" s="129"/>
      <c r="B91" s="129"/>
      <c r="C91" s="1196"/>
      <c r="D91" s="129"/>
      <c r="E91" s="129"/>
      <c r="F91" s="129"/>
      <c r="G91" s="1906"/>
      <c r="H91" s="129"/>
      <c r="I91" s="129"/>
      <c r="J91" s="129"/>
      <c r="K91" s="129"/>
      <c r="L91" s="129"/>
      <c r="M91" s="129"/>
      <c r="N91" s="129"/>
    </row>
    <row r="92" spans="1:14">
      <c r="A92" s="2175" t="s">
        <v>619</v>
      </c>
      <c r="B92" s="2176"/>
      <c r="C92" s="2176"/>
      <c r="D92" s="2176"/>
      <c r="E92" s="2176"/>
      <c r="F92" s="2176"/>
      <c r="G92" s="2176"/>
      <c r="H92" s="2176"/>
      <c r="I92" s="129"/>
      <c r="J92" s="129"/>
      <c r="K92" s="129"/>
      <c r="L92" s="129"/>
      <c r="M92" s="129"/>
      <c r="N92" s="129"/>
    </row>
    <row r="93" spans="1:14">
      <c r="A93" s="129"/>
      <c r="B93" s="129"/>
      <c r="C93" s="129"/>
      <c r="D93" s="129"/>
      <c r="E93" s="129"/>
      <c r="F93" s="129"/>
      <c r="G93" s="129"/>
      <c r="H93" s="129"/>
      <c r="I93" s="129"/>
      <c r="J93" s="129"/>
      <c r="K93" s="129"/>
      <c r="L93" s="129"/>
      <c r="M93" s="129"/>
      <c r="N93" s="129"/>
    </row>
    <row r="94" spans="1:14">
      <c r="A94" s="1190" t="s">
        <v>620</v>
      </c>
      <c r="B94" s="1190" t="s">
        <v>599</v>
      </c>
      <c r="C94" s="1190" t="s">
        <v>616</v>
      </c>
      <c r="D94" s="2164" t="s">
        <v>617</v>
      </c>
      <c r="E94" s="2164"/>
      <c r="F94" s="2164"/>
      <c r="G94" s="2168" t="s">
        <v>776</v>
      </c>
      <c r="H94" s="2169"/>
      <c r="I94" s="129"/>
      <c r="J94" s="129"/>
      <c r="K94" s="129"/>
      <c r="L94" s="129"/>
      <c r="M94" s="129"/>
      <c r="N94" s="129"/>
    </row>
    <row r="95" spans="1:14">
      <c r="A95" s="1197" t="s">
        <v>643</v>
      </c>
      <c r="B95" s="1192">
        <v>4477753000</v>
      </c>
      <c r="C95" s="1192">
        <v>2744831627</v>
      </c>
      <c r="D95" s="2165">
        <f>C95/B95</f>
        <v>0.61299308537116715</v>
      </c>
      <c r="E95" s="2166"/>
      <c r="F95" s="2167"/>
      <c r="G95" s="1192">
        <v>2744831627</v>
      </c>
      <c r="H95" s="1440">
        <f>G95/B95</f>
        <v>0.61299308537116715</v>
      </c>
      <c r="I95" s="129"/>
      <c r="J95" s="129"/>
      <c r="K95" s="129"/>
      <c r="L95" s="129"/>
      <c r="M95" s="129"/>
      <c r="N95" s="129"/>
    </row>
    <row r="96" spans="1:14">
      <c r="A96" s="1197" t="s">
        <v>644</v>
      </c>
      <c r="B96" s="1192">
        <v>1804247000</v>
      </c>
      <c r="C96" s="1192">
        <v>1405097034</v>
      </c>
      <c r="D96" s="2165">
        <f>C96/B96</f>
        <v>0.77877199407841613</v>
      </c>
      <c r="E96" s="2166"/>
      <c r="F96" s="2167"/>
      <c r="G96" s="1449">
        <v>822692666</v>
      </c>
      <c r="H96" s="1440">
        <f t="shared" ref="H96" si="39">G96/B96</f>
        <v>0.45597563193952934</v>
      </c>
      <c r="I96" s="129"/>
      <c r="J96" s="129"/>
      <c r="K96" s="129"/>
      <c r="L96" s="129"/>
      <c r="M96" s="129"/>
      <c r="N96" s="129"/>
    </row>
    <row r="97" spans="1:14" ht="24.75" customHeight="1">
      <c r="A97" s="1202" t="s">
        <v>621</v>
      </c>
      <c r="B97" s="1198">
        <f>SUM(B95:B96)</f>
        <v>6282000000</v>
      </c>
      <c r="C97" s="1198">
        <f>SUM(C95:C96)</f>
        <v>4149928661</v>
      </c>
      <c r="D97" s="2173">
        <f>C97/B97</f>
        <v>0.6606062815982171</v>
      </c>
      <c r="E97" s="2173"/>
      <c r="F97" s="2173"/>
      <c r="G97" s="1198">
        <f>SUM(G95:G96)</f>
        <v>3567524293</v>
      </c>
      <c r="H97" s="1440">
        <f>G97/B97</f>
        <v>0.56789625803884114</v>
      </c>
      <c r="I97" s="129"/>
      <c r="J97" s="129"/>
      <c r="K97" s="129"/>
      <c r="L97" s="129"/>
      <c r="M97" s="129"/>
      <c r="N97" s="129"/>
    </row>
    <row r="98" spans="1:14">
      <c r="A98" s="1199"/>
      <c r="B98" s="1200"/>
      <c r="C98" s="1200"/>
      <c r="D98" s="1201"/>
      <c r="E98" s="1201"/>
      <c r="F98" s="1201"/>
      <c r="G98" s="129"/>
      <c r="H98" s="129"/>
      <c r="I98" s="129"/>
      <c r="J98" s="129"/>
      <c r="K98" s="129"/>
      <c r="L98" s="129"/>
      <c r="M98" s="129"/>
      <c r="N98" s="129"/>
    </row>
    <row r="99" spans="1:14">
      <c r="A99" s="728"/>
      <c r="B99" s="129"/>
      <c r="C99" s="129"/>
      <c r="D99" s="129"/>
      <c r="E99" s="129"/>
      <c r="F99" s="129"/>
      <c r="G99" s="129"/>
      <c r="H99" s="129"/>
      <c r="I99" s="129"/>
      <c r="J99" s="129"/>
      <c r="K99" s="129"/>
      <c r="L99" s="129"/>
      <c r="M99" s="129"/>
      <c r="N99" s="129"/>
    </row>
    <row r="100" spans="1:14" ht="24.75" customHeight="1">
      <c r="A100" s="1202" t="s">
        <v>645</v>
      </c>
      <c r="B100" s="1203">
        <f>B89+B97</f>
        <v>42820118911</v>
      </c>
      <c r="C100" s="1203">
        <f>C89+C97</f>
        <v>29616614051</v>
      </c>
      <c r="D100" s="2173">
        <f>C100/B100</f>
        <v>0.69165184040140137</v>
      </c>
      <c r="E100" s="2173"/>
      <c r="F100" s="2173"/>
      <c r="G100" s="1203">
        <f>G89+G97</f>
        <v>17717642442</v>
      </c>
      <c r="H100" s="1440">
        <f>G100/B100</f>
        <v>0.4137691088346917</v>
      </c>
      <c r="I100" s="129"/>
      <c r="J100" s="129"/>
      <c r="K100" s="129"/>
      <c r="L100" s="129"/>
      <c r="M100" s="129"/>
      <c r="N100" s="129"/>
    </row>
    <row r="101" spans="1:14">
      <c r="A101" s="129"/>
      <c r="B101" s="129"/>
      <c r="C101" s="129"/>
      <c r="D101" s="129"/>
      <c r="E101" s="129"/>
      <c r="F101" s="129"/>
      <c r="G101" s="129"/>
      <c r="H101" s="129"/>
      <c r="I101" s="129"/>
      <c r="J101" s="129"/>
      <c r="K101" s="129"/>
      <c r="L101" s="129"/>
      <c r="M101" s="129"/>
      <c r="N101" s="129"/>
    </row>
    <row r="102" spans="1:14">
      <c r="B102" s="1217" t="s">
        <v>599</v>
      </c>
      <c r="C102" s="1217" t="s">
        <v>775</v>
      </c>
      <c r="D102" s="2164" t="s">
        <v>617</v>
      </c>
      <c r="E102" s="2164"/>
      <c r="F102" s="2164"/>
    </row>
    <row r="103" spans="1:14">
      <c r="B103" s="1192">
        <f>B11+B21+B34+B45+B76</f>
        <v>36538118911</v>
      </c>
      <c r="C103" s="1223">
        <f>C11+C21+C34+C45+C76</f>
        <v>27596170322</v>
      </c>
      <c r="D103" s="2165">
        <f>C103/B103</f>
        <v>0.75527069111628575</v>
      </c>
      <c r="E103" s="2166"/>
      <c r="F103" s="2167"/>
    </row>
    <row r="105" spans="1:14">
      <c r="B105" s="1217" t="s">
        <v>599</v>
      </c>
      <c r="C105" s="1217" t="s">
        <v>776</v>
      </c>
      <c r="D105" s="2164" t="s">
        <v>617</v>
      </c>
      <c r="E105" s="2164"/>
      <c r="F105" s="2164"/>
    </row>
    <row r="106" spans="1:14">
      <c r="B106" s="1192">
        <f>B11+B21+B34+B45+B76</f>
        <v>36538118911</v>
      </c>
      <c r="C106" s="1223">
        <f>E11+E21+E34+E45+E76</f>
        <v>14150118149</v>
      </c>
      <c r="D106" s="2165">
        <f>C106/B106</f>
        <v>0.38727002294417595</v>
      </c>
      <c r="E106" s="2166"/>
      <c r="F106" s="2167"/>
    </row>
    <row r="109" spans="1:14">
      <c r="C109" s="114"/>
    </row>
    <row r="110" spans="1:14">
      <c r="B110" s="1378"/>
      <c r="C110" s="114"/>
    </row>
    <row r="111" spans="1:14">
      <c r="C111" s="114"/>
    </row>
    <row r="113" spans="2:2">
      <c r="B113" s="1378"/>
    </row>
    <row r="116" spans="2:2">
      <c r="B116" s="1378"/>
    </row>
  </sheetData>
  <mergeCells count="56">
    <mergeCell ref="A81:H81"/>
    <mergeCell ref="D102:F102"/>
    <mergeCell ref="D103:F103"/>
    <mergeCell ref="D105:F105"/>
    <mergeCell ref="D95:F95"/>
    <mergeCell ref="D96:F96"/>
    <mergeCell ref="D97:F97"/>
    <mergeCell ref="D100:F100"/>
    <mergeCell ref="D88:F88"/>
    <mergeCell ref="D89:F89"/>
    <mergeCell ref="D94:F94"/>
    <mergeCell ref="G94:H94"/>
    <mergeCell ref="A92:H92"/>
    <mergeCell ref="D106:F106"/>
    <mergeCell ref="G10:H10"/>
    <mergeCell ref="A13:N13"/>
    <mergeCell ref="G15:H15"/>
    <mergeCell ref="J15:K15"/>
    <mergeCell ref="M15:N15"/>
    <mergeCell ref="G20:H20"/>
    <mergeCell ref="J20:K20"/>
    <mergeCell ref="M20:N20"/>
    <mergeCell ref="A23:N23"/>
    <mergeCell ref="G25:H25"/>
    <mergeCell ref="J25:K25"/>
    <mergeCell ref="M25:N25"/>
    <mergeCell ref="J10:K10"/>
    <mergeCell ref="M10:N10"/>
    <mergeCell ref="G33:H33"/>
    <mergeCell ref="A1:N1"/>
    <mergeCell ref="A3:N3"/>
    <mergeCell ref="G5:H5"/>
    <mergeCell ref="J5:K5"/>
    <mergeCell ref="M5:N5"/>
    <mergeCell ref="J33:K33"/>
    <mergeCell ref="M33:N33"/>
    <mergeCell ref="A36:N36"/>
    <mergeCell ref="G38:H38"/>
    <mergeCell ref="J38:K38"/>
    <mergeCell ref="M38:N38"/>
    <mergeCell ref="G44:H44"/>
    <mergeCell ref="J44:K44"/>
    <mergeCell ref="M44:N44"/>
    <mergeCell ref="D87:F87"/>
    <mergeCell ref="A47:N47"/>
    <mergeCell ref="G49:H49"/>
    <mergeCell ref="J49:K49"/>
    <mergeCell ref="M49:N49"/>
    <mergeCell ref="G75:H75"/>
    <mergeCell ref="J75:K75"/>
    <mergeCell ref="M75:N75"/>
    <mergeCell ref="D83:F83"/>
    <mergeCell ref="D84:F84"/>
    <mergeCell ref="D85:F85"/>
    <mergeCell ref="D86:F86"/>
    <mergeCell ref="G83:H83"/>
  </mergeCells>
  <conditionalFormatting sqref="G6">
    <cfRule type="iconSet" priority="312">
      <iconSet iconSet="3TrafficLights2" showValue="0">
        <cfvo type="percent" val="0"/>
        <cfvo type="num" val="0.6"/>
        <cfvo type="num" val="0.8"/>
      </iconSet>
    </cfRule>
  </conditionalFormatting>
  <conditionalFormatting sqref="H6">
    <cfRule type="iconSet" priority="311">
      <iconSet iconSet="5Arrows" showValue="0">
        <cfvo type="percent" val="0"/>
        <cfvo type="num" val="0.6"/>
        <cfvo type="num" val="0.7"/>
        <cfvo type="num" val="0.8"/>
        <cfvo type="num" val="0.9"/>
      </iconSet>
    </cfRule>
  </conditionalFormatting>
  <conditionalFormatting sqref="I57:I58 F6 L57:L58 F57:F58 I68 L68 F68 F73 L73 I73 F70:F71 L70:L71 I70:I71 F50:F55 L50:L55 I50:I55 F60:F62 L60:L62 I60:I62">
    <cfRule type="dataBar" priority="310">
      <dataBar>
        <cfvo type="num" val="0"/>
        <cfvo type="num" val="1.1000000000000001"/>
        <color rgb="FF63C384"/>
      </dataBar>
      <extLst>
        <ext xmlns:x14="http://schemas.microsoft.com/office/spreadsheetml/2009/9/main" uri="{B025F937-C7B1-47D3-B67F-A62EFF666E3E}">
          <x14:id>{E2447B98-D96C-4E51-8249-6DAFFA072E95}</x14:id>
        </ext>
      </extLst>
    </cfRule>
  </conditionalFormatting>
  <conditionalFormatting sqref="J6">
    <cfRule type="iconSet" priority="309">
      <iconSet iconSet="3TrafficLights2" showValue="0">
        <cfvo type="percent" val="0"/>
        <cfvo type="num" val="0.6"/>
        <cfvo type="num" val="0.8"/>
      </iconSet>
    </cfRule>
  </conditionalFormatting>
  <conditionalFormatting sqref="K6">
    <cfRule type="iconSet" priority="308">
      <iconSet iconSet="5Arrows" showValue="0">
        <cfvo type="percent" val="0"/>
        <cfvo type="num" val="0.6"/>
        <cfvo type="num" val="0.7"/>
        <cfvo type="num" val="0.8"/>
        <cfvo type="num" val="0.9"/>
      </iconSet>
    </cfRule>
  </conditionalFormatting>
  <conditionalFormatting sqref="I6">
    <cfRule type="dataBar" priority="307">
      <dataBar>
        <cfvo type="num" val="0"/>
        <cfvo type="num" val="1.1000000000000001"/>
        <color rgb="FF63C384"/>
      </dataBar>
      <extLst>
        <ext xmlns:x14="http://schemas.microsoft.com/office/spreadsheetml/2009/9/main" uri="{B025F937-C7B1-47D3-B67F-A62EFF666E3E}">
          <x14:id>{C2D532E5-1B7C-480C-922C-653A82A2DDF0}</x14:id>
        </ext>
      </extLst>
    </cfRule>
  </conditionalFormatting>
  <conditionalFormatting sqref="M6">
    <cfRule type="iconSet" priority="306">
      <iconSet iconSet="3TrafficLights2" showValue="0">
        <cfvo type="percent" val="0"/>
        <cfvo type="num" val="0.6"/>
        <cfvo type="num" val="0.8"/>
      </iconSet>
    </cfRule>
  </conditionalFormatting>
  <conditionalFormatting sqref="N6">
    <cfRule type="iconSet" priority="305">
      <iconSet iconSet="5Arrows" showValue="0">
        <cfvo type="percent" val="0"/>
        <cfvo type="num" val="0.6"/>
        <cfvo type="num" val="0.7"/>
        <cfvo type="num" val="0.8"/>
        <cfvo type="num" val="0.9"/>
      </iconSet>
    </cfRule>
  </conditionalFormatting>
  <conditionalFormatting sqref="L6">
    <cfRule type="dataBar" priority="304">
      <dataBar>
        <cfvo type="num" val="0"/>
        <cfvo type="num" val="1.1000000000000001"/>
        <color rgb="FF63C384"/>
      </dataBar>
      <extLst>
        <ext xmlns:x14="http://schemas.microsoft.com/office/spreadsheetml/2009/9/main" uri="{B025F937-C7B1-47D3-B67F-A62EFF666E3E}">
          <x14:id>{9A5EDCC3-08C0-4FA7-B8DE-5928750D7291}</x14:id>
        </ext>
      </extLst>
    </cfRule>
  </conditionalFormatting>
  <conditionalFormatting sqref="G7">
    <cfRule type="iconSet" priority="303">
      <iconSet iconSet="3TrafficLights2" showValue="0">
        <cfvo type="percent" val="0"/>
        <cfvo type="num" val="0.6"/>
        <cfvo type="num" val="0.8"/>
      </iconSet>
    </cfRule>
  </conditionalFormatting>
  <conditionalFormatting sqref="H7">
    <cfRule type="iconSet" priority="302">
      <iconSet iconSet="5Arrows" showValue="0">
        <cfvo type="percent" val="0"/>
        <cfvo type="num" val="0.6"/>
        <cfvo type="num" val="0.7"/>
        <cfvo type="num" val="0.8"/>
        <cfvo type="num" val="0.9"/>
      </iconSet>
    </cfRule>
  </conditionalFormatting>
  <conditionalFormatting sqref="F7">
    <cfRule type="dataBar" priority="301">
      <dataBar>
        <cfvo type="num" val="0"/>
        <cfvo type="num" val="1.1000000000000001"/>
        <color rgb="FF63C384"/>
      </dataBar>
      <extLst>
        <ext xmlns:x14="http://schemas.microsoft.com/office/spreadsheetml/2009/9/main" uri="{B025F937-C7B1-47D3-B67F-A62EFF666E3E}">
          <x14:id>{A0239914-0CEE-4CCB-8399-5F6FE19EFCC0}</x14:id>
        </ext>
      </extLst>
    </cfRule>
  </conditionalFormatting>
  <conditionalFormatting sqref="J7">
    <cfRule type="iconSet" priority="300">
      <iconSet iconSet="3TrafficLights2" showValue="0">
        <cfvo type="percent" val="0"/>
        <cfvo type="num" val="0.6"/>
        <cfvo type="num" val="0.8"/>
      </iconSet>
    </cfRule>
  </conditionalFormatting>
  <conditionalFormatting sqref="K7">
    <cfRule type="iconSet" priority="299">
      <iconSet iconSet="5Arrows" showValue="0">
        <cfvo type="percent" val="0"/>
        <cfvo type="num" val="0.6"/>
        <cfvo type="num" val="0.7"/>
        <cfvo type="num" val="0.8"/>
        <cfvo type="num" val="0.9"/>
      </iconSet>
    </cfRule>
  </conditionalFormatting>
  <conditionalFormatting sqref="I7">
    <cfRule type="dataBar" priority="298">
      <dataBar>
        <cfvo type="num" val="0"/>
        <cfvo type="num" val="1.1000000000000001"/>
        <color rgb="FF63C384"/>
      </dataBar>
      <extLst>
        <ext xmlns:x14="http://schemas.microsoft.com/office/spreadsheetml/2009/9/main" uri="{B025F937-C7B1-47D3-B67F-A62EFF666E3E}">
          <x14:id>{0DFE4C40-C3FC-447C-86F9-479B60F27E9D}</x14:id>
        </ext>
      </extLst>
    </cfRule>
  </conditionalFormatting>
  <conditionalFormatting sqref="M7">
    <cfRule type="iconSet" priority="297">
      <iconSet iconSet="3TrafficLights2" showValue="0">
        <cfvo type="percent" val="0"/>
        <cfvo type="num" val="0.6"/>
        <cfvo type="num" val="0.8"/>
      </iconSet>
    </cfRule>
  </conditionalFormatting>
  <conditionalFormatting sqref="N7">
    <cfRule type="iconSet" priority="296">
      <iconSet iconSet="5Arrows" showValue="0">
        <cfvo type="percent" val="0"/>
        <cfvo type="num" val="0.6"/>
        <cfvo type="num" val="0.7"/>
        <cfvo type="num" val="0.8"/>
        <cfvo type="num" val="0.9"/>
      </iconSet>
    </cfRule>
  </conditionalFormatting>
  <conditionalFormatting sqref="L7">
    <cfRule type="dataBar" priority="295">
      <dataBar>
        <cfvo type="num" val="0"/>
        <cfvo type="num" val="1.1000000000000001"/>
        <color rgb="FF63C384"/>
      </dataBar>
      <extLst>
        <ext xmlns:x14="http://schemas.microsoft.com/office/spreadsheetml/2009/9/main" uri="{B025F937-C7B1-47D3-B67F-A62EFF666E3E}">
          <x14:id>{1F72F77C-72DD-4DC0-993A-4A62562778BC}</x14:id>
        </ext>
      </extLst>
    </cfRule>
  </conditionalFormatting>
  <conditionalFormatting sqref="G8">
    <cfRule type="iconSet" priority="294">
      <iconSet iconSet="3TrafficLights2" showValue="0">
        <cfvo type="percent" val="0"/>
        <cfvo type="num" val="0.6"/>
        <cfvo type="num" val="0.8"/>
      </iconSet>
    </cfRule>
  </conditionalFormatting>
  <conditionalFormatting sqref="H8">
    <cfRule type="iconSet" priority="293">
      <iconSet iconSet="5Arrows" showValue="0">
        <cfvo type="percent" val="0"/>
        <cfvo type="num" val="0.6"/>
        <cfvo type="num" val="0.7"/>
        <cfvo type="num" val="0.8"/>
        <cfvo type="num" val="0.9"/>
      </iconSet>
    </cfRule>
  </conditionalFormatting>
  <conditionalFormatting sqref="F8">
    <cfRule type="dataBar" priority="292">
      <dataBar>
        <cfvo type="num" val="0"/>
        <cfvo type="num" val="1.1000000000000001"/>
        <color rgb="FF63C384"/>
      </dataBar>
      <extLst>
        <ext xmlns:x14="http://schemas.microsoft.com/office/spreadsheetml/2009/9/main" uri="{B025F937-C7B1-47D3-B67F-A62EFF666E3E}">
          <x14:id>{13929A6E-DD03-4D35-A383-37858081BB35}</x14:id>
        </ext>
      </extLst>
    </cfRule>
  </conditionalFormatting>
  <conditionalFormatting sqref="J8">
    <cfRule type="iconSet" priority="291">
      <iconSet iconSet="3TrafficLights2" showValue="0">
        <cfvo type="percent" val="0"/>
        <cfvo type="num" val="0.6"/>
        <cfvo type="num" val="0.8"/>
      </iconSet>
    </cfRule>
  </conditionalFormatting>
  <conditionalFormatting sqref="K8">
    <cfRule type="iconSet" priority="290">
      <iconSet iconSet="5Arrows" showValue="0">
        <cfvo type="percent" val="0"/>
        <cfvo type="num" val="0.6"/>
        <cfvo type="num" val="0.7"/>
        <cfvo type="num" val="0.8"/>
        <cfvo type="num" val="0.9"/>
      </iconSet>
    </cfRule>
  </conditionalFormatting>
  <conditionalFormatting sqref="I8">
    <cfRule type="dataBar" priority="289">
      <dataBar>
        <cfvo type="num" val="0"/>
        <cfvo type="num" val="1.1000000000000001"/>
        <color rgb="FF63C384"/>
      </dataBar>
      <extLst>
        <ext xmlns:x14="http://schemas.microsoft.com/office/spreadsheetml/2009/9/main" uri="{B025F937-C7B1-47D3-B67F-A62EFF666E3E}">
          <x14:id>{ADCEFA98-11A3-4CF8-800F-04F593269AA7}</x14:id>
        </ext>
      </extLst>
    </cfRule>
  </conditionalFormatting>
  <conditionalFormatting sqref="M8">
    <cfRule type="iconSet" priority="288">
      <iconSet iconSet="3TrafficLights2" showValue="0">
        <cfvo type="percent" val="0"/>
        <cfvo type="num" val="0.6"/>
        <cfvo type="num" val="0.8"/>
      </iconSet>
    </cfRule>
  </conditionalFormatting>
  <conditionalFormatting sqref="N8">
    <cfRule type="iconSet" priority="287">
      <iconSet iconSet="5Arrows" showValue="0">
        <cfvo type="percent" val="0"/>
        <cfvo type="num" val="0.6"/>
        <cfvo type="num" val="0.7"/>
        <cfvo type="num" val="0.8"/>
        <cfvo type="num" val="0.9"/>
      </iconSet>
    </cfRule>
  </conditionalFormatting>
  <conditionalFormatting sqref="L8">
    <cfRule type="dataBar" priority="286">
      <dataBar>
        <cfvo type="num" val="0"/>
        <cfvo type="num" val="1.1000000000000001"/>
        <color rgb="FF63C384"/>
      </dataBar>
      <extLst>
        <ext xmlns:x14="http://schemas.microsoft.com/office/spreadsheetml/2009/9/main" uri="{B025F937-C7B1-47D3-B67F-A62EFF666E3E}">
          <x14:id>{29C8DEB2-2279-4B4B-8012-95D88698D968}</x14:id>
        </ext>
      </extLst>
    </cfRule>
  </conditionalFormatting>
  <conditionalFormatting sqref="G9">
    <cfRule type="iconSet" priority="285">
      <iconSet iconSet="3TrafficLights2" showValue="0">
        <cfvo type="percent" val="0"/>
        <cfvo type="num" val="0.6"/>
        <cfvo type="num" val="0.8"/>
      </iconSet>
    </cfRule>
  </conditionalFormatting>
  <conditionalFormatting sqref="H9">
    <cfRule type="iconSet" priority="284">
      <iconSet iconSet="5Arrows" showValue="0">
        <cfvo type="percent" val="0"/>
        <cfvo type="num" val="0.6"/>
        <cfvo type="num" val="0.7"/>
        <cfvo type="num" val="0.8"/>
        <cfvo type="num" val="0.9"/>
      </iconSet>
    </cfRule>
  </conditionalFormatting>
  <conditionalFormatting sqref="F9">
    <cfRule type="dataBar" priority="283">
      <dataBar>
        <cfvo type="num" val="0"/>
        <cfvo type="num" val="1.1000000000000001"/>
        <color rgb="FF63C384"/>
      </dataBar>
      <extLst>
        <ext xmlns:x14="http://schemas.microsoft.com/office/spreadsheetml/2009/9/main" uri="{B025F937-C7B1-47D3-B67F-A62EFF666E3E}">
          <x14:id>{7B2A6733-42DB-44AD-8430-521F8F345BAB}</x14:id>
        </ext>
      </extLst>
    </cfRule>
  </conditionalFormatting>
  <conditionalFormatting sqref="J9">
    <cfRule type="iconSet" priority="282">
      <iconSet iconSet="3TrafficLights2" showValue="0">
        <cfvo type="percent" val="0"/>
        <cfvo type="num" val="0.6"/>
        <cfvo type="num" val="0.8"/>
      </iconSet>
    </cfRule>
  </conditionalFormatting>
  <conditionalFormatting sqref="K9">
    <cfRule type="iconSet" priority="281">
      <iconSet iconSet="5Arrows" showValue="0">
        <cfvo type="percent" val="0"/>
        <cfvo type="num" val="0.6"/>
        <cfvo type="num" val="0.7"/>
        <cfvo type="num" val="0.8"/>
        <cfvo type="num" val="0.9"/>
      </iconSet>
    </cfRule>
  </conditionalFormatting>
  <conditionalFormatting sqref="I9">
    <cfRule type="dataBar" priority="280">
      <dataBar>
        <cfvo type="num" val="0"/>
        <cfvo type="num" val="1.1000000000000001"/>
        <color rgb="FF63C384"/>
      </dataBar>
      <extLst>
        <ext xmlns:x14="http://schemas.microsoft.com/office/spreadsheetml/2009/9/main" uri="{B025F937-C7B1-47D3-B67F-A62EFF666E3E}">
          <x14:id>{A3F17A18-4E05-438E-8EF4-50AAF9B580D4}</x14:id>
        </ext>
      </extLst>
    </cfRule>
  </conditionalFormatting>
  <conditionalFormatting sqref="M9">
    <cfRule type="iconSet" priority="279">
      <iconSet iconSet="3TrafficLights2" showValue="0">
        <cfvo type="percent" val="0"/>
        <cfvo type="num" val="0.6"/>
        <cfvo type="num" val="0.8"/>
      </iconSet>
    </cfRule>
  </conditionalFormatting>
  <conditionalFormatting sqref="N9">
    <cfRule type="iconSet" priority="278">
      <iconSet iconSet="5Arrows" showValue="0">
        <cfvo type="percent" val="0"/>
        <cfvo type="num" val="0.6"/>
        <cfvo type="num" val="0.7"/>
        <cfvo type="num" val="0.8"/>
        <cfvo type="num" val="0.9"/>
      </iconSet>
    </cfRule>
  </conditionalFormatting>
  <conditionalFormatting sqref="L9">
    <cfRule type="dataBar" priority="277">
      <dataBar>
        <cfvo type="num" val="0"/>
        <cfvo type="num" val="1.1000000000000001"/>
        <color rgb="FF63C384"/>
      </dataBar>
      <extLst>
        <ext xmlns:x14="http://schemas.microsoft.com/office/spreadsheetml/2009/9/main" uri="{B025F937-C7B1-47D3-B67F-A62EFF666E3E}">
          <x14:id>{557B1B9F-9C4D-4319-97DA-3DF66C373487}</x14:id>
        </ext>
      </extLst>
    </cfRule>
  </conditionalFormatting>
  <conditionalFormatting sqref="F11:F12">
    <cfRule type="dataBar" priority="276">
      <dataBar>
        <cfvo type="num" val="0"/>
        <cfvo type="num" val="1.1000000000000001"/>
        <color rgb="FF63C384"/>
      </dataBar>
      <extLst>
        <ext xmlns:x14="http://schemas.microsoft.com/office/spreadsheetml/2009/9/main" uri="{B025F937-C7B1-47D3-B67F-A62EFF666E3E}">
          <x14:id>{BB8F1DA8-7544-4342-8388-49BBDB34CFD8}</x14:id>
        </ext>
      </extLst>
    </cfRule>
  </conditionalFormatting>
  <conditionalFormatting sqref="G11:G12">
    <cfRule type="iconSet" priority="275">
      <iconSet iconSet="3TrafficLights2" showValue="0">
        <cfvo type="percent" val="0"/>
        <cfvo type="num" val="0.6"/>
        <cfvo type="num" val="0.8"/>
      </iconSet>
    </cfRule>
  </conditionalFormatting>
  <conditionalFormatting sqref="H11:H12">
    <cfRule type="iconSet" priority="274">
      <iconSet iconSet="5Arrows" showValue="0">
        <cfvo type="percent" val="0"/>
        <cfvo type="num" val="0.6"/>
        <cfvo type="num" val="0.7"/>
        <cfvo type="num" val="0.8"/>
        <cfvo type="num" val="0.9"/>
      </iconSet>
    </cfRule>
  </conditionalFormatting>
  <conditionalFormatting sqref="J11:J12">
    <cfRule type="iconSet" priority="273">
      <iconSet iconSet="3TrafficLights2" showValue="0">
        <cfvo type="percent" val="0"/>
        <cfvo type="num" val="0.6"/>
        <cfvo type="num" val="0.8"/>
      </iconSet>
    </cfRule>
  </conditionalFormatting>
  <conditionalFormatting sqref="K11:K12">
    <cfRule type="iconSet" priority="272">
      <iconSet iconSet="5Arrows" showValue="0">
        <cfvo type="percent" val="0"/>
        <cfvo type="num" val="0.6"/>
        <cfvo type="num" val="0.7"/>
        <cfvo type="num" val="0.8"/>
        <cfvo type="num" val="0.9"/>
      </iconSet>
    </cfRule>
  </conditionalFormatting>
  <conditionalFormatting sqref="I11:I12">
    <cfRule type="dataBar" priority="271">
      <dataBar>
        <cfvo type="num" val="0"/>
        <cfvo type="num" val="1.1000000000000001"/>
        <color rgb="FF63C384"/>
      </dataBar>
      <extLst>
        <ext xmlns:x14="http://schemas.microsoft.com/office/spreadsheetml/2009/9/main" uri="{B025F937-C7B1-47D3-B67F-A62EFF666E3E}">
          <x14:id>{A117401D-49CC-4479-8BA4-E600E570CC52}</x14:id>
        </ext>
      </extLst>
    </cfRule>
  </conditionalFormatting>
  <conditionalFormatting sqref="M11:M12">
    <cfRule type="iconSet" priority="270">
      <iconSet iconSet="3TrafficLights2" showValue="0">
        <cfvo type="percent" val="0"/>
        <cfvo type="num" val="0.6"/>
        <cfvo type="num" val="0.8"/>
      </iconSet>
    </cfRule>
  </conditionalFormatting>
  <conditionalFormatting sqref="N11:N12">
    <cfRule type="iconSet" priority="269">
      <iconSet iconSet="5Arrows" showValue="0">
        <cfvo type="percent" val="0"/>
        <cfvo type="num" val="0.6"/>
        <cfvo type="num" val="0.7"/>
        <cfvo type="num" val="0.8"/>
        <cfvo type="num" val="0.9"/>
      </iconSet>
    </cfRule>
  </conditionalFormatting>
  <conditionalFormatting sqref="L11:L12">
    <cfRule type="dataBar" priority="268">
      <dataBar>
        <cfvo type="num" val="0"/>
        <cfvo type="num" val="1.1000000000000001"/>
        <color rgb="FF63C384"/>
      </dataBar>
      <extLst>
        <ext xmlns:x14="http://schemas.microsoft.com/office/spreadsheetml/2009/9/main" uri="{B025F937-C7B1-47D3-B67F-A62EFF666E3E}">
          <x14:id>{49C7012A-B31E-4ADF-A374-6EB241CE7B36}</x14:id>
        </ext>
      </extLst>
    </cfRule>
  </conditionalFormatting>
  <conditionalFormatting sqref="G16">
    <cfRule type="iconSet" priority="267">
      <iconSet iconSet="3TrafficLights2" showValue="0">
        <cfvo type="percent" val="0"/>
        <cfvo type="num" val="0.6"/>
        <cfvo type="num" val="0.8"/>
      </iconSet>
    </cfRule>
  </conditionalFormatting>
  <conditionalFormatting sqref="H16">
    <cfRule type="iconSet" priority="266">
      <iconSet iconSet="5Arrows" showValue="0">
        <cfvo type="percent" val="0"/>
        <cfvo type="num" val="0.6"/>
        <cfvo type="num" val="0.7"/>
        <cfvo type="num" val="0.8"/>
        <cfvo type="num" val="0.9"/>
      </iconSet>
    </cfRule>
  </conditionalFormatting>
  <conditionalFormatting sqref="F16">
    <cfRule type="dataBar" priority="265">
      <dataBar>
        <cfvo type="num" val="0"/>
        <cfvo type="num" val="1.1000000000000001"/>
        <color rgb="FF63C384"/>
      </dataBar>
      <extLst>
        <ext xmlns:x14="http://schemas.microsoft.com/office/spreadsheetml/2009/9/main" uri="{B025F937-C7B1-47D3-B67F-A62EFF666E3E}">
          <x14:id>{5D445730-5BAE-4FF4-B27D-003A7E69232E}</x14:id>
        </ext>
      </extLst>
    </cfRule>
  </conditionalFormatting>
  <conditionalFormatting sqref="J16">
    <cfRule type="iconSet" priority="264">
      <iconSet iconSet="3TrafficLights2" showValue="0">
        <cfvo type="percent" val="0"/>
        <cfvo type="num" val="0.6"/>
        <cfvo type="num" val="0.8"/>
      </iconSet>
    </cfRule>
  </conditionalFormatting>
  <conditionalFormatting sqref="K16">
    <cfRule type="iconSet" priority="263">
      <iconSet iconSet="5Arrows" showValue="0">
        <cfvo type="percent" val="0"/>
        <cfvo type="num" val="0.6"/>
        <cfvo type="num" val="0.7"/>
        <cfvo type="num" val="0.8"/>
        <cfvo type="num" val="0.9"/>
      </iconSet>
    </cfRule>
  </conditionalFormatting>
  <conditionalFormatting sqref="I16">
    <cfRule type="dataBar" priority="262">
      <dataBar>
        <cfvo type="num" val="0"/>
        <cfvo type="num" val="1.1000000000000001"/>
        <color rgb="FF63C384"/>
      </dataBar>
      <extLst>
        <ext xmlns:x14="http://schemas.microsoft.com/office/spreadsheetml/2009/9/main" uri="{B025F937-C7B1-47D3-B67F-A62EFF666E3E}">
          <x14:id>{22BCA6FB-9E3D-4931-BF3B-E25CAA97205F}</x14:id>
        </ext>
      </extLst>
    </cfRule>
  </conditionalFormatting>
  <conditionalFormatting sqref="M16">
    <cfRule type="iconSet" priority="261">
      <iconSet iconSet="3TrafficLights2" showValue="0">
        <cfvo type="percent" val="0"/>
        <cfvo type="num" val="0.6"/>
        <cfvo type="num" val="0.8"/>
      </iconSet>
    </cfRule>
  </conditionalFormatting>
  <conditionalFormatting sqref="N16">
    <cfRule type="iconSet" priority="260">
      <iconSet iconSet="5Arrows" showValue="0">
        <cfvo type="percent" val="0"/>
        <cfvo type="num" val="0.6"/>
        <cfvo type="num" val="0.7"/>
        <cfvo type="num" val="0.8"/>
        <cfvo type="num" val="0.9"/>
      </iconSet>
    </cfRule>
  </conditionalFormatting>
  <conditionalFormatting sqref="L16">
    <cfRule type="dataBar" priority="259">
      <dataBar>
        <cfvo type="num" val="0"/>
        <cfvo type="num" val="1.1000000000000001"/>
        <color rgb="FF63C384"/>
      </dataBar>
      <extLst>
        <ext xmlns:x14="http://schemas.microsoft.com/office/spreadsheetml/2009/9/main" uri="{B025F937-C7B1-47D3-B67F-A62EFF666E3E}">
          <x14:id>{1F5A34CA-A96C-4E32-B605-0843192CB974}</x14:id>
        </ext>
      </extLst>
    </cfRule>
  </conditionalFormatting>
  <conditionalFormatting sqref="G17">
    <cfRule type="iconSet" priority="258">
      <iconSet iconSet="3TrafficLights2" showValue="0">
        <cfvo type="percent" val="0"/>
        <cfvo type="num" val="0.6"/>
        <cfvo type="num" val="0.8"/>
      </iconSet>
    </cfRule>
  </conditionalFormatting>
  <conditionalFormatting sqref="H17">
    <cfRule type="iconSet" priority="257">
      <iconSet iconSet="5Arrows" showValue="0">
        <cfvo type="percent" val="0"/>
        <cfvo type="num" val="0.6"/>
        <cfvo type="num" val="0.7"/>
        <cfvo type="num" val="0.8"/>
        <cfvo type="num" val="0.9"/>
      </iconSet>
    </cfRule>
  </conditionalFormatting>
  <conditionalFormatting sqref="F17">
    <cfRule type="dataBar" priority="256">
      <dataBar>
        <cfvo type="num" val="0"/>
        <cfvo type="num" val="1.1000000000000001"/>
        <color rgb="FF63C384"/>
      </dataBar>
      <extLst>
        <ext xmlns:x14="http://schemas.microsoft.com/office/spreadsheetml/2009/9/main" uri="{B025F937-C7B1-47D3-B67F-A62EFF666E3E}">
          <x14:id>{C015A28D-284E-406F-9744-D03494B26819}</x14:id>
        </ext>
      </extLst>
    </cfRule>
  </conditionalFormatting>
  <conditionalFormatting sqref="J17">
    <cfRule type="iconSet" priority="255">
      <iconSet iconSet="3TrafficLights2" showValue="0">
        <cfvo type="percent" val="0"/>
        <cfvo type="num" val="0.6"/>
        <cfvo type="num" val="0.8"/>
      </iconSet>
    </cfRule>
  </conditionalFormatting>
  <conditionalFormatting sqref="K17">
    <cfRule type="iconSet" priority="254">
      <iconSet iconSet="5Arrows" showValue="0">
        <cfvo type="percent" val="0"/>
        <cfvo type="num" val="0.6"/>
        <cfvo type="num" val="0.7"/>
        <cfvo type="num" val="0.8"/>
        <cfvo type="num" val="0.9"/>
      </iconSet>
    </cfRule>
  </conditionalFormatting>
  <conditionalFormatting sqref="I17">
    <cfRule type="dataBar" priority="253">
      <dataBar>
        <cfvo type="num" val="0"/>
        <cfvo type="num" val="1.1000000000000001"/>
        <color rgb="FF63C384"/>
      </dataBar>
      <extLst>
        <ext xmlns:x14="http://schemas.microsoft.com/office/spreadsheetml/2009/9/main" uri="{B025F937-C7B1-47D3-B67F-A62EFF666E3E}">
          <x14:id>{F9996B71-F08A-40BC-8D77-899BF90824E0}</x14:id>
        </ext>
      </extLst>
    </cfRule>
  </conditionalFormatting>
  <conditionalFormatting sqref="M17">
    <cfRule type="iconSet" priority="252">
      <iconSet iconSet="3TrafficLights2" showValue="0">
        <cfvo type="percent" val="0"/>
        <cfvo type="num" val="0.6"/>
        <cfvo type="num" val="0.8"/>
      </iconSet>
    </cfRule>
  </conditionalFormatting>
  <conditionalFormatting sqref="N17">
    <cfRule type="iconSet" priority="251">
      <iconSet iconSet="5Arrows" showValue="0">
        <cfvo type="percent" val="0"/>
        <cfvo type="num" val="0.6"/>
        <cfvo type="num" val="0.7"/>
        <cfvo type="num" val="0.8"/>
        <cfvo type="num" val="0.9"/>
      </iconSet>
    </cfRule>
  </conditionalFormatting>
  <conditionalFormatting sqref="L17">
    <cfRule type="dataBar" priority="250">
      <dataBar>
        <cfvo type="num" val="0"/>
        <cfvo type="num" val="1.1000000000000001"/>
        <color rgb="FF63C384"/>
      </dataBar>
      <extLst>
        <ext xmlns:x14="http://schemas.microsoft.com/office/spreadsheetml/2009/9/main" uri="{B025F937-C7B1-47D3-B67F-A62EFF666E3E}">
          <x14:id>{8C85687A-4D22-4099-8DB2-88652B14912C}</x14:id>
        </ext>
      </extLst>
    </cfRule>
  </conditionalFormatting>
  <conditionalFormatting sqref="G18">
    <cfRule type="iconSet" priority="249">
      <iconSet iconSet="3TrafficLights2" showValue="0">
        <cfvo type="percent" val="0"/>
        <cfvo type="num" val="0.6"/>
        <cfvo type="num" val="0.8"/>
      </iconSet>
    </cfRule>
  </conditionalFormatting>
  <conditionalFormatting sqref="H18">
    <cfRule type="iconSet" priority="248">
      <iconSet iconSet="5Arrows" showValue="0">
        <cfvo type="percent" val="0"/>
        <cfvo type="num" val="0.6"/>
        <cfvo type="num" val="0.7"/>
        <cfvo type="num" val="0.8"/>
        <cfvo type="num" val="0.9"/>
      </iconSet>
    </cfRule>
  </conditionalFormatting>
  <conditionalFormatting sqref="F18">
    <cfRule type="dataBar" priority="247">
      <dataBar>
        <cfvo type="num" val="0"/>
        <cfvo type="num" val="1.1000000000000001"/>
        <color rgb="FF63C384"/>
      </dataBar>
      <extLst>
        <ext xmlns:x14="http://schemas.microsoft.com/office/spreadsheetml/2009/9/main" uri="{B025F937-C7B1-47D3-B67F-A62EFF666E3E}">
          <x14:id>{C592FB22-FC49-4065-87E1-5E1C75E91DA3}</x14:id>
        </ext>
      </extLst>
    </cfRule>
  </conditionalFormatting>
  <conditionalFormatting sqref="J18">
    <cfRule type="iconSet" priority="246">
      <iconSet iconSet="3TrafficLights2" showValue="0">
        <cfvo type="percent" val="0"/>
        <cfvo type="num" val="0.6"/>
        <cfvo type="num" val="0.8"/>
      </iconSet>
    </cfRule>
  </conditionalFormatting>
  <conditionalFormatting sqref="K18">
    <cfRule type="iconSet" priority="245">
      <iconSet iconSet="5Arrows" showValue="0">
        <cfvo type="percent" val="0"/>
        <cfvo type="num" val="0.6"/>
        <cfvo type="num" val="0.7"/>
        <cfvo type="num" val="0.8"/>
        <cfvo type="num" val="0.9"/>
      </iconSet>
    </cfRule>
  </conditionalFormatting>
  <conditionalFormatting sqref="I18">
    <cfRule type="dataBar" priority="244">
      <dataBar>
        <cfvo type="num" val="0"/>
        <cfvo type="num" val="1.1000000000000001"/>
        <color rgb="FF63C384"/>
      </dataBar>
      <extLst>
        <ext xmlns:x14="http://schemas.microsoft.com/office/spreadsheetml/2009/9/main" uri="{B025F937-C7B1-47D3-B67F-A62EFF666E3E}">
          <x14:id>{2925FAC5-3E9D-4292-9232-77D98F087C26}</x14:id>
        </ext>
      </extLst>
    </cfRule>
  </conditionalFormatting>
  <conditionalFormatting sqref="M18">
    <cfRule type="iconSet" priority="243">
      <iconSet iconSet="3TrafficLights2" showValue="0">
        <cfvo type="percent" val="0"/>
        <cfvo type="num" val="0.6"/>
        <cfvo type="num" val="0.8"/>
      </iconSet>
    </cfRule>
  </conditionalFormatting>
  <conditionalFormatting sqref="N18">
    <cfRule type="iconSet" priority="242">
      <iconSet iconSet="5Arrows" showValue="0">
        <cfvo type="percent" val="0"/>
        <cfvo type="num" val="0.6"/>
        <cfvo type="num" val="0.7"/>
        <cfvo type="num" val="0.8"/>
        <cfvo type="num" val="0.9"/>
      </iconSet>
    </cfRule>
  </conditionalFormatting>
  <conditionalFormatting sqref="L18">
    <cfRule type="dataBar" priority="241">
      <dataBar>
        <cfvo type="num" val="0"/>
        <cfvo type="num" val="1.1000000000000001"/>
        <color rgb="FF63C384"/>
      </dataBar>
      <extLst>
        <ext xmlns:x14="http://schemas.microsoft.com/office/spreadsheetml/2009/9/main" uri="{B025F937-C7B1-47D3-B67F-A62EFF666E3E}">
          <x14:id>{9C64AF3F-84DB-4D7C-8F47-070144B41CA4}</x14:id>
        </ext>
      </extLst>
    </cfRule>
  </conditionalFormatting>
  <conditionalFormatting sqref="G19">
    <cfRule type="iconSet" priority="240">
      <iconSet iconSet="3TrafficLights2" showValue="0">
        <cfvo type="percent" val="0"/>
        <cfvo type="num" val="0.6"/>
        <cfvo type="num" val="0.8"/>
      </iconSet>
    </cfRule>
  </conditionalFormatting>
  <conditionalFormatting sqref="H19">
    <cfRule type="iconSet" priority="239">
      <iconSet iconSet="5Arrows" showValue="0">
        <cfvo type="percent" val="0"/>
        <cfvo type="num" val="0.6"/>
        <cfvo type="num" val="0.7"/>
        <cfvo type="num" val="0.8"/>
        <cfvo type="num" val="0.9"/>
      </iconSet>
    </cfRule>
  </conditionalFormatting>
  <conditionalFormatting sqref="F19">
    <cfRule type="dataBar" priority="238">
      <dataBar>
        <cfvo type="num" val="0"/>
        <cfvo type="num" val="1.1000000000000001"/>
        <color rgb="FF63C384"/>
      </dataBar>
      <extLst>
        <ext xmlns:x14="http://schemas.microsoft.com/office/spreadsheetml/2009/9/main" uri="{B025F937-C7B1-47D3-B67F-A62EFF666E3E}">
          <x14:id>{85B379C4-7010-4194-949E-8F54164F35ED}</x14:id>
        </ext>
      </extLst>
    </cfRule>
  </conditionalFormatting>
  <conditionalFormatting sqref="J19">
    <cfRule type="iconSet" priority="237">
      <iconSet iconSet="3TrafficLights2" showValue="0">
        <cfvo type="percent" val="0"/>
        <cfvo type="num" val="0.6"/>
        <cfvo type="num" val="0.8"/>
      </iconSet>
    </cfRule>
  </conditionalFormatting>
  <conditionalFormatting sqref="K19">
    <cfRule type="iconSet" priority="236">
      <iconSet iconSet="5Arrows" showValue="0">
        <cfvo type="percent" val="0"/>
        <cfvo type="num" val="0.6"/>
        <cfvo type="num" val="0.7"/>
        <cfvo type="num" val="0.8"/>
        <cfvo type="num" val="0.9"/>
      </iconSet>
    </cfRule>
  </conditionalFormatting>
  <conditionalFormatting sqref="I19">
    <cfRule type="dataBar" priority="235">
      <dataBar>
        <cfvo type="num" val="0"/>
        <cfvo type="num" val="1.1000000000000001"/>
        <color rgb="FF63C384"/>
      </dataBar>
      <extLst>
        <ext xmlns:x14="http://schemas.microsoft.com/office/spreadsheetml/2009/9/main" uri="{B025F937-C7B1-47D3-B67F-A62EFF666E3E}">
          <x14:id>{9375FE6C-4B11-42F8-8624-9924B1C9E460}</x14:id>
        </ext>
      </extLst>
    </cfRule>
  </conditionalFormatting>
  <conditionalFormatting sqref="M19">
    <cfRule type="iconSet" priority="234">
      <iconSet iconSet="3TrafficLights2" showValue="0">
        <cfvo type="percent" val="0"/>
        <cfvo type="num" val="0.6"/>
        <cfvo type="num" val="0.8"/>
      </iconSet>
    </cfRule>
  </conditionalFormatting>
  <conditionalFormatting sqref="N19">
    <cfRule type="iconSet" priority="233">
      <iconSet iconSet="5Arrows" showValue="0">
        <cfvo type="percent" val="0"/>
        <cfvo type="num" val="0.6"/>
        <cfvo type="num" val="0.7"/>
        <cfvo type="num" val="0.8"/>
        <cfvo type="num" val="0.9"/>
      </iconSet>
    </cfRule>
  </conditionalFormatting>
  <conditionalFormatting sqref="L19">
    <cfRule type="dataBar" priority="232">
      <dataBar>
        <cfvo type="num" val="0"/>
        <cfvo type="num" val="1.1000000000000001"/>
        <color rgb="FF63C384"/>
      </dataBar>
      <extLst>
        <ext xmlns:x14="http://schemas.microsoft.com/office/spreadsheetml/2009/9/main" uri="{B025F937-C7B1-47D3-B67F-A62EFF666E3E}">
          <x14:id>{6B043F20-4D07-412E-9DC1-66E7C1D144F8}</x14:id>
        </ext>
      </extLst>
    </cfRule>
  </conditionalFormatting>
  <conditionalFormatting sqref="F21">
    <cfRule type="dataBar" priority="231">
      <dataBar>
        <cfvo type="num" val="0"/>
        <cfvo type="num" val="1.1000000000000001"/>
        <color rgb="FF63C384"/>
      </dataBar>
      <extLst>
        <ext xmlns:x14="http://schemas.microsoft.com/office/spreadsheetml/2009/9/main" uri="{B025F937-C7B1-47D3-B67F-A62EFF666E3E}">
          <x14:id>{9F289604-01B5-469F-98F1-645A4C7AE84E}</x14:id>
        </ext>
      </extLst>
    </cfRule>
  </conditionalFormatting>
  <conditionalFormatting sqref="G21">
    <cfRule type="iconSet" priority="230">
      <iconSet iconSet="3TrafficLights2" showValue="0">
        <cfvo type="percent" val="0"/>
        <cfvo type="num" val="0.6"/>
        <cfvo type="num" val="0.8"/>
      </iconSet>
    </cfRule>
  </conditionalFormatting>
  <conditionalFormatting sqref="H21">
    <cfRule type="iconSet" priority="229">
      <iconSet iconSet="5Arrows" showValue="0">
        <cfvo type="percent" val="0"/>
        <cfvo type="num" val="0.6"/>
        <cfvo type="num" val="0.7"/>
        <cfvo type="num" val="0.8"/>
        <cfvo type="num" val="0.9"/>
      </iconSet>
    </cfRule>
  </conditionalFormatting>
  <conditionalFormatting sqref="J21">
    <cfRule type="iconSet" priority="228">
      <iconSet iconSet="3TrafficLights2" showValue="0">
        <cfvo type="percent" val="0"/>
        <cfvo type="num" val="0.6"/>
        <cfvo type="num" val="0.8"/>
      </iconSet>
    </cfRule>
  </conditionalFormatting>
  <conditionalFormatting sqref="K21">
    <cfRule type="iconSet" priority="227">
      <iconSet iconSet="5Arrows" showValue="0">
        <cfvo type="percent" val="0"/>
        <cfvo type="num" val="0.6"/>
        <cfvo type="num" val="0.7"/>
        <cfvo type="num" val="0.8"/>
        <cfvo type="num" val="0.9"/>
      </iconSet>
    </cfRule>
  </conditionalFormatting>
  <conditionalFormatting sqref="I21">
    <cfRule type="dataBar" priority="226">
      <dataBar>
        <cfvo type="num" val="0"/>
        <cfvo type="num" val="1.1000000000000001"/>
        <color rgb="FF63C384"/>
      </dataBar>
      <extLst>
        <ext xmlns:x14="http://schemas.microsoft.com/office/spreadsheetml/2009/9/main" uri="{B025F937-C7B1-47D3-B67F-A62EFF666E3E}">
          <x14:id>{177B80C6-6660-472F-9C61-C70C78F191FE}</x14:id>
        </ext>
      </extLst>
    </cfRule>
  </conditionalFormatting>
  <conditionalFormatting sqref="M21">
    <cfRule type="iconSet" priority="225">
      <iconSet iconSet="3TrafficLights2" showValue="0">
        <cfvo type="percent" val="0"/>
        <cfvo type="num" val="0.6"/>
        <cfvo type="num" val="0.8"/>
      </iconSet>
    </cfRule>
  </conditionalFormatting>
  <conditionalFormatting sqref="N21">
    <cfRule type="iconSet" priority="224">
      <iconSet iconSet="5Arrows" showValue="0">
        <cfvo type="percent" val="0"/>
        <cfvo type="num" val="0.6"/>
        <cfvo type="num" val="0.7"/>
        <cfvo type="num" val="0.8"/>
        <cfvo type="num" val="0.9"/>
      </iconSet>
    </cfRule>
  </conditionalFormatting>
  <conditionalFormatting sqref="L21">
    <cfRule type="dataBar" priority="223">
      <dataBar>
        <cfvo type="num" val="0"/>
        <cfvo type="num" val="1.1000000000000001"/>
        <color rgb="FF63C384"/>
      </dataBar>
      <extLst>
        <ext xmlns:x14="http://schemas.microsoft.com/office/spreadsheetml/2009/9/main" uri="{B025F937-C7B1-47D3-B67F-A62EFF666E3E}">
          <x14:id>{6787DA30-3535-4DD5-ADA7-6A3B6D4B32CE}</x14:id>
        </ext>
      </extLst>
    </cfRule>
  </conditionalFormatting>
  <conditionalFormatting sqref="F22">
    <cfRule type="dataBar" priority="222">
      <dataBar>
        <cfvo type="num" val="0"/>
        <cfvo type="num" val="1.1000000000000001"/>
        <color rgb="FF63C384"/>
      </dataBar>
      <extLst>
        <ext xmlns:x14="http://schemas.microsoft.com/office/spreadsheetml/2009/9/main" uri="{B025F937-C7B1-47D3-B67F-A62EFF666E3E}">
          <x14:id>{15A17EF1-9D61-4408-B875-C16D335DEC2D}</x14:id>
        </ext>
      </extLst>
    </cfRule>
  </conditionalFormatting>
  <conditionalFormatting sqref="G22">
    <cfRule type="iconSet" priority="221">
      <iconSet iconSet="3TrafficLights2" showValue="0">
        <cfvo type="percent" val="0"/>
        <cfvo type="num" val="0.6"/>
        <cfvo type="num" val="0.8"/>
      </iconSet>
    </cfRule>
  </conditionalFormatting>
  <conditionalFormatting sqref="H22">
    <cfRule type="iconSet" priority="220">
      <iconSet iconSet="5Arrows" showValue="0">
        <cfvo type="percent" val="0"/>
        <cfvo type="num" val="0.6"/>
        <cfvo type="num" val="0.7"/>
        <cfvo type="num" val="0.8"/>
        <cfvo type="num" val="0.9"/>
      </iconSet>
    </cfRule>
  </conditionalFormatting>
  <conditionalFormatting sqref="J22">
    <cfRule type="iconSet" priority="219">
      <iconSet iconSet="3TrafficLights2" showValue="0">
        <cfvo type="percent" val="0"/>
        <cfvo type="num" val="0.6"/>
        <cfvo type="num" val="0.8"/>
      </iconSet>
    </cfRule>
  </conditionalFormatting>
  <conditionalFormatting sqref="K22">
    <cfRule type="iconSet" priority="218">
      <iconSet iconSet="5Arrows" showValue="0">
        <cfvo type="percent" val="0"/>
        <cfvo type="num" val="0.6"/>
        <cfvo type="num" val="0.7"/>
        <cfvo type="num" val="0.8"/>
        <cfvo type="num" val="0.9"/>
      </iconSet>
    </cfRule>
  </conditionalFormatting>
  <conditionalFormatting sqref="I22">
    <cfRule type="dataBar" priority="217">
      <dataBar>
        <cfvo type="num" val="0"/>
        <cfvo type="num" val="1.1000000000000001"/>
        <color rgb="FF63C384"/>
      </dataBar>
      <extLst>
        <ext xmlns:x14="http://schemas.microsoft.com/office/spreadsheetml/2009/9/main" uri="{B025F937-C7B1-47D3-B67F-A62EFF666E3E}">
          <x14:id>{16DA3FAB-72AE-40FD-AFE6-BE781D1D3F3D}</x14:id>
        </ext>
      </extLst>
    </cfRule>
  </conditionalFormatting>
  <conditionalFormatting sqref="M22">
    <cfRule type="iconSet" priority="216">
      <iconSet iconSet="3TrafficLights2" showValue="0">
        <cfvo type="percent" val="0"/>
        <cfvo type="num" val="0.6"/>
        <cfvo type="num" val="0.8"/>
      </iconSet>
    </cfRule>
  </conditionalFormatting>
  <conditionalFormatting sqref="N22">
    <cfRule type="iconSet" priority="215">
      <iconSet iconSet="5Arrows" showValue="0">
        <cfvo type="percent" val="0"/>
        <cfvo type="num" val="0.6"/>
        <cfvo type="num" val="0.7"/>
        <cfvo type="num" val="0.8"/>
        <cfvo type="num" val="0.9"/>
      </iconSet>
    </cfRule>
  </conditionalFormatting>
  <conditionalFormatting sqref="L22">
    <cfRule type="dataBar" priority="214">
      <dataBar>
        <cfvo type="num" val="0"/>
        <cfvo type="num" val="1.1000000000000001"/>
        <color rgb="FF63C384"/>
      </dataBar>
      <extLst>
        <ext xmlns:x14="http://schemas.microsoft.com/office/spreadsheetml/2009/9/main" uri="{B025F937-C7B1-47D3-B67F-A62EFF666E3E}">
          <x14:id>{A85C0626-5644-4849-B1EA-0469B72E3D89}</x14:id>
        </ext>
      </extLst>
    </cfRule>
  </conditionalFormatting>
  <conditionalFormatting sqref="G26">
    <cfRule type="iconSet" priority="213">
      <iconSet iconSet="3TrafficLights2" showValue="0">
        <cfvo type="percent" val="0"/>
        <cfvo type="num" val="0.6"/>
        <cfvo type="num" val="0.8"/>
      </iconSet>
    </cfRule>
  </conditionalFormatting>
  <conditionalFormatting sqref="H26">
    <cfRule type="iconSet" priority="212">
      <iconSet iconSet="5Arrows" showValue="0">
        <cfvo type="percent" val="0"/>
        <cfvo type="num" val="0.6"/>
        <cfvo type="num" val="0.7"/>
        <cfvo type="num" val="0.8"/>
        <cfvo type="num" val="0.9"/>
      </iconSet>
    </cfRule>
  </conditionalFormatting>
  <conditionalFormatting sqref="F26">
    <cfRule type="dataBar" priority="211">
      <dataBar>
        <cfvo type="num" val="0"/>
        <cfvo type="num" val="1.1000000000000001"/>
        <color rgb="FF63C384"/>
      </dataBar>
      <extLst>
        <ext xmlns:x14="http://schemas.microsoft.com/office/spreadsheetml/2009/9/main" uri="{B025F937-C7B1-47D3-B67F-A62EFF666E3E}">
          <x14:id>{A8D53FD0-0688-4600-9B4F-B75735F44371}</x14:id>
        </ext>
      </extLst>
    </cfRule>
  </conditionalFormatting>
  <conditionalFormatting sqref="J26">
    <cfRule type="iconSet" priority="210">
      <iconSet iconSet="3TrafficLights2" showValue="0">
        <cfvo type="percent" val="0"/>
        <cfvo type="num" val="0.6"/>
        <cfvo type="num" val="0.8"/>
      </iconSet>
    </cfRule>
  </conditionalFormatting>
  <conditionalFormatting sqref="K26">
    <cfRule type="iconSet" priority="209">
      <iconSet iconSet="5Arrows" showValue="0">
        <cfvo type="percent" val="0"/>
        <cfvo type="num" val="0.6"/>
        <cfvo type="num" val="0.7"/>
        <cfvo type="num" val="0.8"/>
        <cfvo type="num" val="0.9"/>
      </iconSet>
    </cfRule>
  </conditionalFormatting>
  <conditionalFormatting sqref="I26">
    <cfRule type="dataBar" priority="208">
      <dataBar>
        <cfvo type="num" val="0"/>
        <cfvo type="num" val="1.1000000000000001"/>
        <color rgb="FF63C384"/>
      </dataBar>
      <extLst>
        <ext xmlns:x14="http://schemas.microsoft.com/office/spreadsheetml/2009/9/main" uri="{B025F937-C7B1-47D3-B67F-A62EFF666E3E}">
          <x14:id>{B08F70F5-3D09-4FBC-AEA8-A9B5DB9E8748}</x14:id>
        </ext>
      </extLst>
    </cfRule>
  </conditionalFormatting>
  <conditionalFormatting sqref="M26">
    <cfRule type="iconSet" priority="207">
      <iconSet iconSet="3TrafficLights2" showValue="0">
        <cfvo type="percent" val="0"/>
        <cfvo type="num" val="0.6"/>
        <cfvo type="num" val="0.8"/>
      </iconSet>
    </cfRule>
  </conditionalFormatting>
  <conditionalFormatting sqref="N26">
    <cfRule type="iconSet" priority="206">
      <iconSet iconSet="5Arrows" showValue="0">
        <cfvo type="percent" val="0"/>
        <cfvo type="num" val="0.6"/>
        <cfvo type="num" val="0.7"/>
        <cfvo type="num" val="0.8"/>
        <cfvo type="num" val="0.9"/>
      </iconSet>
    </cfRule>
  </conditionalFormatting>
  <conditionalFormatting sqref="L26">
    <cfRule type="dataBar" priority="205">
      <dataBar>
        <cfvo type="num" val="0"/>
        <cfvo type="num" val="1.1000000000000001"/>
        <color rgb="FF63C384"/>
      </dataBar>
      <extLst>
        <ext xmlns:x14="http://schemas.microsoft.com/office/spreadsheetml/2009/9/main" uri="{B025F937-C7B1-47D3-B67F-A62EFF666E3E}">
          <x14:id>{4E69ADCE-589B-4F23-B22C-55853965CC71}</x14:id>
        </ext>
      </extLst>
    </cfRule>
  </conditionalFormatting>
  <conditionalFormatting sqref="G27">
    <cfRule type="iconSet" priority="204">
      <iconSet iconSet="3TrafficLights2" showValue="0">
        <cfvo type="percent" val="0"/>
        <cfvo type="num" val="0.6"/>
        <cfvo type="num" val="0.8"/>
      </iconSet>
    </cfRule>
  </conditionalFormatting>
  <conditionalFormatting sqref="H27">
    <cfRule type="iconSet" priority="203">
      <iconSet iconSet="5Arrows" showValue="0">
        <cfvo type="percent" val="0"/>
        <cfvo type="num" val="0.6"/>
        <cfvo type="num" val="0.7"/>
        <cfvo type="num" val="0.8"/>
        <cfvo type="num" val="0.9"/>
      </iconSet>
    </cfRule>
  </conditionalFormatting>
  <conditionalFormatting sqref="F27">
    <cfRule type="dataBar" priority="202">
      <dataBar>
        <cfvo type="num" val="0"/>
        <cfvo type="num" val="1.1000000000000001"/>
        <color rgb="FF63C384"/>
      </dataBar>
      <extLst>
        <ext xmlns:x14="http://schemas.microsoft.com/office/spreadsheetml/2009/9/main" uri="{B025F937-C7B1-47D3-B67F-A62EFF666E3E}">
          <x14:id>{D890ACFE-49A1-4EB9-9A6E-7EABC9D13AE6}</x14:id>
        </ext>
      </extLst>
    </cfRule>
  </conditionalFormatting>
  <conditionalFormatting sqref="J27">
    <cfRule type="iconSet" priority="201">
      <iconSet iconSet="3TrafficLights2" showValue="0">
        <cfvo type="percent" val="0"/>
        <cfvo type="num" val="0.6"/>
        <cfvo type="num" val="0.8"/>
      </iconSet>
    </cfRule>
  </conditionalFormatting>
  <conditionalFormatting sqref="K27">
    <cfRule type="iconSet" priority="200">
      <iconSet iconSet="5Arrows" showValue="0">
        <cfvo type="percent" val="0"/>
        <cfvo type="num" val="0.6"/>
        <cfvo type="num" val="0.7"/>
        <cfvo type="num" val="0.8"/>
        <cfvo type="num" val="0.9"/>
      </iconSet>
    </cfRule>
  </conditionalFormatting>
  <conditionalFormatting sqref="I27">
    <cfRule type="dataBar" priority="199">
      <dataBar>
        <cfvo type="num" val="0"/>
        <cfvo type="num" val="1.1000000000000001"/>
        <color rgb="FF63C384"/>
      </dataBar>
      <extLst>
        <ext xmlns:x14="http://schemas.microsoft.com/office/spreadsheetml/2009/9/main" uri="{B025F937-C7B1-47D3-B67F-A62EFF666E3E}">
          <x14:id>{027B8A89-0319-4F3E-ADFB-154A3A37134A}</x14:id>
        </ext>
      </extLst>
    </cfRule>
  </conditionalFormatting>
  <conditionalFormatting sqref="M27">
    <cfRule type="iconSet" priority="198">
      <iconSet iconSet="3TrafficLights2" showValue="0">
        <cfvo type="percent" val="0"/>
        <cfvo type="num" val="0.6"/>
        <cfvo type="num" val="0.8"/>
      </iconSet>
    </cfRule>
  </conditionalFormatting>
  <conditionalFormatting sqref="N27">
    <cfRule type="iconSet" priority="197">
      <iconSet iconSet="5Arrows" showValue="0">
        <cfvo type="percent" val="0"/>
        <cfvo type="num" val="0.6"/>
        <cfvo type="num" val="0.7"/>
        <cfvo type="num" val="0.8"/>
        <cfvo type="num" val="0.9"/>
      </iconSet>
    </cfRule>
  </conditionalFormatting>
  <conditionalFormatting sqref="L27">
    <cfRule type="dataBar" priority="196">
      <dataBar>
        <cfvo type="num" val="0"/>
        <cfvo type="num" val="1.1000000000000001"/>
        <color rgb="FF63C384"/>
      </dataBar>
      <extLst>
        <ext xmlns:x14="http://schemas.microsoft.com/office/spreadsheetml/2009/9/main" uri="{B025F937-C7B1-47D3-B67F-A62EFF666E3E}">
          <x14:id>{5E2D8DC2-1D62-4A04-8688-050C3DF52C58}</x14:id>
        </ext>
      </extLst>
    </cfRule>
  </conditionalFormatting>
  <conditionalFormatting sqref="G28">
    <cfRule type="iconSet" priority="195">
      <iconSet iconSet="3TrafficLights2" showValue="0">
        <cfvo type="percent" val="0"/>
        <cfvo type="num" val="0.6"/>
        <cfvo type="num" val="0.8"/>
      </iconSet>
    </cfRule>
  </conditionalFormatting>
  <conditionalFormatting sqref="H28">
    <cfRule type="iconSet" priority="194">
      <iconSet iconSet="5Arrows" showValue="0">
        <cfvo type="percent" val="0"/>
        <cfvo type="num" val="0.6"/>
        <cfvo type="num" val="0.7"/>
        <cfvo type="num" val="0.8"/>
        <cfvo type="num" val="0.9"/>
      </iconSet>
    </cfRule>
  </conditionalFormatting>
  <conditionalFormatting sqref="F28">
    <cfRule type="dataBar" priority="193">
      <dataBar>
        <cfvo type="num" val="0"/>
        <cfvo type="num" val="1.1000000000000001"/>
        <color rgb="FF63C384"/>
      </dataBar>
      <extLst>
        <ext xmlns:x14="http://schemas.microsoft.com/office/spreadsheetml/2009/9/main" uri="{B025F937-C7B1-47D3-B67F-A62EFF666E3E}">
          <x14:id>{F572B8B4-555C-4EF0-B770-B8EA057592DA}</x14:id>
        </ext>
      </extLst>
    </cfRule>
  </conditionalFormatting>
  <conditionalFormatting sqref="J28">
    <cfRule type="iconSet" priority="192">
      <iconSet iconSet="3TrafficLights2" showValue="0">
        <cfvo type="percent" val="0"/>
        <cfvo type="num" val="0.6"/>
        <cfvo type="num" val="0.8"/>
      </iconSet>
    </cfRule>
  </conditionalFormatting>
  <conditionalFormatting sqref="K28">
    <cfRule type="iconSet" priority="191">
      <iconSet iconSet="5Arrows" showValue="0">
        <cfvo type="percent" val="0"/>
        <cfvo type="num" val="0.6"/>
        <cfvo type="num" val="0.7"/>
        <cfvo type="num" val="0.8"/>
        <cfvo type="num" val="0.9"/>
      </iconSet>
    </cfRule>
  </conditionalFormatting>
  <conditionalFormatting sqref="I28">
    <cfRule type="dataBar" priority="190">
      <dataBar>
        <cfvo type="num" val="0"/>
        <cfvo type="num" val="1.1000000000000001"/>
        <color rgb="FF63C384"/>
      </dataBar>
      <extLst>
        <ext xmlns:x14="http://schemas.microsoft.com/office/spreadsheetml/2009/9/main" uri="{B025F937-C7B1-47D3-B67F-A62EFF666E3E}">
          <x14:id>{2760E459-0F85-4ECB-90B9-B494B5DCAC18}</x14:id>
        </ext>
      </extLst>
    </cfRule>
  </conditionalFormatting>
  <conditionalFormatting sqref="M28">
    <cfRule type="iconSet" priority="189">
      <iconSet iconSet="3TrafficLights2" showValue="0">
        <cfvo type="percent" val="0"/>
        <cfvo type="num" val="0.6"/>
        <cfvo type="num" val="0.8"/>
      </iconSet>
    </cfRule>
  </conditionalFormatting>
  <conditionalFormatting sqref="N28">
    <cfRule type="iconSet" priority="188">
      <iconSet iconSet="5Arrows" showValue="0">
        <cfvo type="percent" val="0"/>
        <cfvo type="num" val="0.6"/>
        <cfvo type="num" val="0.7"/>
        <cfvo type="num" val="0.8"/>
        <cfvo type="num" val="0.9"/>
      </iconSet>
    </cfRule>
  </conditionalFormatting>
  <conditionalFormatting sqref="L28">
    <cfRule type="dataBar" priority="187">
      <dataBar>
        <cfvo type="num" val="0"/>
        <cfvo type="num" val="1.1000000000000001"/>
        <color rgb="FF63C384"/>
      </dataBar>
      <extLst>
        <ext xmlns:x14="http://schemas.microsoft.com/office/spreadsheetml/2009/9/main" uri="{B025F937-C7B1-47D3-B67F-A62EFF666E3E}">
          <x14:id>{0B6D7745-4EAF-4495-91B3-961758DF360D}</x14:id>
        </ext>
      </extLst>
    </cfRule>
  </conditionalFormatting>
  <conditionalFormatting sqref="G29:G31">
    <cfRule type="iconSet" priority="186">
      <iconSet iconSet="3TrafficLights2" showValue="0">
        <cfvo type="percent" val="0"/>
        <cfvo type="num" val="0.6"/>
        <cfvo type="num" val="0.8"/>
      </iconSet>
    </cfRule>
  </conditionalFormatting>
  <conditionalFormatting sqref="H29:H31">
    <cfRule type="iconSet" priority="185">
      <iconSet iconSet="5Arrows" showValue="0">
        <cfvo type="percent" val="0"/>
        <cfvo type="num" val="0.6"/>
        <cfvo type="num" val="0.7"/>
        <cfvo type="num" val="0.8"/>
        <cfvo type="num" val="0.9"/>
      </iconSet>
    </cfRule>
  </conditionalFormatting>
  <conditionalFormatting sqref="F29:F31">
    <cfRule type="dataBar" priority="184">
      <dataBar>
        <cfvo type="num" val="0"/>
        <cfvo type="num" val="1.1000000000000001"/>
        <color rgb="FF63C384"/>
      </dataBar>
      <extLst>
        <ext xmlns:x14="http://schemas.microsoft.com/office/spreadsheetml/2009/9/main" uri="{B025F937-C7B1-47D3-B67F-A62EFF666E3E}">
          <x14:id>{1430655F-C325-4DFB-8D0A-EAB138C219E7}</x14:id>
        </ext>
      </extLst>
    </cfRule>
  </conditionalFormatting>
  <conditionalFormatting sqref="J29:J30">
    <cfRule type="iconSet" priority="183">
      <iconSet iconSet="3TrafficLights2" showValue="0">
        <cfvo type="percent" val="0"/>
        <cfvo type="num" val="0.6"/>
        <cfvo type="num" val="0.8"/>
      </iconSet>
    </cfRule>
  </conditionalFormatting>
  <conditionalFormatting sqref="K29:K30">
    <cfRule type="iconSet" priority="182">
      <iconSet iconSet="5Arrows" showValue="0">
        <cfvo type="percent" val="0"/>
        <cfvo type="num" val="0.6"/>
        <cfvo type="num" val="0.7"/>
        <cfvo type="num" val="0.8"/>
        <cfvo type="num" val="0.9"/>
      </iconSet>
    </cfRule>
  </conditionalFormatting>
  <conditionalFormatting sqref="I29:I31">
    <cfRule type="dataBar" priority="181">
      <dataBar>
        <cfvo type="num" val="0"/>
        <cfvo type="num" val="1.1000000000000001"/>
        <color rgb="FF63C384"/>
      </dataBar>
      <extLst>
        <ext xmlns:x14="http://schemas.microsoft.com/office/spreadsheetml/2009/9/main" uri="{B025F937-C7B1-47D3-B67F-A62EFF666E3E}">
          <x14:id>{E77A3214-B4FD-494D-8E2B-2286BAC61F58}</x14:id>
        </ext>
      </extLst>
    </cfRule>
  </conditionalFormatting>
  <conditionalFormatting sqref="M29:M30">
    <cfRule type="iconSet" priority="180">
      <iconSet iconSet="3TrafficLights2" showValue="0">
        <cfvo type="percent" val="0"/>
        <cfvo type="num" val="0.6"/>
        <cfvo type="num" val="0.8"/>
      </iconSet>
    </cfRule>
  </conditionalFormatting>
  <conditionalFormatting sqref="N29:N30">
    <cfRule type="iconSet" priority="179">
      <iconSet iconSet="5Arrows" showValue="0">
        <cfvo type="percent" val="0"/>
        <cfvo type="num" val="0.6"/>
        <cfvo type="num" val="0.7"/>
        <cfvo type="num" val="0.8"/>
        <cfvo type="num" val="0.9"/>
      </iconSet>
    </cfRule>
  </conditionalFormatting>
  <conditionalFormatting sqref="L29:L30">
    <cfRule type="dataBar" priority="178">
      <dataBar>
        <cfvo type="num" val="0"/>
        <cfvo type="num" val="1.1000000000000001"/>
        <color rgb="FF63C384"/>
      </dataBar>
      <extLst>
        <ext xmlns:x14="http://schemas.microsoft.com/office/spreadsheetml/2009/9/main" uri="{B025F937-C7B1-47D3-B67F-A62EFF666E3E}">
          <x14:id>{6B92E8B8-823C-47D0-9ABB-833A982CA80A}</x14:id>
        </ext>
      </extLst>
    </cfRule>
  </conditionalFormatting>
  <conditionalFormatting sqref="G32">
    <cfRule type="iconSet" priority="177">
      <iconSet iconSet="3TrafficLights2" showValue="0">
        <cfvo type="percent" val="0"/>
        <cfvo type="num" val="0.6"/>
        <cfvo type="num" val="0.8"/>
      </iconSet>
    </cfRule>
  </conditionalFormatting>
  <conditionalFormatting sqref="H32">
    <cfRule type="iconSet" priority="176">
      <iconSet iconSet="5Arrows" showValue="0">
        <cfvo type="percent" val="0"/>
        <cfvo type="num" val="0.6"/>
        <cfvo type="num" val="0.7"/>
        <cfvo type="num" val="0.8"/>
        <cfvo type="num" val="0.9"/>
      </iconSet>
    </cfRule>
  </conditionalFormatting>
  <conditionalFormatting sqref="F32">
    <cfRule type="dataBar" priority="175">
      <dataBar>
        <cfvo type="num" val="0"/>
        <cfvo type="num" val="1.1000000000000001"/>
        <color rgb="FF63C384"/>
      </dataBar>
      <extLst>
        <ext xmlns:x14="http://schemas.microsoft.com/office/spreadsheetml/2009/9/main" uri="{B025F937-C7B1-47D3-B67F-A62EFF666E3E}">
          <x14:id>{E70AAA2E-8ED5-4028-8E2C-E553865E6C70}</x14:id>
        </ext>
      </extLst>
    </cfRule>
  </conditionalFormatting>
  <conditionalFormatting sqref="J32">
    <cfRule type="iconSet" priority="174">
      <iconSet iconSet="3TrafficLights2" showValue="0">
        <cfvo type="percent" val="0"/>
        <cfvo type="num" val="0.6"/>
        <cfvo type="num" val="0.8"/>
      </iconSet>
    </cfRule>
  </conditionalFormatting>
  <conditionalFormatting sqref="K32">
    <cfRule type="iconSet" priority="173">
      <iconSet iconSet="5Arrows" showValue="0">
        <cfvo type="percent" val="0"/>
        <cfvo type="num" val="0.6"/>
        <cfvo type="num" val="0.7"/>
        <cfvo type="num" val="0.8"/>
        <cfvo type="num" val="0.9"/>
      </iconSet>
    </cfRule>
  </conditionalFormatting>
  <conditionalFormatting sqref="I32">
    <cfRule type="dataBar" priority="172">
      <dataBar>
        <cfvo type="num" val="0"/>
        <cfvo type="num" val="1.1000000000000001"/>
        <color rgb="FF63C384"/>
      </dataBar>
      <extLst>
        <ext xmlns:x14="http://schemas.microsoft.com/office/spreadsheetml/2009/9/main" uri="{B025F937-C7B1-47D3-B67F-A62EFF666E3E}">
          <x14:id>{0F57053B-B5B2-4493-9833-92B8BA06DD07}</x14:id>
        </ext>
      </extLst>
    </cfRule>
  </conditionalFormatting>
  <conditionalFormatting sqref="M32">
    <cfRule type="iconSet" priority="171">
      <iconSet iconSet="3TrafficLights2" showValue="0">
        <cfvo type="percent" val="0"/>
        <cfvo type="num" val="0.6"/>
        <cfvo type="num" val="0.8"/>
      </iconSet>
    </cfRule>
  </conditionalFormatting>
  <conditionalFormatting sqref="N32">
    <cfRule type="iconSet" priority="170">
      <iconSet iconSet="5Arrows" showValue="0">
        <cfvo type="percent" val="0"/>
        <cfvo type="num" val="0.6"/>
        <cfvo type="num" val="0.7"/>
        <cfvo type="num" val="0.8"/>
        <cfvo type="num" val="0.9"/>
      </iconSet>
    </cfRule>
  </conditionalFormatting>
  <conditionalFormatting sqref="L32">
    <cfRule type="dataBar" priority="169">
      <dataBar>
        <cfvo type="num" val="0"/>
        <cfvo type="num" val="1.1000000000000001"/>
        <color rgb="FF63C384"/>
      </dataBar>
      <extLst>
        <ext xmlns:x14="http://schemas.microsoft.com/office/spreadsheetml/2009/9/main" uri="{B025F937-C7B1-47D3-B67F-A62EFF666E3E}">
          <x14:id>{E473708A-806F-4F59-AE75-DE500CDAAA2F}</x14:id>
        </ext>
      </extLst>
    </cfRule>
  </conditionalFormatting>
  <conditionalFormatting sqref="F34">
    <cfRule type="dataBar" priority="168">
      <dataBar>
        <cfvo type="num" val="0"/>
        <cfvo type="num" val="1.1000000000000001"/>
        <color rgb="FF63C384"/>
      </dataBar>
      <extLst>
        <ext xmlns:x14="http://schemas.microsoft.com/office/spreadsheetml/2009/9/main" uri="{B025F937-C7B1-47D3-B67F-A62EFF666E3E}">
          <x14:id>{B2CE2B16-62F5-41DD-8D18-6BF9874DC7E1}</x14:id>
        </ext>
      </extLst>
    </cfRule>
  </conditionalFormatting>
  <conditionalFormatting sqref="G34">
    <cfRule type="iconSet" priority="167">
      <iconSet iconSet="3TrafficLights2" showValue="0">
        <cfvo type="percent" val="0"/>
        <cfvo type="num" val="0.6"/>
        <cfvo type="num" val="0.8"/>
      </iconSet>
    </cfRule>
  </conditionalFormatting>
  <conditionalFormatting sqref="H34">
    <cfRule type="iconSet" priority="166">
      <iconSet iconSet="5Arrows" showValue="0">
        <cfvo type="percent" val="0"/>
        <cfvo type="num" val="0.6"/>
        <cfvo type="num" val="0.7"/>
        <cfvo type="num" val="0.8"/>
        <cfvo type="num" val="0.9"/>
      </iconSet>
    </cfRule>
  </conditionalFormatting>
  <conditionalFormatting sqref="J34">
    <cfRule type="iconSet" priority="165">
      <iconSet iconSet="3TrafficLights2" showValue="0">
        <cfvo type="percent" val="0"/>
        <cfvo type="num" val="0.6"/>
        <cfvo type="num" val="0.8"/>
      </iconSet>
    </cfRule>
  </conditionalFormatting>
  <conditionalFormatting sqref="K34">
    <cfRule type="iconSet" priority="164">
      <iconSet iconSet="5Arrows" showValue="0">
        <cfvo type="percent" val="0"/>
        <cfvo type="num" val="0.6"/>
        <cfvo type="num" val="0.7"/>
        <cfvo type="num" val="0.8"/>
        <cfvo type="num" val="0.9"/>
      </iconSet>
    </cfRule>
  </conditionalFormatting>
  <conditionalFormatting sqref="I34">
    <cfRule type="dataBar" priority="163">
      <dataBar>
        <cfvo type="num" val="0"/>
        <cfvo type="num" val="1.1000000000000001"/>
        <color rgb="FF63C384"/>
      </dataBar>
      <extLst>
        <ext xmlns:x14="http://schemas.microsoft.com/office/spreadsheetml/2009/9/main" uri="{B025F937-C7B1-47D3-B67F-A62EFF666E3E}">
          <x14:id>{409052F7-67B4-4BA4-9384-4E9501E78AC3}</x14:id>
        </ext>
      </extLst>
    </cfRule>
  </conditionalFormatting>
  <conditionalFormatting sqref="M34">
    <cfRule type="iconSet" priority="162">
      <iconSet iconSet="3TrafficLights2" showValue="0">
        <cfvo type="percent" val="0"/>
        <cfvo type="num" val="0.6"/>
        <cfvo type="num" val="0.8"/>
      </iconSet>
    </cfRule>
  </conditionalFormatting>
  <conditionalFormatting sqref="N34">
    <cfRule type="iconSet" priority="161">
      <iconSet iconSet="5Arrows" showValue="0">
        <cfvo type="percent" val="0"/>
        <cfvo type="num" val="0.6"/>
        <cfvo type="num" val="0.7"/>
        <cfvo type="num" val="0.8"/>
        <cfvo type="num" val="0.9"/>
      </iconSet>
    </cfRule>
  </conditionalFormatting>
  <conditionalFormatting sqref="L34">
    <cfRule type="dataBar" priority="160">
      <dataBar>
        <cfvo type="num" val="0"/>
        <cfvo type="num" val="1.1000000000000001"/>
        <color rgb="FF63C384"/>
      </dataBar>
      <extLst>
        <ext xmlns:x14="http://schemas.microsoft.com/office/spreadsheetml/2009/9/main" uri="{B025F937-C7B1-47D3-B67F-A62EFF666E3E}">
          <x14:id>{76C217DB-7BF5-4148-BE3A-CE58764B3945}</x14:id>
        </ext>
      </extLst>
    </cfRule>
  </conditionalFormatting>
  <conditionalFormatting sqref="F35">
    <cfRule type="dataBar" priority="159">
      <dataBar>
        <cfvo type="num" val="0"/>
        <cfvo type="num" val="1.1000000000000001"/>
        <color rgb="FF63C384"/>
      </dataBar>
      <extLst>
        <ext xmlns:x14="http://schemas.microsoft.com/office/spreadsheetml/2009/9/main" uri="{B025F937-C7B1-47D3-B67F-A62EFF666E3E}">
          <x14:id>{9F3E1FD9-8676-4A04-9509-02963451D131}</x14:id>
        </ext>
      </extLst>
    </cfRule>
  </conditionalFormatting>
  <conditionalFormatting sqref="G35">
    <cfRule type="iconSet" priority="158">
      <iconSet iconSet="3TrafficLights2" showValue="0">
        <cfvo type="percent" val="0"/>
        <cfvo type="num" val="0.6"/>
        <cfvo type="num" val="0.8"/>
      </iconSet>
    </cfRule>
  </conditionalFormatting>
  <conditionalFormatting sqref="H35">
    <cfRule type="iconSet" priority="157">
      <iconSet iconSet="5Arrows" showValue="0">
        <cfvo type="percent" val="0"/>
        <cfvo type="num" val="0.6"/>
        <cfvo type="num" val="0.7"/>
        <cfvo type="num" val="0.8"/>
        <cfvo type="num" val="0.9"/>
      </iconSet>
    </cfRule>
  </conditionalFormatting>
  <conditionalFormatting sqref="J35">
    <cfRule type="iconSet" priority="156">
      <iconSet iconSet="3TrafficLights2" showValue="0">
        <cfvo type="percent" val="0"/>
        <cfvo type="num" val="0.6"/>
        <cfvo type="num" val="0.8"/>
      </iconSet>
    </cfRule>
  </conditionalFormatting>
  <conditionalFormatting sqref="K35">
    <cfRule type="iconSet" priority="155">
      <iconSet iconSet="5Arrows" showValue="0">
        <cfvo type="percent" val="0"/>
        <cfvo type="num" val="0.6"/>
        <cfvo type="num" val="0.7"/>
        <cfvo type="num" val="0.8"/>
        <cfvo type="num" val="0.9"/>
      </iconSet>
    </cfRule>
  </conditionalFormatting>
  <conditionalFormatting sqref="I35">
    <cfRule type="dataBar" priority="154">
      <dataBar>
        <cfvo type="num" val="0"/>
        <cfvo type="num" val="1.1000000000000001"/>
        <color rgb="FF63C384"/>
      </dataBar>
      <extLst>
        <ext xmlns:x14="http://schemas.microsoft.com/office/spreadsheetml/2009/9/main" uri="{B025F937-C7B1-47D3-B67F-A62EFF666E3E}">
          <x14:id>{CF506E69-136B-45D8-8DE2-B01F70110566}</x14:id>
        </ext>
      </extLst>
    </cfRule>
  </conditionalFormatting>
  <conditionalFormatting sqref="M35">
    <cfRule type="iconSet" priority="153">
      <iconSet iconSet="3TrafficLights2" showValue="0">
        <cfvo type="percent" val="0"/>
        <cfvo type="num" val="0.6"/>
        <cfvo type="num" val="0.8"/>
      </iconSet>
    </cfRule>
  </conditionalFormatting>
  <conditionalFormatting sqref="N35">
    <cfRule type="iconSet" priority="152">
      <iconSet iconSet="5Arrows" showValue="0">
        <cfvo type="percent" val="0"/>
        <cfvo type="num" val="0.6"/>
        <cfvo type="num" val="0.7"/>
        <cfvo type="num" val="0.8"/>
        <cfvo type="num" val="0.9"/>
      </iconSet>
    </cfRule>
  </conditionalFormatting>
  <conditionalFormatting sqref="L35">
    <cfRule type="dataBar" priority="151">
      <dataBar>
        <cfvo type="num" val="0"/>
        <cfvo type="num" val="1.1000000000000001"/>
        <color rgb="FF63C384"/>
      </dataBar>
      <extLst>
        <ext xmlns:x14="http://schemas.microsoft.com/office/spreadsheetml/2009/9/main" uri="{B025F937-C7B1-47D3-B67F-A62EFF666E3E}">
          <x14:id>{01BBA2F7-21E5-406A-AC91-533B1D8B39FE}</x14:id>
        </ext>
      </extLst>
    </cfRule>
  </conditionalFormatting>
  <conditionalFormatting sqref="G39">
    <cfRule type="iconSet" priority="150">
      <iconSet iconSet="3TrafficLights2" showValue="0">
        <cfvo type="percent" val="0"/>
        <cfvo type="num" val="0.6"/>
        <cfvo type="num" val="0.8"/>
      </iconSet>
    </cfRule>
  </conditionalFormatting>
  <conditionalFormatting sqref="H39">
    <cfRule type="iconSet" priority="149">
      <iconSet iconSet="5Arrows" showValue="0">
        <cfvo type="percent" val="0"/>
        <cfvo type="num" val="0.6"/>
        <cfvo type="num" val="0.7"/>
        <cfvo type="num" val="0.8"/>
        <cfvo type="num" val="0.9"/>
      </iconSet>
    </cfRule>
  </conditionalFormatting>
  <conditionalFormatting sqref="F39">
    <cfRule type="dataBar" priority="148">
      <dataBar>
        <cfvo type="num" val="0"/>
        <cfvo type="num" val="1.1000000000000001"/>
        <color rgb="FF63C384"/>
      </dataBar>
      <extLst>
        <ext xmlns:x14="http://schemas.microsoft.com/office/spreadsheetml/2009/9/main" uri="{B025F937-C7B1-47D3-B67F-A62EFF666E3E}">
          <x14:id>{EE1B2F2B-E665-47AC-A4A2-CB5B56EDBD08}</x14:id>
        </ext>
      </extLst>
    </cfRule>
  </conditionalFormatting>
  <conditionalFormatting sqref="J39">
    <cfRule type="iconSet" priority="147">
      <iconSet iconSet="3TrafficLights2" showValue="0">
        <cfvo type="percent" val="0"/>
        <cfvo type="num" val="0.6"/>
        <cfvo type="num" val="0.8"/>
      </iconSet>
    </cfRule>
  </conditionalFormatting>
  <conditionalFormatting sqref="K39">
    <cfRule type="iconSet" priority="146">
      <iconSet iconSet="5Arrows" showValue="0">
        <cfvo type="percent" val="0"/>
        <cfvo type="num" val="0.6"/>
        <cfvo type="num" val="0.7"/>
        <cfvo type="num" val="0.8"/>
        <cfvo type="num" val="0.9"/>
      </iconSet>
    </cfRule>
  </conditionalFormatting>
  <conditionalFormatting sqref="I39">
    <cfRule type="dataBar" priority="145">
      <dataBar>
        <cfvo type="num" val="0"/>
        <cfvo type="num" val="1.1000000000000001"/>
        <color rgb="FF63C384"/>
      </dataBar>
      <extLst>
        <ext xmlns:x14="http://schemas.microsoft.com/office/spreadsheetml/2009/9/main" uri="{B025F937-C7B1-47D3-B67F-A62EFF666E3E}">
          <x14:id>{11A22472-45F6-452A-AF67-042C9E483842}</x14:id>
        </ext>
      </extLst>
    </cfRule>
  </conditionalFormatting>
  <conditionalFormatting sqref="M39">
    <cfRule type="iconSet" priority="144">
      <iconSet iconSet="3TrafficLights2" showValue="0">
        <cfvo type="percent" val="0"/>
        <cfvo type="num" val="0.6"/>
        <cfvo type="num" val="0.8"/>
      </iconSet>
    </cfRule>
  </conditionalFormatting>
  <conditionalFormatting sqref="N39">
    <cfRule type="iconSet" priority="143">
      <iconSet iconSet="5Arrows" showValue="0">
        <cfvo type="percent" val="0"/>
        <cfvo type="num" val="0.6"/>
        <cfvo type="num" val="0.7"/>
        <cfvo type="num" val="0.8"/>
        <cfvo type="num" val="0.9"/>
      </iconSet>
    </cfRule>
  </conditionalFormatting>
  <conditionalFormatting sqref="L39">
    <cfRule type="dataBar" priority="142">
      <dataBar>
        <cfvo type="num" val="0"/>
        <cfvo type="num" val="1.1000000000000001"/>
        <color rgb="FF63C384"/>
      </dataBar>
      <extLst>
        <ext xmlns:x14="http://schemas.microsoft.com/office/spreadsheetml/2009/9/main" uri="{B025F937-C7B1-47D3-B67F-A62EFF666E3E}">
          <x14:id>{AD5E5BFA-7145-4A88-A4D1-C6C600714199}</x14:id>
        </ext>
      </extLst>
    </cfRule>
  </conditionalFormatting>
  <conditionalFormatting sqref="G40">
    <cfRule type="iconSet" priority="141">
      <iconSet iconSet="3TrafficLights2" showValue="0">
        <cfvo type="percent" val="0"/>
        <cfvo type="num" val="0.6"/>
        <cfvo type="num" val="0.8"/>
      </iconSet>
    </cfRule>
  </conditionalFormatting>
  <conditionalFormatting sqref="H40">
    <cfRule type="iconSet" priority="140">
      <iconSet iconSet="5Arrows" showValue="0">
        <cfvo type="percent" val="0"/>
        <cfvo type="num" val="0.6"/>
        <cfvo type="num" val="0.7"/>
        <cfvo type="num" val="0.8"/>
        <cfvo type="num" val="0.9"/>
      </iconSet>
    </cfRule>
  </conditionalFormatting>
  <conditionalFormatting sqref="F40">
    <cfRule type="dataBar" priority="139">
      <dataBar>
        <cfvo type="num" val="0"/>
        <cfvo type="num" val="1.1000000000000001"/>
        <color rgb="FF63C384"/>
      </dataBar>
      <extLst>
        <ext xmlns:x14="http://schemas.microsoft.com/office/spreadsheetml/2009/9/main" uri="{B025F937-C7B1-47D3-B67F-A62EFF666E3E}">
          <x14:id>{E1020B43-B6B9-4B9C-8117-EAD14A2779C0}</x14:id>
        </ext>
      </extLst>
    </cfRule>
  </conditionalFormatting>
  <conditionalFormatting sqref="J40">
    <cfRule type="iconSet" priority="138">
      <iconSet iconSet="3TrafficLights2" showValue="0">
        <cfvo type="percent" val="0"/>
        <cfvo type="num" val="0.6"/>
        <cfvo type="num" val="0.8"/>
      </iconSet>
    </cfRule>
  </conditionalFormatting>
  <conditionalFormatting sqref="K40">
    <cfRule type="iconSet" priority="137">
      <iconSet iconSet="5Arrows" showValue="0">
        <cfvo type="percent" val="0"/>
        <cfvo type="num" val="0.6"/>
        <cfvo type="num" val="0.7"/>
        <cfvo type="num" val="0.8"/>
        <cfvo type="num" val="0.9"/>
      </iconSet>
    </cfRule>
  </conditionalFormatting>
  <conditionalFormatting sqref="I40">
    <cfRule type="dataBar" priority="136">
      <dataBar>
        <cfvo type="num" val="0"/>
        <cfvo type="num" val="1.1000000000000001"/>
        <color rgb="FF63C384"/>
      </dataBar>
      <extLst>
        <ext xmlns:x14="http://schemas.microsoft.com/office/spreadsheetml/2009/9/main" uri="{B025F937-C7B1-47D3-B67F-A62EFF666E3E}">
          <x14:id>{3512BFC9-6E72-4986-8799-0F894128E0C9}</x14:id>
        </ext>
      </extLst>
    </cfRule>
  </conditionalFormatting>
  <conditionalFormatting sqref="M40">
    <cfRule type="iconSet" priority="135">
      <iconSet iconSet="3TrafficLights2" showValue="0">
        <cfvo type="percent" val="0"/>
        <cfvo type="num" val="0.6"/>
        <cfvo type="num" val="0.8"/>
      </iconSet>
    </cfRule>
  </conditionalFormatting>
  <conditionalFormatting sqref="N40">
    <cfRule type="iconSet" priority="134">
      <iconSet iconSet="5Arrows" showValue="0">
        <cfvo type="percent" val="0"/>
        <cfvo type="num" val="0.6"/>
        <cfvo type="num" val="0.7"/>
        <cfvo type="num" val="0.8"/>
        <cfvo type="num" val="0.9"/>
      </iconSet>
    </cfRule>
  </conditionalFormatting>
  <conditionalFormatting sqref="L40">
    <cfRule type="dataBar" priority="133">
      <dataBar>
        <cfvo type="num" val="0"/>
        <cfvo type="num" val="1.1000000000000001"/>
        <color rgb="FF63C384"/>
      </dataBar>
      <extLst>
        <ext xmlns:x14="http://schemas.microsoft.com/office/spreadsheetml/2009/9/main" uri="{B025F937-C7B1-47D3-B67F-A62EFF666E3E}">
          <x14:id>{607965FC-A2C7-4811-9052-33605D931926}</x14:id>
        </ext>
      </extLst>
    </cfRule>
  </conditionalFormatting>
  <conditionalFormatting sqref="G41">
    <cfRule type="iconSet" priority="132">
      <iconSet iconSet="3TrafficLights2" showValue="0">
        <cfvo type="percent" val="0"/>
        <cfvo type="num" val="0.6"/>
        <cfvo type="num" val="0.8"/>
      </iconSet>
    </cfRule>
  </conditionalFormatting>
  <conditionalFormatting sqref="H41">
    <cfRule type="iconSet" priority="131">
      <iconSet iconSet="5Arrows" showValue="0">
        <cfvo type="percent" val="0"/>
        <cfvo type="num" val="0.6"/>
        <cfvo type="num" val="0.7"/>
        <cfvo type="num" val="0.8"/>
        <cfvo type="num" val="0.9"/>
      </iconSet>
    </cfRule>
  </conditionalFormatting>
  <conditionalFormatting sqref="F41">
    <cfRule type="dataBar" priority="130">
      <dataBar>
        <cfvo type="num" val="0"/>
        <cfvo type="num" val="1.1000000000000001"/>
        <color rgb="FF63C384"/>
      </dataBar>
      <extLst>
        <ext xmlns:x14="http://schemas.microsoft.com/office/spreadsheetml/2009/9/main" uri="{B025F937-C7B1-47D3-B67F-A62EFF666E3E}">
          <x14:id>{8D0CDCC8-6813-4E71-9B17-02940D9F17D7}</x14:id>
        </ext>
      </extLst>
    </cfRule>
  </conditionalFormatting>
  <conditionalFormatting sqref="J41">
    <cfRule type="iconSet" priority="129">
      <iconSet iconSet="3TrafficLights2" showValue="0">
        <cfvo type="percent" val="0"/>
        <cfvo type="num" val="0.6"/>
        <cfvo type="num" val="0.8"/>
      </iconSet>
    </cfRule>
  </conditionalFormatting>
  <conditionalFormatting sqref="K41">
    <cfRule type="iconSet" priority="128">
      <iconSet iconSet="5Arrows" showValue="0">
        <cfvo type="percent" val="0"/>
        <cfvo type="num" val="0.6"/>
        <cfvo type="num" val="0.7"/>
        <cfvo type="num" val="0.8"/>
        <cfvo type="num" val="0.9"/>
      </iconSet>
    </cfRule>
  </conditionalFormatting>
  <conditionalFormatting sqref="I41">
    <cfRule type="dataBar" priority="127">
      <dataBar>
        <cfvo type="num" val="0"/>
        <cfvo type="num" val="1.1000000000000001"/>
        <color rgb="FF63C384"/>
      </dataBar>
      <extLst>
        <ext xmlns:x14="http://schemas.microsoft.com/office/spreadsheetml/2009/9/main" uri="{B025F937-C7B1-47D3-B67F-A62EFF666E3E}">
          <x14:id>{A6C3883A-9C71-44F2-B6E2-BB7066CF0FDB}</x14:id>
        </ext>
      </extLst>
    </cfRule>
  </conditionalFormatting>
  <conditionalFormatting sqref="M41">
    <cfRule type="iconSet" priority="126">
      <iconSet iconSet="3TrafficLights2" showValue="0">
        <cfvo type="percent" val="0"/>
        <cfvo type="num" val="0.6"/>
        <cfvo type="num" val="0.8"/>
      </iconSet>
    </cfRule>
  </conditionalFormatting>
  <conditionalFormatting sqref="N41">
    <cfRule type="iconSet" priority="125">
      <iconSet iconSet="5Arrows" showValue="0">
        <cfvo type="percent" val="0"/>
        <cfvo type="num" val="0.6"/>
        <cfvo type="num" val="0.7"/>
        <cfvo type="num" val="0.8"/>
        <cfvo type="num" val="0.9"/>
      </iconSet>
    </cfRule>
  </conditionalFormatting>
  <conditionalFormatting sqref="L41">
    <cfRule type="dataBar" priority="124">
      <dataBar>
        <cfvo type="num" val="0"/>
        <cfvo type="num" val="1.1000000000000001"/>
        <color rgb="FF63C384"/>
      </dataBar>
      <extLst>
        <ext xmlns:x14="http://schemas.microsoft.com/office/spreadsheetml/2009/9/main" uri="{B025F937-C7B1-47D3-B67F-A62EFF666E3E}">
          <x14:id>{0AD62E18-2E77-4A77-8750-3729B832037E}</x14:id>
        </ext>
      </extLst>
    </cfRule>
  </conditionalFormatting>
  <conditionalFormatting sqref="G43">
    <cfRule type="iconSet" priority="123">
      <iconSet iconSet="3TrafficLights2" showValue="0">
        <cfvo type="percent" val="0"/>
        <cfvo type="num" val="0.6"/>
        <cfvo type="num" val="0.8"/>
      </iconSet>
    </cfRule>
  </conditionalFormatting>
  <conditionalFormatting sqref="H43">
    <cfRule type="iconSet" priority="122">
      <iconSet iconSet="5Arrows" showValue="0">
        <cfvo type="percent" val="0"/>
        <cfvo type="num" val="0.6"/>
        <cfvo type="num" val="0.7"/>
        <cfvo type="num" val="0.8"/>
        <cfvo type="num" val="0.9"/>
      </iconSet>
    </cfRule>
  </conditionalFormatting>
  <conditionalFormatting sqref="F43">
    <cfRule type="dataBar" priority="121">
      <dataBar>
        <cfvo type="num" val="0"/>
        <cfvo type="num" val="1.1000000000000001"/>
        <color rgb="FF63C384"/>
      </dataBar>
      <extLst>
        <ext xmlns:x14="http://schemas.microsoft.com/office/spreadsheetml/2009/9/main" uri="{B025F937-C7B1-47D3-B67F-A62EFF666E3E}">
          <x14:id>{F25011AB-9F5B-4F7E-BC17-4F8D9D8BFDDD}</x14:id>
        </ext>
      </extLst>
    </cfRule>
  </conditionalFormatting>
  <conditionalFormatting sqref="J43">
    <cfRule type="iconSet" priority="120">
      <iconSet iconSet="3TrafficLights2" showValue="0">
        <cfvo type="percent" val="0"/>
        <cfvo type="num" val="0.6"/>
        <cfvo type="num" val="0.8"/>
      </iconSet>
    </cfRule>
  </conditionalFormatting>
  <conditionalFormatting sqref="K43">
    <cfRule type="iconSet" priority="119">
      <iconSet iconSet="5Arrows" showValue="0">
        <cfvo type="percent" val="0"/>
        <cfvo type="num" val="0.6"/>
        <cfvo type="num" val="0.7"/>
        <cfvo type="num" val="0.8"/>
        <cfvo type="num" val="0.9"/>
      </iconSet>
    </cfRule>
  </conditionalFormatting>
  <conditionalFormatting sqref="I43">
    <cfRule type="dataBar" priority="118">
      <dataBar>
        <cfvo type="num" val="0"/>
        <cfvo type="num" val="1.1000000000000001"/>
        <color rgb="FF63C384"/>
      </dataBar>
      <extLst>
        <ext xmlns:x14="http://schemas.microsoft.com/office/spreadsheetml/2009/9/main" uri="{B025F937-C7B1-47D3-B67F-A62EFF666E3E}">
          <x14:id>{53BED112-C5F2-4C84-BDEC-197DBB812EA5}</x14:id>
        </ext>
      </extLst>
    </cfRule>
  </conditionalFormatting>
  <conditionalFormatting sqref="M43">
    <cfRule type="iconSet" priority="117">
      <iconSet iconSet="3TrafficLights2" showValue="0">
        <cfvo type="percent" val="0"/>
        <cfvo type="num" val="0.6"/>
        <cfvo type="num" val="0.8"/>
      </iconSet>
    </cfRule>
  </conditionalFormatting>
  <conditionalFormatting sqref="N43">
    <cfRule type="iconSet" priority="116">
      <iconSet iconSet="5Arrows" showValue="0">
        <cfvo type="percent" val="0"/>
        <cfvo type="num" val="0.6"/>
        <cfvo type="num" val="0.7"/>
        <cfvo type="num" val="0.8"/>
        <cfvo type="num" val="0.9"/>
      </iconSet>
    </cfRule>
  </conditionalFormatting>
  <conditionalFormatting sqref="L43">
    <cfRule type="dataBar" priority="115">
      <dataBar>
        <cfvo type="num" val="0"/>
        <cfvo type="num" val="1.1000000000000001"/>
        <color rgb="FF63C384"/>
      </dataBar>
      <extLst>
        <ext xmlns:x14="http://schemas.microsoft.com/office/spreadsheetml/2009/9/main" uri="{B025F937-C7B1-47D3-B67F-A62EFF666E3E}">
          <x14:id>{FD9E8FEA-D09A-4462-8A83-1C4125AFDEA8}</x14:id>
        </ext>
      </extLst>
    </cfRule>
  </conditionalFormatting>
  <conditionalFormatting sqref="F45">
    <cfRule type="dataBar" priority="114">
      <dataBar>
        <cfvo type="num" val="0"/>
        <cfvo type="num" val="1.1000000000000001"/>
        <color rgb="FF63C384"/>
      </dataBar>
      <extLst>
        <ext xmlns:x14="http://schemas.microsoft.com/office/spreadsheetml/2009/9/main" uri="{B025F937-C7B1-47D3-B67F-A62EFF666E3E}">
          <x14:id>{21B515C2-3FD7-4862-97DE-9B7B2B0F9675}</x14:id>
        </ext>
      </extLst>
    </cfRule>
  </conditionalFormatting>
  <conditionalFormatting sqref="G45">
    <cfRule type="iconSet" priority="113">
      <iconSet iconSet="3TrafficLights2" showValue="0">
        <cfvo type="percent" val="0"/>
        <cfvo type="num" val="0.6"/>
        <cfvo type="num" val="0.8"/>
      </iconSet>
    </cfRule>
  </conditionalFormatting>
  <conditionalFormatting sqref="H45">
    <cfRule type="iconSet" priority="112">
      <iconSet iconSet="5Arrows" showValue="0">
        <cfvo type="percent" val="0"/>
        <cfvo type="num" val="0.6"/>
        <cfvo type="num" val="0.7"/>
        <cfvo type="num" val="0.8"/>
        <cfvo type="num" val="0.9"/>
      </iconSet>
    </cfRule>
  </conditionalFormatting>
  <conditionalFormatting sqref="J45">
    <cfRule type="iconSet" priority="111">
      <iconSet iconSet="3TrafficLights2" showValue="0">
        <cfvo type="percent" val="0"/>
        <cfvo type="num" val="0.6"/>
        <cfvo type="num" val="0.8"/>
      </iconSet>
    </cfRule>
  </conditionalFormatting>
  <conditionalFormatting sqref="K45">
    <cfRule type="iconSet" priority="110">
      <iconSet iconSet="5Arrows" showValue="0">
        <cfvo type="percent" val="0"/>
        <cfvo type="num" val="0.6"/>
        <cfvo type="num" val="0.7"/>
        <cfvo type="num" val="0.8"/>
        <cfvo type="num" val="0.9"/>
      </iconSet>
    </cfRule>
  </conditionalFormatting>
  <conditionalFormatting sqref="I45">
    <cfRule type="dataBar" priority="109">
      <dataBar>
        <cfvo type="num" val="0"/>
        <cfvo type="num" val="1.1000000000000001"/>
        <color rgb="FF63C384"/>
      </dataBar>
      <extLst>
        <ext xmlns:x14="http://schemas.microsoft.com/office/spreadsheetml/2009/9/main" uri="{B025F937-C7B1-47D3-B67F-A62EFF666E3E}">
          <x14:id>{2859D417-D158-4D75-B4D7-A73E34B49DD8}</x14:id>
        </ext>
      </extLst>
    </cfRule>
  </conditionalFormatting>
  <conditionalFormatting sqref="M45">
    <cfRule type="iconSet" priority="108">
      <iconSet iconSet="3TrafficLights2" showValue="0">
        <cfvo type="percent" val="0"/>
        <cfvo type="num" val="0.6"/>
        <cfvo type="num" val="0.8"/>
      </iconSet>
    </cfRule>
  </conditionalFormatting>
  <conditionalFormatting sqref="N45">
    <cfRule type="iconSet" priority="107">
      <iconSet iconSet="5Arrows" showValue="0">
        <cfvo type="percent" val="0"/>
        <cfvo type="num" val="0.6"/>
        <cfvo type="num" val="0.7"/>
        <cfvo type="num" val="0.8"/>
        <cfvo type="num" val="0.9"/>
      </iconSet>
    </cfRule>
  </conditionalFormatting>
  <conditionalFormatting sqref="L45">
    <cfRule type="dataBar" priority="106">
      <dataBar>
        <cfvo type="num" val="0"/>
        <cfvo type="num" val="1.1000000000000001"/>
        <color rgb="FF63C384"/>
      </dataBar>
      <extLst>
        <ext xmlns:x14="http://schemas.microsoft.com/office/spreadsheetml/2009/9/main" uri="{B025F937-C7B1-47D3-B67F-A62EFF666E3E}">
          <x14:id>{8495654D-507E-42D7-BC7B-79F2F50C0C86}</x14:id>
        </ext>
      </extLst>
    </cfRule>
  </conditionalFormatting>
  <conditionalFormatting sqref="F46">
    <cfRule type="dataBar" priority="105">
      <dataBar>
        <cfvo type="num" val="0"/>
        <cfvo type="num" val="1.1000000000000001"/>
        <color rgb="FF63C384"/>
      </dataBar>
      <extLst>
        <ext xmlns:x14="http://schemas.microsoft.com/office/spreadsheetml/2009/9/main" uri="{B025F937-C7B1-47D3-B67F-A62EFF666E3E}">
          <x14:id>{4DFCE72C-9B7C-4482-8AE4-DF2F30F4C225}</x14:id>
        </ext>
      </extLst>
    </cfRule>
  </conditionalFormatting>
  <conditionalFormatting sqref="G46">
    <cfRule type="iconSet" priority="104">
      <iconSet iconSet="3TrafficLights2" showValue="0">
        <cfvo type="percent" val="0"/>
        <cfvo type="num" val="0.6"/>
        <cfvo type="num" val="0.8"/>
      </iconSet>
    </cfRule>
  </conditionalFormatting>
  <conditionalFormatting sqref="H46">
    <cfRule type="iconSet" priority="103">
      <iconSet iconSet="5Arrows" showValue="0">
        <cfvo type="percent" val="0"/>
        <cfvo type="num" val="0.6"/>
        <cfvo type="num" val="0.7"/>
        <cfvo type="num" val="0.8"/>
        <cfvo type="num" val="0.9"/>
      </iconSet>
    </cfRule>
  </conditionalFormatting>
  <conditionalFormatting sqref="J46">
    <cfRule type="iconSet" priority="102">
      <iconSet iconSet="3TrafficLights2" showValue="0">
        <cfvo type="percent" val="0"/>
        <cfvo type="num" val="0.6"/>
        <cfvo type="num" val="0.8"/>
      </iconSet>
    </cfRule>
  </conditionalFormatting>
  <conditionalFormatting sqref="K46">
    <cfRule type="iconSet" priority="101">
      <iconSet iconSet="5Arrows" showValue="0">
        <cfvo type="percent" val="0"/>
        <cfvo type="num" val="0.6"/>
        <cfvo type="num" val="0.7"/>
        <cfvo type="num" val="0.8"/>
        <cfvo type="num" val="0.9"/>
      </iconSet>
    </cfRule>
  </conditionalFormatting>
  <conditionalFormatting sqref="I46">
    <cfRule type="dataBar" priority="100">
      <dataBar>
        <cfvo type="num" val="0"/>
        <cfvo type="num" val="1.1000000000000001"/>
        <color rgb="FF63C384"/>
      </dataBar>
      <extLst>
        <ext xmlns:x14="http://schemas.microsoft.com/office/spreadsheetml/2009/9/main" uri="{B025F937-C7B1-47D3-B67F-A62EFF666E3E}">
          <x14:id>{BB6A3CB4-A28B-4326-9296-F6DDD1E9176A}</x14:id>
        </ext>
      </extLst>
    </cfRule>
  </conditionalFormatting>
  <conditionalFormatting sqref="M46">
    <cfRule type="iconSet" priority="99">
      <iconSet iconSet="3TrafficLights2" showValue="0">
        <cfvo type="percent" val="0"/>
        <cfvo type="num" val="0.6"/>
        <cfvo type="num" val="0.8"/>
      </iconSet>
    </cfRule>
  </conditionalFormatting>
  <conditionalFormatting sqref="N46">
    <cfRule type="iconSet" priority="98">
      <iconSet iconSet="5Arrows" showValue="0">
        <cfvo type="percent" val="0"/>
        <cfvo type="num" val="0.6"/>
        <cfvo type="num" val="0.7"/>
        <cfvo type="num" val="0.8"/>
        <cfvo type="num" val="0.9"/>
      </iconSet>
    </cfRule>
  </conditionalFormatting>
  <conditionalFormatting sqref="L46">
    <cfRule type="dataBar" priority="97">
      <dataBar>
        <cfvo type="num" val="0"/>
        <cfvo type="num" val="1.1000000000000001"/>
        <color rgb="FF63C384"/>
      </dataBar>
      <extLst>
        <ext xmlns:x14="http://schemas.microsoft.com/office/spreadsheetml/2009/9/main" uri="{B025F937-C7B1-47D3-B67F-A62EFF666E3E}">
          <x14:id>{6D897AAF-E258-45E5-9AFA-AD04AC88B52E}</x14:id>
        </ext>
      </extLst>
    </cfRule>
  </conditionalFormatting>
  <conditionalFormatting sqref="G74">
    <cfRule type="iconSet" priority="96">
      <iconSet iconSet="3TrafficLights2" showValue="0">
        <cfvo type="percent" val="0"/>
        <cfvo type="num" val="0.6"/>
        <cfvo type="num" val="0.8"/>
      </iconSet>
    </cfRule>
  </conditionalFormatting>
  <conditionalFormatting sqref="H74">
    <cfRule type="iconSet" priority="95">
      <iconSet iconSet="5Arrows" showValue="0">
        <cfvo type="percent" val="0"/>
        <cfvo type="num" val="0.6"/>
        <cfvo type="num" val="0.7"/>
        <cfvo type="num" val="0.8"/>
        <cfvo type="num" val="0.9"/>
      </iconSet>
    </cfRule>
  </conditionalFormatting>
  <conditionalFormatting sqref="F74">
    <cfRule type="dataBar" priority="94">
      <dataBar>
        <cfvo type="num" val="0"/>
        <cfvo type="num" val="1.1000000000000001"/>
        <color rgb="FF63C384"/>
      </dataBar>
      <extLst>
        <ext xmlns:x14="http://schemas.microsoft.com/office/spreadsheetml/2009/9/main" uri="{B025F937-C7B1-47D3-B67F-A62EFF666E3E}">
          <x14:id>{A1CCBB53-2813-44E9-B257-FA82F5F06B0A}</x14:id>
        </ext>
      </extLst>
    </cfRule>
  </conditionalFormatting>
  <conditionalFormatting sqref="J74">
    <cfRule type="iconSet" priority="93">
      <iconSet iconSet="3TrafficLights2" showValue="0">
        <cfvo type="percent" val="0"/>
        <cfvo type="num" val="0.6"/>
        <cfvo type="num" val="0.8"/>
      </iconSet>
    </cfRule>
  </conditionalFormatting>
  <conditionalFormatting sqref="K74">
    <cfRule type="iconSet" priority="92">
      <iconSet iconSet="5Arrows" showValue="0">
        <cfvo type="percent" val="0"/>
        <cfvo type="num" val="0.6"/>
        <cfvo type="num" val="0.7"/>
        <cfvo type="num" val="0.8"/>
        <cfvo type="num" val="0.9"/>
      </iconSet>
    </cfRule>
  </conditionalFormatting>
  <conditionalFormatting sqref="I74">
    <cfRule type="dataBar" priority="91">
      <dataBar>
        <cfvo type="num" val="0"/>
        <cfvo type="num" val="1.1000000000000001"/>
        <color rgb="FF63C384"/>
      </dataBar>
      <extLst>
        <ext xmlns:x14="http://schemas.microsoft.com/office/spreadsheetml/2009/9/main" uri="{B025F937-C7B1-47D3-B67F-A62EFF666E3E}">
          <x14:id>{5F7A5088-7DDE-4FCD-A03D-09336B780866}</x14:id>
        </ext>
      </extLst>
    </cfRule>
  </conditionalFormatting>
  <conditionalFormatting sqref="M74">
    <cfRule type="iconSet" priority="90">
      <iconSet iconSet="3TrafficLights2" showValue="0">
        <cfvo type="percent" val="0"/>
        <cfvo type="num" val="0.6"/>
        <cfvo type="num" val="0.8"/>
      </iconSet>
    </cfRule>
  </conditionalFormatting>
  <conditionalFormatting sqref="N74">
    <cfRule type="iconSet" priority="89">
      <iconSet iconSet="5Arrows" showValue="0">
        <cfvo type="percent" val="0"/>
        <cfvo type="num" val="0.6"/>
        <cfvo type="num" val="0.7"/>
        <cfvo type="num" val="0.8"/>
        <cfvo type="num" val="0.9"/>
      </iconSet>
    </cfRule>
  </conditionalFormatting>
  <conditionalFormatting sqref="L74">
    <cfRule type="dataBar" priority="88">
      <dataBar>
        <cfvo type="num" val="0"/>
        <cfvo type="num" val="1.1000000000000001"/>
        <color rgb="FF63C384"/>
      </dataBar>
      <extLst>
        <ext xmlns:x14="http://schemas.microsoft.com/office/spreadsheetml/2009/9/main" uri="{B025F937-C7B1-47D3-B67F-A62EFF666E3E}">
          <x14:id>{A634A167-6FA3-4E71-A364-378582B67152}</x14:id>
        </ext>
      </extLst>
    </cfRule>
  </conditionalFormatting>
  <conditionalFormatting sqref="G76">
    <cfRule type="iconSet" priority="87">
      <iconSet iconSet="3TrafficLights2" showValue="0">
        <cfvo type="percent" val="0"/>
        <cfvo type="num" val="0.6"/>
        <cfvo type="num" val="0.8"/>
      </iconSet>
    </cfRule>
  </conditionalFormatting>
  <conditionalFormatting sqref="H76">
    <cfRule type="iconSet" priority="86">
      <iconSet iconSet="5Arrows" showValue="0">
        <cfvo type="percent" val="0"/>
        <cfvo type="num" val="0.6"/>
        <cfvo type="num" val="0.7"/>
        <cfvo type="num" val="0.8"/>
        <cfvo type="num" val="0.9"/>
      </iconSet>
    </cfRule>
  </conditionalFormatting>
  <conditionalFormatting sqref="F76">
    <cfRule type="dataBar" priority="85">
      <dataBar>
        <cfvo type="num" val="0"/>
        <cfvo type="num" val="1.1000000000000001"/>
        <color rgb="FF63C384"/>
      </dataBar>
      <extLst>
        <ext xmlns:x14="http://schemas.microsoft.com/office/spreadsheetml/2009/9/main" uri="{B025F937-C7B1-47D3-B67F-A62EFF666E3E}">
          <x14:id>{C6876FEA-CACC-477D-B00B-F07990C2AAAE}</x14:id>
        </ext>
      </extLst>
    </cfRule>
  </conditionalFormatting>
  <conditionalFormatting sqref="J76">
    <cfRule type="iconSet" priority="84">
      <iconSet iconSet="3TrafficLights2" showValue="0">
        <cfvo type="percent" val="0"/>
        <cfvo type="num" val="0.6"/>
        <cfvo type="num" val="0.8"/>
      </iconSet>
    </cfRule>
  </conditionalFormatting>
  <conditionalFormatting sqref="K76">
    <cfRule type="iconSet" priority="83">
      <iconSet iconSet="5Arrows" showValue="0">
        <cfvo type="percent" val="0"/>
        <cfvo type="num" val="0.6"/>
        <cfvo type="num" val="0.7"/>
        <cfvo type="num" val="0.8"/>
        <cfvo type="num" val="0.9"/>
      </iconSet>
    </cfRule>
  </conditionalFormatting>
  <conditionalFormatting sqref="I76">
    <cfRule type="dataBar" priority="82">
      <dataBar>
        <cfvo type="num" val="0"/>
        <cfvo type="num" val="1.1000000000000001"/>
        <color rgb="FF63C384"/>
      </dataBar>
      <extLst>
        <ext xmlns:x14="http://schemas.microsoft.com/office/spreadsheetml/2009/9/main" uri="{B025F937-C7B1-47D3-B67F-A62EFF666E3E}">
          <x14:id>{FA30016C-1AF0-44F7-AA47-110DDBA6738C}</x14:id>
        </ext>
      </extLst>
    </cfRule>
  </conditionalFormatting>
  <conditionalFormatting sqref="M76">
    <cfRule type="iconSet" priority="81">
      <iconSet iconSet="3TrafficLights2" showValue="0">
        <cfvo type="percent" val="0"/>
        <cfvo type="num" val="0.6"/>
        <cfvo type="num" val="0.8"/>
      </iconSet>
    </cfRule>
  </conditionalFormatting>
  <conditionalFormatting sqref="N76">
    <cfRule type="iconSet" priority="80">
      <iconSet iconSet="5Arrows" showValue="0">
        <cfvo type="percent" val="0"/>
        <cfvo type="num" val="0.6"/>
        <cfvo type="num" val="0.7"/>
        <cfvo type="num" val="0.8"/>
        <cfvo type="num" val="0.9"/>
      </iconSet>
    </cfRule>
  </conditionalFormatting>
  <conditionalFormatting sqref="L76">
    <cfRule type="dataBar" priority="79">
      <dataBar>
        <cfvo type="num" val="0"/>
        <cfvo type="num" val="1.1000000000000001"/>
        <color rgb="FF63C384"/>
      </dataBar>
      <extLst>
        <ext xmlns:x14="http://schemas.microsoft.com/office/spreadsheetml/2009/9/main" uri="{B025F937-C7B1-47D3-B67F-A62EFF666E3E}">
          <x14:id>{08FFCBDB-FF12-4DAD-86E0-1D83DD28240B}</x14:id>
        </ext>
      </extLst>
    </cfRule>
  </conditionalFormatting>
  <conditionalFormatting sqref="D84:F89">
    <cfRule type="dataBar" priority="78">
      <dataBar>
        <cfvo type="num" val="0"/>
        <cfvo type="num" val="1.5"/>
        <color rgb="FF008AEF"/>
      </dataBar>
      <extLst>
        <ext xmlns:x14="http://schemas.microsoft.com/office/spreadsheetml/2009/9/main" uri="{B025F937-C7B1-47D3-B67F-A62EFF666E3E}">
          <x14:id>{31242221-ED71-4678-92EB-74AFCF2135F7}</x14:id>
        </ext>
      </extLst>
    </cfRule>
  </conditionalFormatting>
  <conditionalFormatting sqref="D95:F95">
    <cfRule type="dataBar" priority="75">
      <dataBar>
        <cfvo type="num" val="0"/>
        <cfvo type="num" val="1.5"/>
        <color rgb="FF008AEF"/>
      </dataBar>
      <extLst>
        <ext xmlns:x14="http://schemas.microsoft.com/office/spreadsheetml/2009/9/main" uri="{B025F937-C7B1-47D3-B67F-A62EFF666E3E}">
          <x14:id>{78C49190-8DE7-418F-B0DA-449E8CF8E82B}</x14:id>
        </ext>
      </extLst>
    </cfRule>
  </conditionalFormatting>
  <conditionalFormatting sqref="D96:F96">
    <cfRule type="dataBar" priority="74">
      <dataBar>
        <cfvo type="num" val="0"/>
        <cfvo type="num" val="1.5"/>
        <color rgb="FF008AEF"/>
      </dataBar>
      <extLst>
        <ext xmlns:x14="http://schemas.microsoft.com/office/spreadsheetml/2009/9/main" uri="{B025F937-C7B1-47D3-B67F-A62EFF666E3E}">
          <x14:id>{6118FB3D-EB57-4B7E-978A-57B099DF6ADF}</x14:id>
        </ext>
      </extLst>
    </cfRule>
  </conditionalFormatting>
  <conditionalFormatting sqref="D97:F98">
    <cfRule type="dataBar" priority="72">
      <dataBar>
        <cfvo type="num" val="0"/>
        <cfvo type="num" val="1.5"/>
        <color rgb="FF008AEF"/>
      </dataBar>
      <extLst>
        <ext xmlns:x14="http://schemas.microsoft.com/office/spreadsheetml/2009/9/main" uri="{B025F937-C7B1-47D3-B67F-A62EFF666E3E}">
          <x14:id>{A1974F2A-8DD0-4F85-B255-5C7992B9B262}</x14:id>
        </ext>
      </extLst>
    </cfRule>
  </conditionalFormatting>
  <conditionalFormatting sqref="D100:F100">
    <cfRule type="dataBar" priority="70">
      <dataBar>
        <cfvo type="num" val="0"/>
        <cfvo type="num" val="1.5"/>
        <color rgb="FF008AEF"/>
      </dataBar>
      <extLst>
        <ext xmlns:x14="http://schemas.microsoft.com/office/spreadsheetml/2009/9/main" uri="{B025F937-C7B1-47D3-B67F-A62EFF666E3E}">
          <x14:id>{E9F11B65-CE8C-41F1-9C4B-A2943F097ED4}</x14:id>
        </ext>
      </extLst>
    </cfRule>
  </conditionalFormatting>
  <conditionalFormatting sqref="J31">
    <cfRule type="iconSet" priority="68">
      <iconSet iconSet="3TrafficLights2" showValue="0">
        <cfvo type="percent" val="0"/>
        <cfvo type="num" val="0.6"/>
        <cfvo type="num" val="0.8"/>
      </iconSet>
    </cfRule>
  </conditionalFormatting>
  <conditionalFormatting sqref="K31">
    <cfRule type="iconSet" priority="67">
      <iconSet iconSet="5Arrows" showValue="0">
        <cfvo type="percent" val="0"/>
        <cfvo type="num" val="0.6"/>
        <cfvo type="num" val="0.7"/>
        <cfvo type="num" val="0.8"/>
        <cfvo type="num" val="0.9"/>
      </iconSet>
    </cfRule>
  </conditionalFormatting>
  <conditionalFormatting sqref="M31">
    <cfRule type="iconSet" priority="66">
      <iconSet iconSet="3TrafficLights2" showValue="0">
        <cfvo type="percent" val="0"/>
        <cfvo type="num" val="0.6"/>
        <cfvo type="num" val="0.8"/>
      </iconSet>
    </cfRule>
  </conditionalFormatting>
  <conditionalFormatting sqref="N31">
    <cfRule type="iconSet" priority="65">
      <iconSet iconSet="5Arrows" showValue="0">
        <cfvo type="percent" val="0"/>
        <cfvo type="num" val="0.6"/>
        <cfvo type="num" val="0.7"/>
        <cfvo type="num" val="0.8"/>
        <cfvo type="num" val="0.9"/>
      </iconSet>
    </cfRule>
  </conditionalFormatting>
  <conditionalFormatting sqref="L31">
    <cfRule type="dataBar" priority="64">
      <dataBar>
        <cfvo type="num" val="0"/>
        <cfvo type="num" val="1.1000000000000001"/>
        <color rgb="FF63C384"/>
      </dataBar>
      <extLst>
        <ext xmlns:x14="http://schemas.microsoft.com/office/spreadsheetml/2009/9/main" uri="{B025F937-C7B1-47D3-B67F-A62EFF666E3E}">
          <x14:id>{0F7EB60B-1695-4856-BE39-119CECAC744B}</x14:id>
        </ext>
      </extLst>
    </cfRule>
  </conditionalFormatting>
  <conditionalFormatting sqref="F56 L56 I56">
    <cfRule type="dataBar" priority="57">
      <dataBar>
        <cfvo type="num" val="0"/>
        <cfvo type="num" val="1.1000000000000001"/>
        <color rgb="FF63C384"/>
      </dataBar>
      <extLst>
        <ext xmlns:x14="http://schemas.microsoft.com/office/spreadsheetml/2009/9/main" uri="{B025F937-C7B1-47D3-B67F-A62EFF666E3E}">
          <x14:id>{64065697-1172-4537-9857-109A320711C3}</x14:id>
        </ext>
      </extLst>
    </cfRule>
  </conditionalFormatting>
  <conditionalFormatting sqref="G56">
    <cfRule type="iconSet" priority="58">
      <iconSet iconSet="3TrafficLights2" showValue="0">
        <cfvo type="percent" val="0"/>
        <cfvo type="num" val="0.6"/>
        <cfvo type="num" val="0.8"/>
      </iconSet>
    </cfRule>
  </conditionalFormatting>
  <conditionalFormatting sqref="H56">
    <cfRule type="iconSet" priority="59">
      <iconSet iconSet="5Arrows" showValue="0">
        <cfvo type="percent" val="0"/>
        <cfvo type="num" val="0.6"/>
        <cfvo type="num" val="0.7"/>
        <cfvo type="num" val="0.8"/>
        <cfvo type="num" val="0.9"/>
      </iconSet>
    </cfRule>
  </conditionalFormatting>
  <conditionalFormatting sqref="J56">
    <cfRule type="iconSet" priority="60">
      <iconSet iconSet="3TrafficLights2" showValue="0">
        <cfvo type="percent" val="0"/>
        <cfvo type="num" val="0.6"/>
        <cfvo type="num" val="0.8"/>
      </iconSet>
    </cfRule>
  </conditionalFormatting>
  <conditionalFormatting sqref="K56">
    <cfRule type="iconSet" priority="61">
      <iconSet iconSet="5Arrows" showValue="0">
        <cfvo type="percent" val="0"/>
        <cfvo type="num" val="0.6"/>
        <cfvo type="num" val="0.7"/>
        <cfvo type="num" val="0.8"/>
        <cfvo type="num" val="0.9"/>
      </iconSet>
    </cfRule>
  </conditionalFormatting>
  <conditionalFormatting sqref="M56">
    <cfRule type="iconSet" priority="62">
      <iconSet iconSet="3TrafficLights2" showValue="0">
        <cfvo type="percent" val="0"/>
        <cfvo type="num" val="0.6"/>
        <cfvo type="num" val="0.8"/>
      </iconSet>
    </cfRule>
  </conditionalFormatting>
  <conditionalFormatting sqref="N56">
    <cfRule type="iconSet" priority="63">
      <iconSet iconSet="5Arrows" showValue="0">
        <cfvo type="percent" val="0"/>
        <cfvo type="num" val="0.6"/>
        <cfvo type="num" val="0.7"/>
        <cfvo type="num" val="0.8"/>
        <cfvo type="num" val="0.9"/>
      </iconSet>
    </cfRule>
  </conditionalFormatting>
  <conditionalFormatting sqref="F63 L63 I63">
    <cfRule type="dataBar" priority="50">
      <dataBar>
        <cfvo type="num" val="0"/>
        <cfvo type="num" val="1.1000000000000001"/>
        <color rgb="FF63C384"/>
      </dataBar>
      <extLst>
        <ext xmlns:x14="http://schemas.microsoft.com/office/spreadsheetml/2009/9/main" uri="{B025F937-C7B1-47D3-B67F-A62EFF666E3E}">
          <x14:id>{093D3069-8A47-496F-8607-3E7A54833592}</x14:id>
        </ext>
      </extLst>
    </cfRule>
  </conditionalFormatting>
  <conditionalFormatting sqref="G63">
    <cfRule type="iconSet" priority="51">
      <iconSet iconSet="3TrafficLights2" showValue="0">
        <cfvo type="percent" val="0"/>
        <cfvo type="num" val="0.6"/>
        <cfvo type="num" val="0.8"/>
      </iconSet>
    </cfRule>
  </conditionalFormatting>
  <conditionalFormatting sqref="H63">
    <cfRule type="iconSet" priority="52">
      <iconSet iconSet="5Arrows" showValue="0">
        <cfvo type="percent" val="0"/>
        <cfvo type="num" val="0.6"/>
        <cfvo type="num" val="0.7"/>
        <cfvo type="num" val="0.8"/>
        <cfvo type="num" val="0.9"/>
      </iconSet>
    </cfRule>
  </conditionalFormatting>
  <conditionalFormatting sqref="J63">
    <cfRule type="iconSet" priority="53">
      <iconSet iconSet="3TrafficLights2" showValue="0">
        <cfvo type="percent" val="0"/>
        <cfvo type="num" val="0.6"/>
        <cfvo type="num" val="0.8"/>
      </iconSet>
    </cfRule>
  </conditionalFormatting>
  <conditionalFormatting sqref="K63">
    <cfRule type="iconSet" priority="54">
      <iconSet iconSet="5Arrows" showValue="0">
        <cfvo type="percent" val="0"/>
        <cfvo type="num" val="0.6"/>
        <cfvo type="num" val="0.7"/>
        <cfvo type="num" val="0.8"/>
        <cfvo type="num" val="0.9"/>
      </iconSet>
    </cfRule>
  </conditionalFormatting>
  <conditionalFormatting sqref="M63">
    <cfRule type="iconSet" priority="55">
      <iconSet iconSet="3TrafficLights2" showValue="0">
        <cfvo type="percent" val="0"/>
        <cfvo type="num" val="0.6"/>
        <cfvo type="num" val="0.8"/>
      </iconSet>
    </cfRule>
  </conditionalFormatting>
  <conditionalFormatting sqref="N63">
    <cfRule type="iconSet" priority="56">
      <iconSet iconSet="5Arrows" showValue="0">
        <cfvo type="percent" val="0"/>
        <cfvo type="num" val="0.6"/>
        <cfvo type="num" val="0.7"/>
        <cfvo type="num" val="0.8"/>
        <cfvo type="num" val="0.9"/>
      </iconSet>
    </cfRule>
  </conditionalFormatting>
  <conditionalFormatting sqref="I64:I67 L64:L67 F64:F67">
    <cfRule type="dataBar" priority="43">
      <dataBar>
        <cfvo type="num" val="0"/>
        <cfvo type="num" val="1.1000000000000001"/>
        <color rgb="FF63C384"/>
      </dataBar>
      <extLst>
        <ext xmlns:x14="http://schemas.microsoft.com/office/spreadsheetml/2009/9/main" uri="{B025F937-C7B1-47D3-B67F-A62EFF666E3E}">
          <x14:id>{CB792554-4B68-4EA7-A4AE-5EFCBBE288B0}</x14:id>
        </ext>
      </extLst>
    </cfRule>
  </conditionalFormatting>
  <conditionalFormatting sqref="G64:G67">
    <cfRule type="iconSet" priority="44">
      <iconSet iconSet="3TrafficLights2" showValue="0">
        <cfvo type="percent" val="0"/>
        <cfvo type="num" val="0.6"/>
        <cfvo type="num" val="0.8"/>
      </iconSet>
    </cfRule>
  </conditionalFormatting>
  <conditionalFormatting sqref="H64:H67">
    <cfRule type="iconSet" priority="45">
      <iconSet iconSet="5Arrows" showValue="0">
        <cfvo type="percent" val="0"/>
        <cfvo type="num" val="0.6"/>
        <cfvo type="num" val="0.7"/>
        <cfvo type="num" val="0.8"/>
        <cfvo type="num" val="0.9"/>
      </iconSet>
    </cfRule>
  </conditionalFormatting>
  <conditionalFormatting sqref="J64:J67">
    <cfRule type="iconSet" priority="46">
      <iconSet iconSet="3TrafficLights2" showValue="0">
        <cfvo type="percent" val="0"/>
        <cfvo type="num" val="0.6"/>
        <cfvo type="num" val="0.8"/>
      </iconSet>
    </cfRule>
  </conditionalFormatting>
  <conditionalFormatting sqref="K64:K67">
    <cfRule type="iconSet" priority="47">
      <iconSet iconSet="5Arrows" showValue="0">
        <cfvo type="percent" val="0"/>
        <cfvo type="num" val="0.6"/>
        <cfvo type="num" val="0.7"/>
        <cfvo type="num" val="0.8"/>
        <cfvo type="num" val="0.9"/>
      </iconSet>
    </cfRule>
  </conditionalFormatting>
  <conditionalFormatting sqref="M64:M67">
    <cfRule type="iconSet" priority="48">
      <iconSet iconSet="3TrafficLights2" showValue="0">
        <cfvo type="percent" val="0"/>
        <cfvo type="num" val="0.6"/>
        <cfvo type="num" val="0.8"/>
      </iconSet>
    </cfRule>
  </conditionalFormatting>
  <conditionalFormatting sqref="N64:N67">
    <cfRule type="iconSet" priority="49">
      <iconSet iconSet="5Arrows" showValue="0">
        <cfvo type="percent" val="0"/>
        <cfvo type="num" val="0.6"/>
        <cfvo type="num" val="0.7"/>
        <cfvo type="num" val="0.8"/>
        <cfvo type="num" val="0.9"/>
      </iconSet>
    </cfRule>
  </conditionalFormatting>
  <conditionalFormatting sqref="G68 G57:G58 G73 G70:G71 G50:G55 G60:G62">
    <cfRule type="iconSet" priority="319">
      <iconSet iconSet="3TrafficLights2" showValue="0">
        <cfvo type="percent" val="0"/>
        <cfvo type="num" val="0.6"/>
        <cfvo type="num" val="0.8"/>
      </iconSet>
    </cfRule>
  </conditionalFormatting>
  <conditionalFormatting sqref="H68 H57:H58 H73 H70:H71 H50:H55 H60:H62">
    <cfRule type="iconSet" priority="322">
      <iconSet iconSet="5Arrows" showValue="0">
        <cfvo type="percent" val="0"/>
        <cfvo type="num" val="0.6"/>
        <cfvo type="num" val="0.7"/>
        <cfvo type="num" val="0.8"/>
        <cfvo type="num" val="0.9"/>
      </iconSet>
    </cfRule>
  </conditionalFormatting>
  <conditionalFormatting sqref="J68 J57:J58 J73 J70:J71 J50:J55 J60:J62">
    <cfRule type="iconSet" priority="325">
      <iconSet iconSet="3TrafficLights2" showValue="0">
        <cfvo type="percent" val="0"/>
        <cfvo type="num" val="0.6"/>
        <cfvo type="num" val="0.8"/>
      </iconSet>
    </cfRule>
  </conditionalFormatting>
  <conditionalFormatting sqref="K68 K57:K58 K73 K70:K71 K50:K55 K60:K62">
    <cfRule type="iconSet" priority="328">
      <iconSet iconSet="5Arrows" showValue="0">
        <cfvo type="percent" val="0"/>
        <cfvo type="num" val="0.6"/>
        <cfvo type="num" val="0.7"/>
        <cfvo type="num" val="0.8"/>
        <cfvo type="num" val="0.9"/>
      </iconSet>
    </cfRule>
  </conditionalFormatting>
  <conditionalFormatting sqref="M68 M57:M58 M73 M70:M71 M50:M55 M60:M62">
    <cfRule type="iconSet" priority="331">
      <iconSet iconSet="3TrafficLights2" showValue="0">
        <cfvo type="percent" val="0"/>
        <cfvo type="num" val="0.6"/>
        <cfvo type="num" val="0.8"/>
      </iconSet>
    </cfRule>
  </conditionalFormatting>
  <conditionalFormatting sqref="N68 N57:N58 N73 N70:N71 N50:N55 N60:N62">
    <cfRule type="iconSet" priority="334">
      <iconSet iconSet="5Arrows" showValue="0">
        <cfvo type="percent" val="0"/>
        <cfvo type="num" val="0.6"/>
        <cfvo type="num" val="0.7"/>
        <cfvo type="num" val="0.8"/>
        <cfvo type="num" val="0.9"/>
      </iconSet>
    </cfRule>
  </conditionalFormatting>
  <conditionalFormatting sqref="I72 L72 F72">
    <cfRule type="dataBar" priority="36">
      <dataBar>
        <cfvo type="num" val="0"/>
        <cfvo type="num" val="1.1000000000000001"/>
        <color rgb="FF63C384"/>
      </dataBar>
      <extLst>
        <ext xmlns:x14="http://schemas.microsoft.com/office/spreadsheetml/2009/9/main" uri="{B025F937-C7B1-47D3-B67F-A62EFF666E3E}">
          <x14:id>{CE860472-634E-4FA5-9B05-35CC8D58F3CB}</x14:id>
        </ext>
      </extLst>
    </cfRule>
  </conditionalFormatting>
  <conditionalFormatting sqref="G72">
    <cfRule type="iconSet" priority="37">
      <iconSet iconSet="3TrafficLights2" showValue="0">
        <cfvo type="percent" val="0"/>
        <cfvo type="num" val="0.6"/>
        <cfvo type="num" val="0.8"/>
      </iconSet>
    </cfRule>
  </conditionalFormatting>
  <conditionalFormatting sqref="H72">
    <cfRule type="iconSet" priority="38">
      <iconSet iconSet="5Arrows" showValue="0">
        <cfvo type="percent" val="0"/>
        <cfvo type="num" val="0.6"/>
        <cfvo type="num" val="0.7"/>
        <cfvo type="num" val="0.8"/>
        <cfvo type="num" val="0.9"/>
      </iconSet>
    </cfRule>
  </conditionalFormatting>
  <conditionalFormatting sqref="J72">
    <cfRule type="iconSet" priority="39">
      <iconSet iconSet="3TrafficLights2" showValue="0">
        <cfvo type="percent" val="0"/>
        <cfvo type="num" val="0.6"/>
        <cfvo type="num" val="0.8"/>
      </iconSet>
    </cfRule>
  </conditionalFormatting>
  <conditionalFormatting sqref="K72">
    <cfRule type="iconSet" priority="40">
      <iconSet iconSet="5Arrows" showValue="0">
        <cfvo type="percent" val="0"/>
        <cfvo type="num" val="0.6"/>
        <cfvo type="num" val="0.7"/>
        <cfvo type="num" val="0.8"/>
        <cfvo type="num" val="0.9"/>
      </iconSet>
    </cfRule>
  </conditionalFormatting>
  <conditionalFormatting sqref="M72">
    <cfRule type="iconSet" priority="41">
      <iconSet iconSet="3TrafficLights2" showValue="0">
        <cfvo type="percent" val="0"/>
        <cfvo type="num" val="0.6"/>
        <cfvo type="num" val="0.8"/>
      </iconSet>
    </cfRule>
  </conditionalFormatting>
  <conditionalFormatting sqref="N72">
    <cfRule type="iconSet" priority="42">
      <iconSet iconSet="5Arrows" showValue="0">
        <cfvo type="percent" val="0"/>
        <cfvo type="num" val="0.6"/>
        <cfvo type="num" val="0.7"/>
        <cfvo type="num" val="0.8"/>
        <cfvo type="num" val="0.9"/>
      </iconSet>
    </cfRule>
  </conditionalFormatting>
  <conditionalFormatting sqref="F69 L69 I69">
    <cfRule type="dataBar" priority="22">
      <dataBar>
        <cfvo type="num" val="0"/>
        <cfvo type="num" val="1.1000000000000001"/>
        <color rgb="FF63C384"/>
      </dataBar>
      <extLst>
        <ext xmlns:x14="http://schemas.microsoft.com/office/spreadsheetml/2009/9/main" uri="{B025F937-C7B1-47D3-B67F-A62EFF666E3E}">
          <x14:id>{DC6F8BBF-60C1-48C9-8357-3867CF6404E2}</x14:id>
        </ext>
      </extLst>
    </cfRule>
  </conditionalFormatting>
  <conditionalFormatting sqref="G69">
    <cfRule type="iconSet" priority="23">
      <iconSet iconSet="3TrafficLights2" showValue="0">
        <cfvo type="percent" val="0"/>
        <cfvo type="num" val="0.6"/>
        <cfvo type="num" val="0.8"/>
      </iconSet>
    </cfRule>
  </conditionalFormatting>
  <conditionalFormatting sqref="H69">
    <cfRule type="iconSet" priority="24">
      <iconSet iconSet="5Arrows" showValue="0">
        <cfvo type="percent" val="0"/>
        <cfvo type="num" val="0.6"/>
        <cfvo type="num" val="0.7"/>
        <cfvo type="num" val="0.8"/>
        <cfvo type="num" val="0.9"/>
      </iconSet>
    </cfRule>
  </conditionalFormatting>
  <conditionalFormatting sqref="J69">
    <cfRule type="iconSet" priority="25">
      <iconSet iconSet="3TrafficLights2" showValue="0">
        <cfvo type="percent" val="0"/>
        <cfvo type="num" val="0.6"/>
        <cfvo type="num" val="0.8"/>
      </iconSet>
    </cfRule>
  </conditionalFormatting>
  <conditionalFormatting sqref="K69">
    <cfRule type="iconSet" priority="26">
      <iconSet iconSet="5Arrows" showValue="0">
        <cfvo type="percent" val="0"/>
        <cfvo type="num" val="0.6"/>
        <cfvo type="num" val="0.7"/>
        <cfvo type="num" val="0.8"/>
        <cfvo type="num" val="0.9"/>
      </iconSet>
    </cfRule>
  </conditionalFormatting>
  <conditionalFormatting sqref="M69">
    <cfRule type="iconSet" priority="27">
      <iconSet iconSet="3TrafficLights2" showValue="0">
        <cfvo type="percent" val="0"/>
        <cfvo type="num" val="0.6"/>
        <cfvo type="num" val="0.8"/>
      </iconSet>
    </cfRule>
  </conditionalFormatting>
  <conditionalFormatting sqref="N69">
    <cfRule type="iconSet" priority="28">
      <iconSet iconSet="5Arrows" showValue="0">
        <cfvo type="percent" val="0"/>
        <cfvo type="num" val="0.6"/>
        <cfvo type="num" val="0.7"/>
        <cfvo type="num" val="0.8"/>
        <cfvo type="num" val="0.9"/>
      </iconSet>
    </cfRule>
  </conditionalFormatting>
  <conditionalFormatting sqref="D103:F103">
    <cfRule type="dataBar" priority="21">
      <dataBar>
        <cfvo type="num" val="0"/>
        <cfvo type="num" val="1.5"/>
        <color rgb="FF008AEF"/>
      </dataBar>
      <extLst>
        <ext xmlns:x14="http://schemas.microsoft.com/office/spreadsheetml/2009/9/main" uri="{B025F937-C7B1-47D3-B67F-A62EFF666E3E}">
          <x14:id>{C4BDB4EF-07D8-4452-871E-6B0F429F22C0}</x14:id>
        </ext>
      </extLst>
    </cfRule>
  </conditionalFormatting>
  <conditionalFormatting sqref="D106:F106">
    <cfRule type="dataBar" priority="20">
      <dataBar>
        <cfvo type="num" val="0"/>
        <cfvo type="num" val="1.5"/>
        <color rgb="FF008AEF"/>
      </dataBar>
      <extLst>
        <ext xmlns:x14="http://schemas.microsoft.com/office/spreadsheetml/2009/9/main" uri="{B025F937-C7B1-47D3-B67F-A62EFF666E3E}">
          <x14:id>{D56E25AA-51BB-4DF0-A948-05A40BB8B030}</x14:id>
        </ext>
      </extLst>
    </cfRule>
  </conditionalFormatting>
  <conditionalFormatting sqref="H84:H89">
    <cfRule type="dataBar" priority="19">
      <dataBar>
        <cfvo type="num" val="0"/>
        <cfvo type="num" val="1.5"/>
        <color rgb="FF008AEF"/>
      </dataBar>
      <extLst>
        <ext xmlns:x14="http://schemas.microsoft.com/office/spreadsheetml/2009/9/main" uri="{B025F937-C7B1-47D3-B67F-A62EFF666E3E}">
          <x14:id>{43C4C551-C6DE-4CE6-8FD2-94050AEE34CB}</x14:id>
        </ext>
      </extLst>
    </cfRule>
  </conditionalFormatting>
  <conditionalFormatting sqref="H95:H97">
    <cfRule type="dataBar" priority="18">
      <dataBar>
        <cfvo type="num" val="0"/>
        <cfvo type="num" val="1.5"/>
        <color rgb="FF008AEF"/>
      </dataBar>
      <extLst>
        <ext xmlns:x14="http://schemas.microsoft.com/office/spreadsheetml/2009/9/main" uri="{B025F937-C7B1-47D3-B67F-A62EFF666E3E}">
          <x14:id>{0A100300-0A5B-4DE0-A41C-18FC6792FB2A}</x14:id>
        </ext>
      </extLst>
    </cfRule>
  </conditionalFormatting>
  <conditionalFormatting sqref="H100">
    <cfRule type="dataBar" priority="17">
      <dataBar>
        <cfvo type="num" val="0"/>
        <cfvo type="num" val="1.5"/>
        <color rgb="FF008AEF"/>
      </dataBar>
      <extLst>
        <ext xmlns:x14="http://schemas.microsoft.com/office/spreadsheetml/2009/9/main" uri="{B025F937-C7B1-47D3-B67F-A62EFF666E3E}">
          <x14:id>{CBE6728A-F9E5-46B3-BEB1-D47FE1140BB6}</x14:id>
        </ext>
      </extLst>
    </cfRule>
  </conditionalFormatting>
  <conditionalFormatting sqref="I59 L59 F59">
    <cfRule type="dataBar" priority="10">
      <dataBar>
        <cfvo type="num" val="0"/>
        <cfvo type="num" val="1.1000000000000001"/>
        <color rgb="FF63C384"/>
      </dataBar>
      <extLst>
        <ext xmlns:x14="http://schemas.microsoft.com/office/spreadsheetml/2009/9/main" uri="{B025F937-C7B1-47D3-B67F-A62EFF666E3E}">
          <x14:id>{B59473DF-8FDA-4B67-8AA7-704706A31EEB}</x14:id>
        </ext>
      </extLst>
    </cfRule>
  </conditionalFormatting>
  <conditionalFormatting sqref="G59">
    <cfRule type="iconSet" priority="11">
      <iconSet iconSet="3TrafficLights2" showValue="0">
        <cfvo type="percent" val="0"/>
        <cfvo type="num" val="0.6"/>
        <cfvo type="num" val="0.8"/>
      </iconSet>
    </cfRule>
  </conditionalFormatting>
  <conditionalFormatting sqref="H59">
    <cfRule type="iconSet" priority="12">
      <iconSet iconSet="5Arrows" showValue="0">
        <cfvo type="percent" val="0"/>
        <cfvo type="num" val="0.6"/>
        <cfvo type="num" val="0.7"/>
        <cfvo type="num" val="0.8"/>
        <cfvo type="num" val="0.9"/>
      </iconSet>
    </cfRule>
  </conditionalFormatting>
  <conditionalFormatting sqref="J59">
    <cfRule type="iconSet" priority="13">
      <iconSet iconSet="3TrafficLights2" showValue="0">
        <cfvo type="percent" val="0"/>
        <cfvo type="num" val="0.6"/>
        <cfvo type="num" val="0.8"/>
      </iconSet>
    </cfRule>
  </conditionalFormatting>
  <conditionalFormatting sqref="K59">
    <cfRule type="iconSet" priority="14">
      <iconSet iconSet="5Arrows" showValue="0">
        <cfvo type="percent" val="0"/>
        <cfvo type="num" val="0.6"/>
        <cfvo type="num" val="0.7"/>
        <cfvo type="num" val="0.8"/>
        <cfvo type="num" val="0.9"/>
      </iconSet>
    </cfRule>
  </conditionalFormatting>
  <conditionalFormatting sqref="M59">
    <cfRule type="iconSet" priority="15">
      <iconSet iconSet="3TrafficLights2" showValue="0">
        <cfvo type="percent" val="0"/>
        <cfvo type="num" val="0.6"/>
        <cfvo type="num" val="0.8"/>
      </iconSet>
    </cfRule>
  </conditionalFormatting>
  <conditionalFormatting sqref="N59">
    <cfRule type="iconSet" priority="16">
      <iconSet iconSet="5Arrows" showValue="0">
        <cfvo type="percent" val="0"/>
        <cfvo type="num" val="0.6"/>
        <cfvo type="num" val="0.7"/>
        <cfvo type="num" val="0.8"/>
        <cfvo type="num" val="0.9"/>
      </iconSet>
    </cfRule>
  </conditionalFormatting>
  <conditionalFormatting sqref="G42">
    <cfRule type="iconSet" priority="9">
      <iconSet iconSet="3TrafficLights2" showValue="0">
        <cfvo type="percent" val="0"/>
        <cfvo type="num" val="0.6"/>
        <cfvo type="num" val="0.8"/>
      </iconSet>
    </cfRule>
  </conditionalFormatting>
  <conditionalFormatting sqref="H42">
    <cfRule type="iconSet" priority="8">
      <iconSet iconSet="5Arrows" showValue="0">
        <cfvo type="percent" val="0"/>
        <cfvo type="num" val="0.6"/>
        <cfvo type="num" val="0.7"/>
        <cfvo type="num" val="0.8"/>
        <cfvo type="num" val="0.9"/>
      </iconSet>
    </cfRule>
  </conditionalFormatting>
  <conditionalFormatting sqref="F42">
    <cfRule type="dataBar" priority="7">
      <dataBar>
        <cfvo type="num" val="0"/>
        <cfvo type="num" val="1.1000000000000001"/>
        <color rgb="FF63C384"/>
      </dataBar>
      <extLst>
        <ext xmlns:x14="http://schemas.microsoft.com/office/spreadsheetml/2009/9/main" uri="{B025F937-C7B1-47D3-B67F-A62EFF666E3E}">
          <x14:id>{B896D857-962E-46FD-94C5-7365DFA0AB51}</x14:id>
        </ext>
      </extLst>
    </cfRule>
  </conditionalFormatting>
  <conditionalFormatting sqref="J42">
    <cfRule type="iconSet" priority="6">
      <iconSet iconSet="3TrafficLights2" showValue="0">
        <cfvo type="percent" val="0"/>
        <cfvo type="num" val="0.6"/>
        <cfvo type="num" val="0.8"/>
      </iconSet>
    </cfRule>
  </conditionalFormatting>
  <conditionalFormatting sqref="K42">
    <cfRule type="iconSet" priority="5">
      <iconSet iconSet="5Arrows" showValue="0">
        <cfvo type="percent" val="0"/>
        <cfvo type="num" val="0.6"/>
        <cfvo type="num" val="0.7"/>
        <cfvo type="num" val="0.8"/>
        <cfvo type="num" val="0.9"/>
      </iconSet>
    </cfRule>
  </conditionalFormatting>
  <conditionalFormatting sqref="I42">
    <cfRule type="dataBar" priority="4">
      <dataBar>
        <cfvo type="num" val="0"/>
        <cfvo type="num" val="1.1000000000000001"/>
        <color rgb="FF63C384"/>
      </dataBar>
      <extLst>
        <ext xmlns:x14="http://schemas.microsoft.com/office/spreadsheetml/2009/9/main" uri="{B025F937-C7B1-47D3-B67F-A62EFF666E3E}">
          <x14:id>{AE6B9706-542C-46E8-9393-1843D038274D}</x14:id>
        </ext>
      </extLst>
    </cfRule>
  </conditionalFormatting>
  <conditionalFormatting sqref="M42">
    <cfRule type="iconSet" priority="3">
      <iconSet iconSet="3TrafficLights2" showValue="0">
        <cfvo type="percent" val="0"/>
        <cfvo type="num" val="0.6"/>
        <cfvo type="num" val="0.8"/>
      </iconSet>
    </cfRule>
  </conditionalFormatting>
  <conditionalFormatting sqref="N42">
    <cfRule type="iconSet" priority="2">
      <iconSet iconSet="5Arrows" showValue="0">
        <cfvo type="percent" val="0"/>
        <cfvo type="num" val="0.6"/>
        <cfvo type="num" val="0.7"/>
        <cfvo type="num" val="0.8"/>
        <cfvo type="num" val="0.9"/>
      </iconSet>
    </cfRule>
  </conditionalFormatting>
  <conditionalFormatting sqref="L42">
    <cfRule type="dataBar" priority="1">
      <dataBar>
        <cfvo type="num" val="0"/>
        <cfvo type="num" val="1.1000000000000001"/>
        <color rgb="FF63C384"/>
      </dataBar>
      <extLst>
        <ext xmlns:x14="http://schemas.microsoft.com/office/spreadsheetml/2009/9/main" uri="{B025F937-C7B1-47D3-B67F-A62EFF666E3E}">
          <x14:id>{4501828D-0AE2-4DA3-AB43-B53A8C2D1DBC}</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E2447B98-D96C-4E51-8249-6DAFFA072E9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I57:I58 F6 L57:L58 F57:F58 I68 L68 F68 F73 L73 I73 F70:F71 L70:L71 I70:I71 F50:F55 L50:L55 I50:I55 F60:F62 L60:L62 I60:I62</xm:sqref>
        </x14:conditionalFormatting>
        <x14:conditionalFormatting xmlns:xm="http://schemas.microsoft.com/office/excel/2006/main">
          <x14:cfRule type="dataBar" id="{C2D532E5-1B7C-480C-922C-653A82A2DDF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xm:sqref>
        </x14:conditionalFormatting>
        <x14:conditionalFormatting xmlns:xm="http://schemas.microsoft.com/office/excel/2006/main">
          <x14:cfRule type="dataBar" id="{9A5EDCC3-08C0-4FA7-B8DE-5928750D729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L6</xm:sqref>
        </x14:conditionalFormatting>
        <x14:conditionalFormatting xmlns:xm="http://schemas.microsoft.com/office/excel/2006/main">
          <x14:cfRule type="dataBar" id="{A0239914-0CEE-4CCB-8399-5F6FE19EFC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0DFE4C40-C3FC-447C-86F9-479B60F27E9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xm:sqref>
        </x14:conditionalFormatting>
        <x14:conditionalFormatting xmlns:xm="http://schemas.microsoft.com/office/excel/2006/main">
          <x14:cfRule type="dataBar" id="{1F72F77C-72DD-4DC0-993A-4A62562778B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xm:sqref>
        </x14:conditionalFormatting>
        <x14:conditionalFormatting xmlns:xm="http://schemas.microsoft.com/office/excel/2006/main">
          <x14:cfRule type="dataBar" id="{13929A6E-DD03-4D35-A383-37858081BB3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ADCEFA98-11A3-4CF8-800F-04F593269AA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I8</xm:sqref>
        </x14:conditionalFormatting>
        <x14:conditionalFormatting xmlns:xm="http://schemas.microsoft.com/office/excel/2006/main">
          <x14:cfRule type="dataBar" id="{29C8DEB2-2279-4B4B-8012-95D88698D96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L8</xm:sqref>
        </x14:conditionalFormatting>
        <x14:conditionalFormatting xmlns:xm="http://schemas.microsoft.com/office/excel/2006/main">
          <x14:cfRule type="dataBar" id="{7B2A6733-42DB-44AD-8430-521F8F345BA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A3F17A18-4E05-438E-8EF4-50AAF9B580D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I9</xm:sqref>
        </x14:conditionalFormatting>
        <x14:conditionalFormatting xmlns:xm="http://schemas.microsoft.com/office/excel/2006/main">
          <x14:cfRule type="dataBar" id="{557B1B9F-9C4D-4319-97DA-3DF66C37348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L9</xm:sqref>
        </x14:conditionalFormatting>
        <x14:conditionalFormatting xmlns:xm="http://schemas.microsoft.com/office/excel/2006/main">
          <x14:cfRule type="dataBar" id="{BB8F1DA8-7544-4342-8388-49BBDB34CF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F11:F12</xm:sqref>
        </x14:conditionalFormatting>
        <x14:conditionalFormatting xmlns:xm="http://schemas.microsoft.com/office/excel/2006/main">
          <x14:cfRule type="dataBar" id="{A117401D-49CC-4479-8BA4-E600E570CC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I11:I12</xm:sqref>
        </x14:conditionalFormatting>
        <x14:conditionalFormatting xmlns:xm="http://schemas.microsoft.com/office/excel/2006/main">
          <x14:cfRule type="dataBar" id="{49C7012A-B31E-4ADF-A374-6EB241CE7B3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L11:L12</xm:sqref>
        </x14:conditionalFormatting>
        <x14:conditionalFormatting xmlns:xm="http://schemas.microsoft.com/office/excel/2006/main">
          <x14:cfRule type="dataBar" id="{5D445730-5BAE-4FF4-B27D-003A7E6923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22BCA6FB-9E3D-4931-BF3B-E25CAA97205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I16</xm:sqref>
        </x14:conditionalFormatting>
        <x14:conditionalFormatting xmlns:xm="http://schemas.microsoft.com/office/excel/2006/main">
          <x14:cfRule type="dataBar" id="{1F5A34CA-A96C-4E32-B605-0843192CB97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L16</xm:sqref>
        </x14:conditionalFormatting>
        <x14:conditionalFormatting xmlns:xm="http://schemas.microsoft.com/office/excel/2006/main">
          <x14:cfRule type="dataBar" id="{C015A28D-284E-406F-9744-D03494B2681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F17</xm:sqref>
        </x14:conditionalFormatting>
        <x14:conditionalFormatting xmlns:xm="http://schemas.microsoft.com/office/excel/2006/main">
          <x14:cfRule type="dataBar" id="{F9996B71-F08A-40BC-8D77-899BF90824E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I17</xm:sqref>
        </x14:conditionalFormatting>
        <x14:conditionalFormatting xmlns:xm="http://schemas.microsoft.com/office/excel/2006/main">
          <x14:cfRule type="dataBar" id="{8C85687A-4D22-4099-8DB2-88652B14912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L17</xm:sqref>
        </x14:conditionalFormatting>
        <x14:conditionalFormatting xmlns:xm="http://schemas.microsoft.com/office/excel/2006/main">
          <x14:cfRule type="dataBar" id="{C592FB22-FC49-4065-87E1-5E1C75E91DA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F18</xm:sqref>
        </x14:conditionalFormatting>
        <x14:conditionalFormatting xmlns:xm="http://schemas.microsoft.com/office/excel/2006/main">
          <x14:cfRule type="dataBar" id="{2925FAC5-3E9D-4292-9232-77D98F087C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I18</xm:sqref>
        </x14:conditionalFormatting>
        <x14:conditionalFormatting xmlns:xm="http://schemas.microsoft.com/office/excel/2006/main">
          <x14:cfRule type="dataBar" id="{9C64AF3F-84DB-4D7C-8F47-070144B41CA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L18</xm:sqref>
        </x14:conditionalFormatting>
        <x14:conditionalFormatting xmlns:xm="http://schemas.microsoft.com/office/excel/2006/main">
          <x14:cfRule type="dataBar" id="{85B379C4-7010-4194-949E-8F54164F35E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F19</xm:sqref>
        </x14:conditionalFormatting>
        <x14:conditionalFormatting xmlns:xm="http://schemas.microsoft.com/office/excel/2006/main">
          <x14:cfRule type="dataBar" id="{9375FE6C-4B11-42F8-8624-9924B1C9E46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I19</xm:sqref>
        </x14:conditionalFormatting>
        <x14:conditionalFormatting xmlns:xm="http://schemas.microsoft.com/office/excel/2006/main">
          <x14:cfRule type="dataBar" id="{6B043F20-4D07-412E-9DC1-66E7C1D144F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L19</xm:sqref>
        </x14:conditionalFormatting>
        <x14:conditionalFormatting xmlns:xm="http://schemas.microsoft.com/office/excel/2006/main">
          <x14:cfRule type="dataBar" id="{9F289604-01B5-469F-98F1-645A4C7AE84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177B80C6-6660-472F-9C61-C70C78F191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I21</xm:sqref>
        </x14:conditionalFormatting>
        <x14:conditionalFormatting xmlns:xm="http://schemas.microsoft.com/office/excel/2006/main">
          <x14:cfRule type="dataBar" id="{6787DA30-3535-4DD5-ADA7-6A3B6D4B32C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L21</xm:sqref>
        </x14:conditionalFormatting>
        <x14:conditionalFormatting xmlns:xm="http://schemas.microsoft.com/office/excel/2006/main">
          <x14:cfRule type="dataBar" id="{15A17EF1-9D61-4408-B875-C16D335DEC2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F22</xm:sqref>
        </x14:conditionalFormatting>
        <x14:conditionalFormatting xmlns:xm="http://schemas.microsoft.com/office/excel/2006/main">
          <x14:cfRule type="dataBar" id="{16DA3FAB-72AE-40FD-AFE6-BE781D1D3F3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I22</xm:sqref>
        </x14:conditionalFormatting>
        <x14:conditionalFormatting xmlns:xm="http://schemas.microsoft.com/office/excel/2006/main">
          <x14:cfRule type="dataBar" id="{A85C0626-5644-4849-B1EA-0469B72E3D8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L22</xm:sqref>
        </x14:conditionalFormatting>
        <x14:conditionalFormatting xmlns:xm="http://schemas.microsoft.com/office/excel/2006/main">
          <x14:cfRule type="dataBar" id="{A8D53FD0-0688-4600-9B4F-B75735F443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F26</xm:sqref>
        </x14:conditionalFormatting>
        <x14:conditionalFormatting xmlns:xm="http://schemas.microsoft.com/office/excel/2006/main">
          <x14:cfRule type="dataBar" id="{B08F70F5-3D09-4FBC-AEA8-A9B5DB9E874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I26</xm:sqref>
        </x14:conditionalFormatting>
        <x14:conditionalFormatting xmlns:xm="http://schemas.microsoft.com/office/excel/2006/main">
          <x14:cfRule type="dataBar" id="{4E69ADCE-589B-4F23-B22C-55853965CC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L26</xm:sqref>
        </x14:conditionalFormatting>
        <x14:conditionalFormatting xmlns:xm="http://schemas.microsoft.com/office/excel/2006/main">
          <x14:cfRule type="dataBar" id="{D890ACFE-49A1-4EB9-9A6E-7EABC9D13AE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F27</xm:sqref>
        </x14:conditionalFormatting>
        <x14:conditionalFormatting xmlns:xm="http://schemas.microsoft.com/office/excel/2006/main">
          <x14:cfRule type="dataBar" id="{027B8A89-0319-4F3E-ADFB-154A3A37134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I27</xm:sqref>
        </x14:conditionalFormatting>
        <x14:conditionalFormatting xmlns:xm="http://schemas.microsoft.com/office/excel/2006/main">
          <x14:cfRule type="dataBar" id="{5E2D8DC2-1D62-4A04-8688-050C3DF52C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L27</xm:sqref>
        </x14:conditionalFormatting>
        <x14:conditionalFormatting xmlns:xm="http://schemas.microsoft.com/office/excel/2006/main">
          <x14:cfRule type="dataBar" id="{F572B8B4-555C-4EF0-B770-B8EA057592D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F28</xm:sqref>
        </x14:conditionalFormatting>
        <x14:conditionalFormatting xmlns:xm="http://schemas.microsoft.com/office/excel/2006/main">
          <x14:cfRule type="dataBar" id="{2760E459-0F85-4ECB-90B9-B494B5DCAC1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I28</xm:sqref>
        </x14:conditionalFormatting>
        <x14:conditionalFormatting xmlns:xm="http://schemas.microsoft.com/office/excel/2006/main">
          <x14:cfRule type="dataBar" id="{0B6D7745-4EAF-4495-91B3-961758DF360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L28</xm:sqref>
        </x14:conditionalFormatting>
        <x14:conditionalFormatting xmlns:xm="http://schemas.microsoft.com/office/excel/2006/main">
          <x14:cfRule type="dataBar" id="{1430655F-C325-4DFB-8D0A-EAB138C219E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F29:F31</xm:sqref>
        </x14:conditionalFormatting>
        <x14:conditionalFormatting xmlns:xm="http://schemas.microsoft.com/office/excel/2006/main">
          <x14:cfRule type="dataBar" id="{E77A3214-B4FD-494D-8E2B-2286BAC61F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I29:I31</xm:sqref>
        </x14:conditionalFormatting>
        <x14:conditionalFormatting xmlns:xm="http://schemas.microsoft.com/office/excel/2006/main">
          <x14:cfRule type="dataBar" id="{6B92E8B8-823C-47D0-9ABB-833A982CA8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L29:L30</xm:sqref>
        </x14:conditionalFormatting>
        <x14:conditionalFormatting xmlns:xm="http://schemas.microsoft.com/office/excel/2006/main">
          <x14:cfRule type="dataBar" id="{E70AAA2E-8ED5-4028-8E2C-E553865E6C7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F32</xm:sqref>
        </x14:conditionalFormatting>
        <x14:conditionalFormatting xmlns:xm="http://schemas.microsoft.com/office/excel/2006/main">
          <x14:cfRule type="dataBar" id="{0F57053B-B5B2-4493-9833-92B8BA06DD0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I32</xm:sqref>
        </x14:conditionalFormatting>
        <x14:conditionalFormatting xmlns:xm="http://schemas.microsoft.com/office/excel/2006/main">
          <x14:cfRule type="dataBar" id="{E473708A-806F-4F59-AE75-DE500CDAAA2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L32</xm:sqref>
        </x14:conditionalFormatting>
        <x14:conditionalFormatting xmlns:xm="http://schemas.microsoft.com/office/excel/2006/main">
          <x14:cfRule type="dataBar" id="{B2CE2B16-62F5-41DD-8D18-6BF9874DC7E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F34</xm:sqref>
        </x14:conditionalFormatting>
        <x14:conditionalFormatting xmlns:xm="http://schemas.microsoft.com/office/excel/2006/main">
          <x14:cfRule type="dataBar" id="{409052F7-67B4-4BA4-9384-4E9501E78A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I34</xm:sqref>
        </x14:conditionalFormatting>
        <x14:conditionalFormatting xmlns:xm="http://schemas.microsoft.com/office/excel/2006/main">
          <x14:cfRule type="dataBar" id="{76C217DB-7BF5-4148-BE3A-CE58764B394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L34</xm:sqref>
        </x14:conditionalFormatting>
        <x14:conditionalFormatting xmlns:xm="http://schemas.microsoft.com/office/excel/2006/main">
          <x14:cfRule type="dataBar" id="{9F3E1FD9-8676-4A04-9509-02963451D13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F35</xm:sqref>
        </x14:conditionalFormatting>
        <x14:conditionalFormatting xmlns:xm="http://schemas.microsoft.com/office/excel/2006/main">
          <x14:cfRule type="dataBar" id="{CF506E69-136B-45D8-8DE2-B01F701105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I35</xm:sqref>
        </x14:conditionalFormatting>
        <x14:conditionalFormatting xmlns:xm="http://schemas.microsoft.com/office/excel/2006/main">
          <x14:cfRule type="dataBar" id="{01BBA2F7-21E5-406A-AC91-533B1D8B39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L35</xm:sqref>
        </x14:conditionalFormatting>
        <x14:conditionalFormatting xmlns:xm="http://schemas.microsoft.com/office/excel/2006/main">
          <x14:cfRule type="dataBar" id="{EE1B2F2B-E665-47AC-A4A2-CB5B56EDBD0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F39</xm:sqref>
        </x14:conditionalFormatting>
        <x14:conditionalFormatting xmlns:xm="http://schemas.microsoft.com/office/excel/2006/main">
          <x14:cfRule type="dataBar" id="{11A22472-45F6-452A-AF67-042C9E48384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I39</xm:sqref>
        </x14:conditionalFormatting>
        <x14:conditionalFormatting xmlns:xm="http://schemas.microsoft.com/office/excel/2006/main">
          <x14:cfRule type="dataBar" id="{AD5E5BFA-7145-4A88-A4D1-C6C60071419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L39</xm:sqref>
        </x14:conditionalFormatting>
        <x14:conditionalFormatting xmlns:xm="http://schemas.microsoft.com/office/excel/2006/main">
          <x14:cfRule type="dataBar" id="{E1020B43-B6B9-4B9C-8117-EAD14A2779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F40</xm:sqref>
        </x14:conditionalFormatting>
        <x14:conditionalFormatting xmlns:xm="http://schemas.microsoft.com/office/excel/2006/main">
          <x14:cfRule type="dataBar" id="{3512BFC9-6E72-4986-8799-0F894128E0C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I40</xm:sqref>
        </x14:conditionalFormatting>
        <x14:conditionalFormatting xmlns:xm="http://schemas.microsoft.com/office/excel/2006/main">
          <x14:cfRule type="dataBar" id="{607965FC-A2C7-4811-9052-33605D9319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L40</xm:sqref>
        </x14:conditionalFormatting>
        <x14:conditionalFormatting xmlns:xm="http://schemas.microsoft.com/office/excel/2006/main">
          <x14:cfRule type="dataBar" id="{8D0CDCC8-6813-4E71-9B17-02940D9F17D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F41</xm:sqref>
        </x14:conditionalFormatting>
        <x14:conditionalFormatting xmlns:xm="http://schemas.microsoft.com/office/excel/2006/main">
          <x14:cfRule type="dataBar" id="{A6C3883A-9C71-44F2-B6E2-BB7066CF0FD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I41</xm:sqref>
        </x14:conditionalFormatting>
        <x14:conditionalFormatting xmlns:xm="http://schemas.microsoft.com/office/excel/2006/main">
          <x14:cfRule type="dataBar" id="{0AD62E18-2E77-4A77-8750-3729B832037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L41</xm:sqref>
        </x14:conditionalFormatting>
        <x14:conditionalFormatting xmlns:xm="http://schemas.microsoft.com/office/excel/2006/main">
          <x14:cfRule type="dataBar" id="{F25011AB-9F5B-4F7E-BC17-4F8D9D8BFDD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F43</xm:sqref>
        </x14:conditionalFormatting>
        <x14:conditionalFormatting xmlns:xm="http://schemas.microsoft.com/office/excel/2006/main">
          <x14:cfRule type="dataBar" id="{53BED112-C5F2-4C84-BDEC-197DBB812EA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I43</xm:sqref>
        </x14:conditionalFormatting>
        <x14:conditionalFormatting xmlns:xm="http://schemas.microsoft.com/office/excel/2006/main">
          <x14:cfRule type="dataBar" id="{FD9E8FEA-D09A-4462-8A83-1C4125AFDEA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L43</xm:sqref>
        </x14:conditionalFormatting>
        <x14:conditionalFormatting xmlns:xm="http://schemas.microsoft.com/office/excel/2006/main">
          <x14:cfRule type="dataBar" id="{21B515C2-3FD7-4862-97DE-9B7B2B0F967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F45</xm:sqref>
        </x14:conditionalFormatting>
        <x14:conditionalFormatting xmlns:xm="http://schemas.microsoft.com/office/excel/2006/main">
          <x14:cfRule type="dataBar" id="{2859D417-D158-4D75-B4D7-A73E34B49D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I45</xm:sqref>
        </x14:conditionalFormatting>
        <x14:conditionalFormatting xmlns:xm="http://schemas.microsoft.com/office/excel/2006/main">
          <x14:cfRule type="dataBar" id="{8495654D-507E-42D7-BC7B-79F2F50C0C8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L45</xm:sqref>
        </x14:conditionalFormatting>
        <x14:conditionalFormatting xmlns:xm="http://schemas.microsoft.com/office/excel/2006/main">
          <x14:cfRule type="dataBar" id="{4DFCE72C-9B7C-4482-8AE4-DF2F30F4C22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F46</xm:sqref>
        </x14:conditionalFormatting>
        <x14:conditionalFormatting xmlns:xm="http://schemas.microsoft.com/office/excel/2006/main">
          <x14:cfRule type="dataBar" id="{BB6A3CB4-A28B-4326-9296-F6DDD1E9176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I46</xm:sqref>
        </x14:conditionalFormatting>
        <x14:conditionalFormatting xmlns:xm="http://schemas.microsoft.com/office/excel/2006/main">
          <x14:cfRule type="dataBar" id="{6D897AAF-E258-45E5-9AFA-AD04AC88B5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L46</xm:sqref>
        </x14:conditionalFormatting>
        <x14:conditionalFormatting xmlns:xm="http://schemas.microsoft.com/office/excel/2006/main">
          <x14:cfRule type="dataBar" id="{A1CCBB53-2813-44E9-B257-FA82F5F06B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F74</xm:sqref>
        </x14:conditionalFormatting>
        <x14:conditionalFormatting xmlns:xm="http://schemas.microsoft.com/office/excel/2006/main">
          <x14:cfRule type="dataBar" id="{5F7A5088-7DDE-4FCD-A03D-09336B7808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I74</xm:sqref>
        </x14:conditionalFormatting>
        <x14:conditionalFormatting xmlns:xm="http://schemas.microsoft.com/office/excel/2006/main">
          <x14:cfRule type="dataBar" id="{A634A167-6FA3-4E71-A364-378582B671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L74</xm:sqref>
        </x14:conditionalFormatting>
        <x14:conditionalFormatting xmlns:xm="http://schemas.microsoft.com/office/excel/2006/main">
          <x14:cfRule type="dataBar" id="{C6876FEA-CACC-477D-B00B-F07990C2AAA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F76</xm:sqref>
        </x14:conditionalFormatting>
        <x14:conditionalFormatting xmlns:xm="http://schemas.microsoft.com/office/excel/2006/main">
          <x14:cfRule type="dataBar" id="{FA30016C-1AF0-44F7-AA47-110DDBA6738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I76</xm:sqref>
        </x14:conditionalFormatting>
        <x14:conditionalFormatting xmlns:xm="http://schemas.microsoft.com/office/excel/2006/main">
          <x14:cfRule type="dataBar" id="{08FFCBDB-FF12-4DAD-86E0-1D83DD28240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L76</xm:sqref>
        </x14:conditionalFormatting>
        <x14:conditionalFormatting xmlns:xm="http://schemas.microsoft.com/office/excel/2006/main">
          <x14:cfRule type="dataBar" id="{31242221-ED71-4678-92EB-74AFCF2135F7}">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D84:F89</xm:sqref>
        </x14:conditionalFormatting>
        <x14:conditionalFormatting xmlns:xm="http://schemas.microsoft.com/office/excel/2006/main">
          <x14:cfRule type="dataBar" id="{78C49190-8DE7-418F-B0DA-449E8CF8E82B}">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D95:F95</xm:sqref>
        </x14:conditionalFormatting>
        <x14:conditionalFormatting xmlns:xm="http://schemas.microsoft.com/office/excel/2006/main">
          <x14:cfRule type="dataBar" id="{6118FB3D-EB57-4B7E-978A-57B099DF6ADF}">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D96:F96</xm:sqref>
        </x14:conditionalFormatting>
        <x14:conditionalFormatting xmlns:xm="http://schemas.microsoft.com/office/excel/2006/main">
          <x14:cfRule type="dataBar" id="{A1974F2A-8DD0-4F85-B255-5C7992B9B262}">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D97:F98</xm:sqref>
        </x14:conditionalFormatting>
        <x14:conditionalFormatting xmlns:xm="http://schemas.microsoft.com/office/excel/2006/main">
          <x14:cfRule type="dataBar" id="{E9F11B65-CE8C-41F1-9C4B-A2943F097ED4}">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D100:F100</xm:sqref>
        </x14:conditionalFormatting>
        <x14:conditionalFormatting xmlns:xm="http://schemas.microsoft.com/office/excel/2006/main">
          <x14:cfRule type="dataBar" id="{0F7EB60B-1695-4856-BE39-119CECAC744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L31</xm:sqref>
        </x14:conditionalFormatting>
        <x14:conditionalFormatting xmlns:xm="http://schemas.microsoft.com/office/excel/2006/main">
          <x14:cfRule type="dataBar" id="{64065697-1172-4537-9857-109A320711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F56 L56 I56</xm:sqref>
        </x14:conditionalFormatting>
        <x14:conditionalFormatting xmlns:xm="http://schemas.microsoft.com/office/excel/2006/main">
          <x14:cfRule type="dataBar" id="{093D3069-8A47-496F-8607-3E7A5483359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F63 L63 I63</xm:sqref>
        </x14:conditionalFormatting>
        <x14:conditionalFormatting xmlns:xm="http://schemas.microsoft.com/office/excel/2006/main">
          <x14:cfRule type="dataBar" id="{CB792554-4B68-4EA7-A4AE-5EFCBBE288B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I64:I67 L64:L67 F64:F67</xm:sqref>
        </x14:conditionalFormatting>
        <x14:conditionalFormatting xmlns:xm="http://schemas.microsoft.com/office/excel/2006/main">
          <x14:cfRule type="dataBar" id="{CE860472-634E-4FA5-9B05-35CC8D58F3C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I72 L72 F72</xm:sqref>
        </x14:conditionalFormatting>
        <x14:conditionalFormatting xmlns:xm="http://schemas.microsoft.com/office/excel/2006/main">
          <x14:cfRule type="dataBar" id="{DC6F8BBF-60C1-48C9-8357-3867CF6404E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F69 L69 I69</xm:sqref>
        </x14:conditionalFormatting>
        <x14:conditionalFormatting xmlns:xm="http://schemas.microsoft.com/office/excel/2006/main">
          <x14:cfRule type="dataBar" id="{C4BDB4EF-07D8-4452-871E-6B0F429F22C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D103:F103</xm:sqref>
        </x14:conditionalFormatting>
        <x14:conditionalFormatting xmlns:xm="http://schemas.microsoft.com/office/excel/2006/main">
          <x14:cfRule type="dataBar" id="{D56E25AA-51BB-4DF0-A948-05A40BB8B03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D106:F106</xm:sqref>
        </x14:conditionalFormatting>
        <x14:conditionalFormatting xmlns:xm="http://schemas.microsoft.com/office/excel/2006/main">
          <x14:cfRule type="dataBar" id="{43C4C551-C6DE-4CE6-8FD2-94050AEE34CB}">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H84:H89</xm:sqref>
        </x14:conditionalFormatting>
        <x14:conditionalFormatting xmlns:xm="http://schemas.microsoft.com/office/excel/2006/main">
          <x14:cfRule type="dataBar" id="{0A100300-0A5B-4DE0-A41C-18FC6792FB2A}">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H95:H97</xm:sqref>
        </x14:conditionalFormatting>
        <x14:conditionalFormatting xmlns:xm="http://schemas.microsoft.com/office/excel/2006/main">
          <x14:cfRule type="dataBar" id="{CBE6728A-F9E5-46B3-BEB1-D47FE1140BB6}">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H100</xm:sqref>
        </x14:conditionalFormatting>
        <x14:conditionalFormatting xmlns:xm="http://schemas.microsoft.com/office/excel/2006/main">
          <x14:cfRule type="dataBar" id="{B59473DF-8FDA-4B67-8AA7-704706A31EE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I59 L59 F59</xm:sqref>
        </x14:conditionalFormatting>
        <x14:conditionalFormatting xmlns:xm="http://schemas.microsoft.com/office/excel/2006/main">
          <x14:cfRule type="dataBar" id="{B896D857-962E-46FD-94C5-7365DFA0AB5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F42</xm:sqref>
        </x14:conditionalFormatting>
        <x14:conditionalFormatting xmlns:xm="http://schemas.microsoft.com/office/excel/2006/main">
          <x14:cfRule type="dataBar" id="{AE6B9706-542C-46E8-9393-1843D038274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I42</xm:sqref>
        </x14:conditionalFormatting>
        <x14:conditionalFormatting xmlns:xm="http://schemas.microsoft.com/office/excel/2006/main">
          <x14:cfRule type="dataBar" id="{4501828D-0AE2-4DA3-AB43-B53A8C2D1DB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1024</vt:lpstr>
      <vt:lpstr>1107</vt:lpstr>
      <vt:lpstr>1110</vt:lpstr>
      <vt:lpstr>1112</vt:lpstr>
      <vt:lpstr>1114</vt:lpstr>
      <vt:lpstr>TABLERO</vt:lpstr>
      <vt:lpstr>'1024'!Área_de_impresión</vt:lpstr>
      <vt:lpstr>'1107'!Área_de_impresión</vt:lpstr>
      <vt:lpstr>'1110'!Área_de_impresión</vt:lpstr>
      <vt:lpstr>'1112'!Área_de_impresión</vt:lpstr>
      <vt:lpstr>'1114'!Área_de_impresión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Luz Patricia Quintanilla Parra</cp:lastModifiedBy>
  <cp:lastPrinted>2019-07-28T23:58:51Z</cp:lastPrinted>
  <dcterms:created xsi:type="dcterms:W3CDTF">2018-05-03T21:24:38Z</dcterms:created>
  <dcterms:modified xsi:type="dcterms:W3CDTF">2019-10-18T14:58:37Z</dcterms:modified>
</cp:coreProperties>
</file>