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P\Downloads\"/>
    </mc:Choice>
  </mc:AlternateContent>
  <bookViews>
    <workbookView xWindow="0" yWindow="0" windowWidth="28800" windowHeight="12435" tabRatio="431"/>
  </bookViews>
  <sheets>
    <sheet name="1024" sheetId="4" r:id="rId1"/>
    <sheet name="1107" sheetId="17" r:id="rId2"/>
    <sheet name="1110" sheetId="18" r:id="rId3"/>
    <sheet name="1112" sheetId="19" r:id="rId4"/>
    <sheet name="1114" sheetId="20" r:id="rId5"/>
    <sheet name="RESERVAS" sheetId="14" state="hidden" r:id="rId6"/>
    <sheet name="PASIVOS" sheetId="15" state="hidden" r:id="rId7"/>
    <sheet name="PMR (2)" sheetId="16" state="hidden" r:id="rId8"/>
  </sheets>
  <definedNames>
    <definedName name="_xlnm._FilterDatabase" localSheetId="0" hidden="1">'1024'!$A$15:$AM$40</definedName>
    <definedName name="_xlnm._FilterDatabase" localSheetId="1" hidden="1">'1107'!$A$15:$AM$114</definedName>
    <definedName name="_xlnm._FilterDatabase" localSheetId="2" hidden="1">'1110'!$A$15:$AM$117</definedName>
    <definedName name="_xlnm._FilterDatabase" localSheetId="3" hidden="1">'1112'!$A$15:$AM$79</definedName>
    <definedName name="_xlnm._FilterDatabase" localSheetId="4" hidden="1">'1114'!$A$15:$AM$305</definedName>
    <definedName name="_xlnm.Print_Area" localSheetId="0">'1024'!$A$1:$AA$52</definedName>
    <definedName name="_xlnm.Print_Area" localSheetId="1">'1107'!$A$1:$AA$130</definedName>
    <definedName name="_xlnm.Print_Area" localSheetId="2">'1110'!$A$1:$AA$134</definedName>
    <definedName name="_xlnm.Print_Area" localSheetId="3">'1112'!$A$1:$AA$93</definedName>
    <definedName name="_xlnm.Print_Area" localSheetId="4">'1114'!$A$3:$AA$323</definedName>
    <definedName name="_xlnm.Print_Titles" localSheetId="4">'1114'!$15:$15</definedName>
  </definedNames>
  <calcPr calcId="152511"/>
</workbook>
</file>

<file path=xl/calcChain.xml><?xml version="1.0" encoding="utf-8"?>
<calcChain xmlns="http://schemas.openxmlformats.org/spreadsheetml/2006/main">
  <c r="Z138" i="20" l="1"/>
  <c r="AA291" i="20"/>
  <c r="Z296" i="20"/>
  <c r="AA296" i="20" s="1"/>
  <c r="Z297" i="20"/>
  <c r="AA297" i="20" s="1"/>
  <c r="Z298" i="20"/>
  <c r="AA298" i="20" s="1"/>
  <c r="Z241" i="20"/>
  <c r="AA241" i="20" s="1"/>
  <c r="Z283" i="20"/>
  <c r="AA283" i="20" s="1"/>
  <c r="Z284" i="20"/>
  <c r="AA284" i="20" s="1"/>
  <c r="Z285" i="20"/>
  <c r="AA285" i="20" s="1"/>
  <c r="Z286" i="20"/>
  <c r="AA286" i="20" s="1"/>
  <c r="Z214" i="20"/>
  <c r="Z219" i="20"/>
  <c r="AA219" i="20" s="1"/>
  <c r="Z220" i="20"/>
  <c r="Z221" i="20"/>
  <c r="AA221" i="20" s="1"/>
  <c r="Z222" i="20"/>
  <c r="AA222" i="20" s="1"/>
  <c r="Z225" i="20"/>
  <c r="Z226" i="20"/>
  <c r="Z228" i="20"/>
  <c r="AA228" i="20" s="1"/>
  <c r="Z231" i="20"/>
  <c r="AA231" i="20" s="1"/>
  <c r="Z233" i="20"/>
  <c r="Z168" i="20"/>
  <c r="Z169" i="20"/>
  <c r="AA169" i="20" s="1"/>
  <c r="Z184" i="20"/>
  <c r="Z192" i="20"/>
  <c r="Z197" i="20"/>
  <c r="Z200" i="20"/>
  <c r="AA200" i="20" s="1"/>
  <c r="Z202" i="20"/>
  <c r="Z203" i="20"/>
  <c r="AA203" i="20" s="1"/>
  <c r="Z204" i="20"/>
  <c r="Z205" i="20"/>
  <c r="Z207" i="20"/>
  <c r="Z156" i="20"/>
  <c r="Z158" i="20"/>
  <c r="Z159" i="20"/>
  <c r="AA159" i="20" s="1"/>
  <c r="Z98" i="20"/>
  <c r="AA98" i="20" s="1"/>
  <c r="Z99" i="20"/>
  <c r="AA99" i="20" s="1"/>
  <c r="Z105" i="20"/>
  <c r="AA105" i="20" s="1"/>
  <c r="Z111" i="20"/>
  <c r="Z113" i="20"/>
  <c r="Z114" i="20"/>
  <c r="Z120" i="20"/>
  <c r="Z122" i="20"/>
  <c r="Z124" i="20"/>
  <c r="AA124" i="20" s="1"/>
  <c r="Z126" i="20"/>
  <c r="Z127" i="20"/>
  <c r="Z128" i="20"/>
  <c r="Z129" i="20"/>
  <c r="Z130" i="20"/>
  <c r="Z131" i="20"/>
  <c r="Z132" i="20"/>
  <c r="AA132" i="20" s="1"/>
  <c r="Z134" i="20"/>
  <c r="Z75" i="20"/>
  <c r="Z76" i="20"/>
  <c r="Z77" i="20"/>
  <c r="Z67" i="20"/>
  <c r="AA67" i="20" s="1"/>
  <c r="Z60" i="20"/>
  <c r="AA60" i="20" s="1"/>
  <c r="Z62" i="20"/>
  <c r="Z63" i="20"/>
  <c r="Z65" i="20"/>
  <c r="AA65" i="20" s="1"/>
  <c r="Z55" i="20"/>
  <c r="AA55" i="20" s="1"/>
  <c r="Z49" i="20"/>
  <c r="Z50" i="20"/>
  <c r="Z44" i="20"/>
  <c r="AA44" i="20" s="1"/>
  <c r="Z36" i="20"/>
  <c r="AA36" i="20" s="1"/>
  <c r="Z34" i="20"/>
  <c r="Z33" i="20"/>
  <c r="Z31" i="20"/>
  <c r="Z30" i="20"/>
  <c r="Z28" i="20"/>
  <c r="Z27" i="20"/>
  <c r="Z24" i="20"/>
  <c r="Z25" i="20"/>
  <c r="Z23" i="20"/>
  <c r="Z17" i="20"/>
  <c r="AA17" i="20" s="1"/>
  <c r="Z18" i="20"/>
  <c r="AA18" i="20" s="1"/>
  <c r="Z19" i="20"/>
  <c r="AA19" i="20" s="1"/>
  <c r="Z20" i="20"/>
  <c r="Z21" i="20"/>
  <c r="Z16" i="20"/>
  <c r="AA16" i="20" s="1"/>
  <c r="Z54" i="20"/>
  <c r="Z53" i="20"/>
  <c r="Z52" i="20"/>
  <c r="AA52" i="20" s="1"/>
  <c r="X51" i="20"/>
  <c r="X66" i="20"/>
  <c r="X72" i="20"/>
  <c r="X78" i="20"/>
  <c r="T82" i="20"/>
  <c r="X86" i="20"/>
  <c r="X89" i="20"/>
  <c r="X302" i="20"/>
  <c r="X305" i="20"/>
  <c r="X22" i="20"/>
  <c r="W67" i="17" l="1"/>
  <c r="Y95" i="17"/>
  <c r="L119" i="17"/>
  <c r="L95" i="17"/>
  <c r="X289" i="20"/>
  <c r="X290" i="20" s="1"/>
  <c r="Y56" i="20" l="1"/>
  <c r="Y78" i="20"/>
  <c r="B23" i="20"/>
  <c r="Y206" i="20"/>
  <c r="Z206" i="20" s="1"/>
  <c r="Y40" i="20"/>
  <c r="Y312" i="20"/>
  <c r="Z312" i="20" s="1"/>
  <c r="Y45" i="20"/>
  <c r="Y302" i="20"/>
  <c r="Y305" i="20"/>
  <c r="Y84" i="20"/>
  <c r="Z84" i="20" s="1"/>
  <c r="Y88" i="20"/>
  <c r="Z88" i="20" s="1"/>
  <c r="Y89" i="20" l="1"/>
  <c r="Y86" i="20"/>
  <c r="Y35" i="20"/>
  <c r="Y32" i="20"/>
  <c r="Y29" i="20"/>
  <c r="Y26" i="20"/>
  <c r="Y22" i="20"/>
  <c r="Y48" i="20" l="1"/>
  <c r="Y51" i="20" s="1"/>
  <c r="Y58" i="20" l="1"/>
  <c r="Y61" i="20"/>
  <c r="Z61" i="20" s="1"/>
  <c r="Y59" i="20"/>
  <c r="Z59" i="20" s="1"/>
  <c r="Y257" i="20"/>
  <c r="Y104" i="20"/>
  <c r="Y103" i="20"/>
  <c r="Y94" i="20"/>
  <c r="Y101" i="20"/>
  <c r="Y294" i="20"/>
  <c r="Y293" i="20"/>
  <c r="Y292" i="20"/>
  <c r="Y289" i="20"/>
  <c r="Y290" i="20" s="1"/>
  <c r="Y282" i="20"/>
  <c r="Z282" i="20" s="1"/>
  <c r="Y281" i="20"/>
  <c r="Z281" i="20" s="1"/>
  <c r="Y280" i="20"/>
  <c r="Y279" i="20"/>
  <c r="Y278" i="20"/>
  <c r="Y277" i="20"/>
  <c r="Y276" i="20"/>
  <c r="Y275" i="20"/>
  <c r="Y274" i="20"/>
  <c r="Y273" i="20"/>
  <c r="Y272" i="20"/>
  <c r="Y271" i="20"/>
  <c r="Y270" i="20"/>
  <c r="Z270" i="20" s="1"/>
  <c r="Y269" i="20"/>
  <c r="Y268" i="20"/>
  <c r="Y267" i="20"/>
  <c r="Y266" i="20"/>
  <c r="Y263" i="20"/>
  <c r="Y261" i="20"/>
  <c r="Y260" i="20"/>
  <c r="Y259" i="20"/>
  <c r="Y258" i="20"/>
  <c r="Y256" i="20"/>
  <c r="Y255" i="20"/>
  <c r="Y254" i="20"/>
  <c r="Y252" i="20"/>
  <c r="Y250" i="20"/>
  <c r="Y249" i="20"/>
  <c r="Y299" i="20" l="1"/>
  <c r="Z58" i="20"/>
  <c r="Y247" i="20"/>
  <c r="Y244" i="20"/>
  <c r="Y243" i="20"/>
  <c r="Y240" i="20"/>
  <c r="Y239" i="20"/>
  <c r="Y238" i="20"/>
  <c r="Y237" i="20"/>
  <c r="Y236" i="20"/>
  <c r="Y224" i="20"/>
  <c r="Z224" i="20" s="1"/>
  <c r="Y223" i="20"/>
  <c r="Y218" i="20"/>
  <c r="Y217" i="20"/>
  <c r="Y216" i="20"/>
  <c r="Y215" i="20"/>
  <c r="Y210" i="20"/>
  <c r="Y201" i="20"/>
  <c r="Z201" i="20" s="1"/>
  <c r="Y199" i="20"/>
  <c r="Z199" i="20" s="1"/>
  <c r="Y198" i="20"/>
  <c r="Z198" i="20" s="1"/>
  <c r="Y196" i="20"/>
  <c r="Z196" i="20" s="1"/>
  <c r="Y195" i="20"/>
  <c r="Z195" i="20" s="1"/>
  <c r="Y191" i="20"/>
  <c r="Z191" i="20" s="1"/>
  <c r="Y190" i="20"/>
  <c r="Z190" i="20" s="1"/>
  <c r="Y189" i="20"/>
  <c r="Z189" i="20" s="1"/>
  <c r="Y188" i="20"/>
  <c r="Z188" i="20" s="1"/>
  <c r="Y187" i="20"/>
  <c r="Z187" i="20" s="1"/>
  <c r="Y186" i="20"/>
  <c r="Z186" i="20" s="1"/>
  <c r="Y185" i="20"/>
  <c r="Z185" i="20" s="1"/>
  <c r="Y183" i="20"/>
  <c r="Z183" i="20" s="1"/>
  <c r="Y182" i="20"/>
  <c r="Z182" i="20" s="1"/>
  <c r="Y181" i="20"/>
  <c r="Z181" i="20" s="1"/>
  <c r="Y180" i="20"/>
  <c r="Z180" i="20" s="1"/>
  <c r="Y179" i="20"/>
  <c r="Z179" i="20" s="1"/>
  <c r="Y178" i="20"/>
  <c r="Z178" i="20" s="1"/>
  <c r="Y177" i="20"/>
  <c r="Z177" i="20" s="1"/>
  <c r="Y176" i="20"/>
  <c r="Z176" i="20" s="1"/>
  <c r="Y175" i="20"/>
  <c r="Z175" i="20" s="1"/>
  <c r="Y173" i="20"/>
  <c r="Z173" i="20" s="1"/>
  <c r="Y172" i="20"/>
  <c r="Z172" i="20" s="1"/>
  <c r="Y171" i="20"/>
  <c r="Z171" i="20" s="1"/>
  <c r="Y170" i="20"/>
  <c r="Z170" i="20" s="1"/>
  <c r="Y167" i="20"/>
  <c r="Z167" i="20" s="1"/>
  <c r="Y166" i="20"/>
  <c r="Y165" i="20"/>
  <c r="Z165" i="20" s="1"/>
  <c r="Y164" i="20"/>
  <c r="Y163" i="20"/>
  <c r="Y162" i="20"/>
  <c r="Y157" i="20"/>
  <c r="Z157" i="20" s="1"/>
  <c r="Y155" i="20"/>
  <c r="Z155" i="20" s="1"/>
  <c r="Y154" i="20"/>
  <c r="Y153" i="20"/>
  <c r="Y152" i="20"/>
  <c r="Y151" i="20"/>
  <c r="Y150" i="20"/>
  <c r="Y149" i="20"/>
  <c r="Y148" i="20"/>
  <c r="Y147" i="20"/>
  <c r="Y146" i="20"/>
  <c r="Y145" i="20"/>
  <c r="Y144" i="20"/>
  <c r="Y143" i="20"/>
  <c r="Y142" i="20"/>
  <c r="Y141" i="20"/>
  <c r="Y137" i="20"/>
  <c r="Y139" i="20" s="1"/>
  <c r="Y68" i="20"/>
  <c r="Y232" i="20"/>
  <c r="Z232" i="20" s="1"/>
  <c r="Y133" i="20"/>
  <c r="Z133" i="20" s="1"/>
  <c r="Y64" i="20"/>
  <c r="Z64" i="20" s="1"/>
  <c r="Y123" i="20"/>
  <c r="Y119" i="20"/>
  <c r="Y117" i="20"/>
  <c r="Y116" i="20"/>
  <c r="Y112" i="20"/>
  <c r="Y110" i="20"/>
  <c r="Y109" i="20"/>
  <c r="Y108" i="20"/>
  <c r="Y106" i="20"/>
  <c r="Y234" i="20" l="1"/>
  <c r="Y160" i="20"/>
  <c r="Y208" i="20"/>
  <c r="Y287" i="20"/>
  <c r="Y66" i="20"/>
  <c r="Y97" i="20"/>
  <c r="Y96" i="20"/>
  <c r="Y81" i="20"/>
  <c r="Y39" i="20"/>
  <c r="Y42" i="20" s="1"/>
  <c r="Z81" i="20" l="1"/>
  <c r="AA81" i="20" s="1"/>
  <c r="Y82" i="20"/>
  <c r="Y135" i="20"/>
  <c r="Y27" i="19"/>
  <c r="Y47" i="19"/>
  <c r="Y56" i="19"/>
  <c r="Y51" i="19"/>
  <c r="Y41" i="19"/>
  <c r="Y45" i="19"/>
  <c r="Y77" i="19"/>
  <c r="Y76" i="19"/>
  <c r="Y79" i="19" s="1"/>
  <c r="Y71" i="19"/>
  <c r="Y70" i="19"/>
  <c r="Y74" i="19" s="1"/>
  <c r="Y62" i="19"/>
  <c r="Y61" i="19"/>
  <c r="Y60" i="19"/>
  <c r="Y59" i="19"/>
  <c r="Y58" i="19"/>
  <c r="Y57" i="19"/>
  <c r="Y55" i="19"/>
  <c r="Y54" i="19"/>
  <c r="Y53" i="19"/>
  <c r="Y49" i="19"/>
  <c r="Y48" i="19"/>
  <c r="Y44" i="19"/>
  <c r="Y42" i="19"/>
  <c r="Y40" i="19"/>
  <c r="Y38" i="19"/>
  <c r="Y37" i="19"/>
  <c r="Y36" i="19"/>
  <c r="Y35" i="19"/>
  <c r="Y34" i="19"/>
  <c r="Y33" i="19"/>
  <c r="Y32" i="19"/>
  <c r="Y31" i="19"/>
  <c r="Y30" i="19"/>
  <c r="Y29" i="19"/>
  <c r="Y28" i="19"/>
  <c r="Y26" i="19"/>
  <c r="Y25" i="19"/>
  <c r="Y24" i="19"/>
  <c r="Y23" i="19"/>
  <c r="Y22" i="19"/>
  <c r="Y21" i="19"/>
  <c r="Y20" i="19"/>
  <c r="Y19" i="19"/>
  <c r="Y18" i="19"/>
  <c r="Y17" i="19"/>
  <c r="Y86" i="19"/>
  <c r="Y67" i="19" l="1"/>
  <c r="Y21" i="18"/>
  <c r="Y84" i="18"/>
  <c r="Y94" i="18"/>
  <c r="Y98" i="18" s="1"/>
  <c r="Y95" i="18"/>
  <c r="Y96" i="18"/>
  <c r="Y124" i="18" l="1"/>
  <c r="Y112" i="18"/>
  <c r="Y117" i="18" s="1"/>
  <c r="Y108" i="18"/>
  <c r="Y110" i="18" s="1"/>
  <c r="Y104" i="18"/>
  <c r="Y103" i="18"/>
  <c r="Y102" i="18"/>
  <c r="Y101" i="18"/>
  <c r="Y100" i="18"/>
  <c r="Y89" i="18"/>
  <c r="Y88" i="18"/>
  <c r="Y87" i="18"/>
  <c r="Y86" i="18"/>
  <c r="Y85" i="18"/>
  <c r="Y83" i="18"/>
  <c r="Y82" i="18"/>
  <c r="Y81" i="18"/>
  <c r="Y80" i="18"/>
  <c r="Y78" i="18"/>
  <c r="Y77" i="18"/>
  <c r="Y73" i="18"/>
  <c r="Y72" i="18"/>
  <c r="Y71" i="18"/>
  <c r="Y70" i="18"/>
  <c r="Y69" i="18"/>
  <c r="Y68" i="18"/>
  <c r="Y67" i="18"/>
  <c r="Y66" i="18"/>
  <c r="Y65" i="18"/>
  <c r="Y64" i="18"/>
  <c r="Y63" i="18"/>
  <c r="Y61" i="18"/>
  <c r="Y60" i="18"/>
  <c r="Y59" i="18"/>
  <c r="Y57" i="18"/>
  <c r="Y56" i="18"/>
  <c r="Y53" i="18"/>
  <c r="Y51" i="18"/>
  <c r="Y50" i="18"/>
  <c r="Y48" i="18"/>
  <c r="Y47" i="18"/>
  <c r="Y46" i="18"/>
  <c r="Y45" i="18"/>
  <c r="Y44" i="18"/>
  <c r="Y43" i="18"/>
  <c r="Y42" i="18"/>
  <c r="Y41" i="18"/>
  <c r="Y40" i="18"/>
  <c r="Y39" i="18"/>
  <c r="Y38" i="18"/>
  <c r="Y37" i="18"/>
  <c r="Y36" i="18"/>
  <c r="Y35" i="18"/>
  <c r="Y31" i="18"/>
  <c r="Y30" i="18"/>
  <c r="Y29" i="18"/>
  <c r="Y28" i="18"/>
  <c r="Y27" i="18"/>
  <c r="Y26" i="18"/>
  <c r="Y24" i="18"/>
  <c r="Y33" i="18" s="1"/>
  <c r="Y92" i="18" l="1"/>
  <c r="Y106" i="18"/>
  <c r="Y106" i="17"/>
  <c r="Y29" i="17" l="1"/>
  <c r="Y75" i="17"/>
  <c r="Y50" i="17"/>
  <c r="Y38" i="17"/>
  <c r="Y107" i="17"/>
  <c r="Y91" i="17"/>
  <c r="Y52" i="17"/>
  <c r="Y56" i="17"/>
  <c r="Y73" i="17"/>
  <c r="Y22" i="17"/>
  <c r="Y54" i="17"/>
  <c r="Y85" i="17"/>
  <c r="Y77" i="17"/>
  <c r="Y78" i="17"/>
  <c r="Y99" i="17"/>
  <c r="Y97" i="17"/>
  <c r="Y53" i="17"/>
  <c r="Y25" i="17"/>
  <c r="Y27" i="17"/>
  <c r="Y19" i="17"/>
  <c r="Y59" i="17"/>
  <c r="Y76" i="17"/>
  <c r="Y60" i="17"/>
  <c r="Y44" i="17"/>
  <c r="Y26" i="17"/>
  <c r="Y18" i="17"/>
  <c r="Y96" i="17"/>
  <c r="Y74" i="17"/>
  <c r="Y17" i="17"/>
  <c r="Y64" i="17" s="1"/>
  <c r="Y24" i="17"/>
  <c r="Y83" i="17"/>
  <c r="Y80" i="17"/>
  <c r="Y28" i="17"/>
  <c r="Y87" i="17"/>
  <c r="Y84" i="17"/>
  <c r="Y21" i="17"/>
  <c r="Y37" i="17"/>
  <c r="Y98" i="17"/>
  <c r="Y20" i="17"/>
  <c r="Y66" i="17"/>
  <c r="Y79" i="17"/>
  <c r="Y82" i="17"/>
  <c r="Y35" i="17"/>
  <c r="Y23" i="17"/>
  <c r="Y100" i="17"/>
  <c r="Y34" i="17"/>
  <c r="Y40" i="17"/>
  <c r="Y67" i="17"/>
  <c r="Y30" i="17"/>
  <c r="Y39" i="17"/>
  <c r="Y57" i="17"/>
  <c r="Y48" i="17"/>
  <c r="Y51" i="17"/>
  <c r="Y92" i="17"/>
  <c r="Y121" i="17"/>
  <c r="Y45" i="4"/>
  <c r="Y36" i="4" l="1"/>
  <c r="Z34" i="4"/>
  <c r="Y34" i="4"/>
  <c r="Y33" i="4"/>
  <c r="Y18" i="4"/>
  <c r="Y17" i="4"/>
  <c r="Y21" i="4"/>
  <c r="Y19" i="4"/>
  <c r="Y27" i="4"/>
  <c r="Y23" i="4"/>
  <c r="Y29" i="4"/>
  <c r="Y32" i="4"/>
  <c r="Y22" i="4"/>
  <c r="Y20" i="4"/>
  <c r="L294" i="20" l="1"/>
  <c r="L293" i="20"/>
  <c r="L289" i="20"/>
  <c r="L282" i="20"/>
  <c r="AA282" i="20" s="1"/>
  <c r="L281" i="20"/>
  <c r="AA281" i="20" s="1"/>
  <c r="L280" i="20"/>
  <c r="L279" i="20"/>
  <c r="L278" i="20"/>
  <c r="L277" i="20"/>
  <c r="L276" i="20"/>
  <c r="L275" i="20"/>
  <c r="L269" i="20"/>
  <c r="L271" i="20"/>
  <c r="L268" i="20"/>
  <c r="L267" i="20"/>
  <c r="L263" i="20"/>
  <c r="L261" i="20"/>
  <c r="L260" i="20"/>
  <c r="L259" i="20"/>
  <c r="L258" i="20"/>
  <c r="L256" i="20"/>
  <c r="L255" i="20"/>
  <c r="L254" i="20"/>
  <c r="L252" i="20"/>
  <c r="L249" i="20"/>
  <c r="L247" i="20"/>
  <c r="L243" i="20"/>
  <c r="L239" i="20"/>
  <c r="L238" i="20"/>
  <c r="L237" i="20"/>
  <c r="L224" i="20"/>
  <c r="AA224" i="20" s="1"/>
  <c r="L226" i="20"/>
  <c r="AA226" i="20" s="1"/>
  <c r="L225" i="20"/>
  <c r="AA225" i="20" s="1"/>
  <c r="L223" i="20"/>
  <c r="L218" i="20"/>
  <c r="L217" i="20"/>
  <c r="L216" i="20"/>
  <c r="L215" i="20"/>
  <c r="L214" i="20"/>
  <c r="AA214" i="20" s="1"/>
  <c r="L185" i="20"/>
  <c r="AA185" i="20" s="1"/>
  <c r="L182" i="20"/>
  <c r="AA182" i="20" s="1"/>
  <c r="L181" i="20"/>
  <c r="AA181" i="20" s="1"/>
  <c r="L180" i="20"/>
  <c r="AA180" i="20" s="1"/>
  <c r="L179" i="20"/>
  <c r="AA179" i="20" s="1"/>
  <c r="L178" i="20"/>
  <c r="AA178" i="20" s="1"/>
  <c r="L177" i="20"/>
  <c r="AA177" i="20" s="1"/>
  <c r="L173" i="20"/>
  <c r="AA173" i="20" s="1"/>
  <c r="L171" i="20"/>
  <c r="AA171" i="20" s="1"/>
  <c r="L172" i="20"/>
  <c r="AA172" i="20" s="1"/>
  <c r="L170" i="20" l="1"/>
  <c r="AA170" i="20" s="1"/>
  <c r="L166" i="20"/>
  <c r="L165" i="20"/>
  <c r="AA165" i="20" s="1"/>
  <c r="L164" i="20"/>
  <c r="L163" i="20"/>
  <c r="L162" i="20"/>
  <c r="L154" i="20"/>
  <c r="L157" i="20"/>
  <c r="AA157" i="20" s="1"/>
  <c r="L156" i="20"/>
  <c r="AA156" i="20" s="1"/>
  <c r="L155" i="20"/>
  <c r="AA155" i="20" s="1"/>
  <c r="L153" i="20"/>
  <c r="L152" i="20"/>
  <c r="L151" i="20"/>
  <c r="L150" i="20"/>
  <c r="L149" i="20"/>
  <c r="L148" i="20"/>
  <c r="L142" i="20"/>
  <c r="L141" i="20"/>
  <c r="L312" i="20"/>
  <c r="AA312" i="20" s="1"/>
  <c r="AE134" i="20"/>
  <c r="AD134" i="20"/>
  <c r="L233" i="20"/>
  <c r="AA233" i="20" s="1"/>
  <c r="L158" i="20"/>
  <c r="AA158" i="20" s="1"/>
  <c r="L134" i="20"/>
  <c r="L131" i="20"/>
  <c r="AA131" i="20" s="1"/>
  <c r="L130" i="20"/>
  <c r="AA130" i="20" s="1"/>
  <c r="L129" i="20"/>
  <c r="AA129" i="20" s="1"/>
  <c r="L128" i="20"/>
  <c r="AA128" i="20" s="1"/>
  <c r="AD127" i="20"/>
  <c r="AD128" i="20"/>
  <c r="AD129" i="20"/>
  <c r="AD130" i="20"/>
  <c r="AD131" i="20"/>
  <c r="L127" i="20"/>
  <c r="AA127" i="20" s="1"/>
  <c r="AK134" i="20"/>
  <c r="AK131" i="20"/>
  <c r="AK130" i="20"/>
  <c r="AK129" i="20"/>
  <c r="AK128" i="20"/>
  <c r="AK127" i="20"/>
  <c r="AK126" i="20"/>
  <c r="AK123" i="20"/>
  <c r="AG134" i="20"/>
  <c r="AG131" i="20"/>
  <c r="AG130" i="20"/>
  <c r="AG129" i="20"/>
  <c r="AG128" i="20"/>
  <c r="AG127" i="20"/>
  <c r="AG126" i="20"/>
  <c r="AG123" i="20"/>
  <c r="L126" i="20"/>
  <c r="AA126" i="20" s="1"/>
  <c r="L123" i="20"/>
  <c r="L106" i="20"/>
  <c r="L220" i="20"/>
  <c r="AA220" i="20" s="1"/>
  <c r="L122" i="20"/>
  <c r="AA122" i="20" s="1"/>
  <c r="L119" i="20"/>
  <c r="L117" i="20"/>
  <c r="L116" i="20"/>
  <c r="L112" i="20"/>
  <c r="L110" i="20"/>
  <c r="L104" i="20"/>
  <c r="L103" i="20"/>
  <c r="L101" i="20"/>
  <c r="L96" i="20"/>
  <c r="AK133" i="20"/>
  <c r="AG133" i="20"/>
  <c r="AD133" i="20"/>
  <c r="L232" i="20"/>
  <c r="AA232" i="20" s="1"/>
  <c r="L133" i="20"/>
  <c r="AA133" i="20" s="1"/>
  <c r="L64" i="20"/>
  <c r="AA64" i="20" s="1"/>
  <c r="L63" i="20"/>
  <c r="AA63" i="20" s="1"/>
  <c r="AK54" i="20"/>
  <c r="AK50" i="20"/>
  <c r="AG54" i="20"/>
  <c r="AG50" i="20"/>
  <c r="AD54" i="20"/>
  <c r="AD50" i="20"/>
  <c r="L54" i="20"/>
  <c r="AA54" i="20" s="1"/>
  <c r="L50" i="20"/>
  <c r="AG53" i="20"/>
  <c r="AG49" i="20"/>
  <c r="AD53" i="20"/>
  <c r="AD49" i="20"/>
  <c r="L53" i="20"/>
  <c r="L49" i="20"/>
  <c r="L21" i="20"/>
  <c r="AA21" i="20" s="1"/>
  <c r="L28" i="20"/>
  <c r="AA28" i="20" s="1"/>
  <c r="L24" i="20"/>
  <c r="AA24" i="20" s="1"/>
  <c r="L20" i="20"/>
  <c r="AA20" i="20" s="1"/>
  <c r="AA22" i="20" s="1"/>
  <c r="AH53" i="20" l="1"/>
  <c r="AA53" i="20"/>
  <c r="AA56" i="20" s="1"/>
  <c r="AH134" i="20"/>
  <c r="AA134" i="20"/>
  <c r="AH49" i="20"/>
  <c r="AA49" i="20"/>
  <c r="AH50" i="20"/>
  <c r="AA50" i="20"/>
  <c r="AH133" i="20"/>
  <c r="AH126" i="20"/>
  <c r="AH54" i="20"/>
  <c r="L47" i="19" l="1"/>
  <c r="J47" i="19"/>
  <c r="L77" i="19"/>
  <c r="L62" i="19"/>
  <c r="L61" i="19"/>
  <c r="L59" i="19"/>
  <c r="L56" i="19"/>
  <c r="L51" i="19"/>
  <c r="L36" i="19"/>
  <c r="L30" i="19"/>
  <c r="L27" i="19"/>
  <c r="L17" i="19"/>
  <c r="L86" i="19"/>
  <c r="L104" i="18"/>
  <c r="L69" i="18"/>
  <c r="L68" i="18"/>
  <c r="L62" i="18"/>
  <c r="L58" i="18"/>
  <c r="L42" i="18"/>
  <c r="L41" i="18"/>
  <c r="L116" i="18"/>
  <c r="L95" i="18"/>
  <c r="L101" i="18"/>
  <c r="L89" i="18"/>
  <c r="L87" i="18"/>
  <c r="L84" i="18"/>
  <c r="L81" i="18"/>
  <c r="L94" i="18"/>
  <c r="L45" i="18"/>
  <c r="L28" i="18"/>
  <c r="L46" i="18"/>
  <c r="L66" i="18"/>
  <c r="L44" i="18"/>
  <c r="L72" i="18"/>
  <c r="L29" i="18"/>
  <c r="L73" i="18"/>
  <c r="L31" i="18"/>
  <c r="L21" i="18"/>
  <c r="L61" i="18"/>
  <c r="L26" i="18"/>
  <c r="L27" i="18"/>
  <c r="L30" i="18"/>
  <c r="L24" i="18"/>
  <c r="L71" i="18"/>
  <c r="L60" i="18"/>
  <c r="L56" i="18"/>
  <c r="L37" i="18"/>
  <c r="L50" i="18"/>
  <c r="L38" i="18"/>
  <c r="L40" i="18"/>
  <c r="L39" i="18"/>
  <c r="L59" i="18"/>
  <c r="L51" i="18"/>
  <c r="L114" i="18"/>
  <c r="L88" i="18"/>
  <c r="L113" i="18"/>
  <c r="L108" i="18"/>
  <c r="L78" i="17"/>
  <c r="L106" i="17"/>
  <c r="L91" i="17"/>
  <c r="L51" i="17"/>
  <c r="L100" i="17"/>
  <c r="L99" i="17"/>
  <c r="L97" i="17"/>
  <c r="L96" i="17"/>
  <c r="L77" i="17"/>
  <c r="L73" i="17"/>
  <c r="AK61" i="17"/>
  <c r="AG61" i="17"/>
  <c r="L61" i="17"/>
  <c r="AH61" i="17" s="1"/>
  <c r="L52" i="17"/>
  <c r="L121" i="17"/>
  <c r="L34" i="4"/>
  <c r="J270" i="20" l="1"/>
  <c r="J241" i="20"/>
  <c r="J238" i="20"/>
  <c r="J224" i="20"/>
  <c r="J214" i="20"/>
  <c r="J181" i="20"/>
  <c r="J169" i="20"/>
  <c r="J222" i="20"/>
  <c r="J166" i="20"/>
  <c r="J165" i="20"/>
  <c r="J153" i="20"/>
  <c r="J98" i="20"/>
  <c r="J218" i="20"/>
  <c r="J271" i="20"/>
  <c r="J117" i="20"/>
  <c r="J273" i="20"/>
  <c r="J275" i="20"/>
  <c r="J274" i="20"/>
  <c r="J277" i="20"/>
  <c r="J276" i="20"/>
  <c r="J38" i="20"/>
  <c r="J278" i="20"/>
  <c r="J279" i="20"/>
  <c r="J152" i="20"/>
  <c r="J154" i="20"/>
  <c r="J20" i="20"/>
  <c r="J163" i="20"/>
  <c r="J164" i="20"/>
  <c r="J49" i="20"/>
  <c r="AE49" i="20" l="1"/>
  <c r="J225" i="20"/>
  <c r="J226" i="20"/>
  <c r="J170" i="20"/>
  <c r="J171" i="20"/>
  <c r="J172" i="20"/>
  <c r="J285" i="20"/>
  <c r="J284" i="20"/>
  <c r="J283" i="20"/>
  <c r="J173" i="20"/>
  <c r="J176" i="20"/>
  <c r="J177" i="20"/>
  <c r="J178" i="20"/>
  <c r="J179" i="20"/>
  <c r="J180" i="20"/>
  <c r="J182" i="20"/>
  <c r="J50" i="20"/>
  <c r="J185" i="20"/>
  <c r="J21" i="20"/>
  <c r="J228" i="20"/>
  <c r="J156" i="20"/>
  <c r="J231" i="20"/>
  <c r="J200" i="20"/>
  <c r="J240" i="20"/>
  <c r="J244" i="20"/>
  <c r="AD126" i="20"/>
  <c r="J203" i="20"/>
  <c r="J268" i="20"/>
  <c r="J210" i="20"/>
  <c r="J144" i="20"/>
  <c r="J96" i="20"/>
  <c r="J247" i="20"/>
  <c r="J145" i="20"/>
  <c r="J263" i="20"/>
  <c r="J257" i="20"/>
  <c r="J293" i="20"/>
  <c r="J254" i="20"/>
  <c r="J272" i="20"/>
  <c r="J255" i="20"/>
  <c r="J119" i="20"/>
  <c r="J280" i="20"/>
  <c r="J127" i="20"/>
  <c r="J129" i="20"/>
  <c r="AE50" i="20" l="1"/>
  <c r="J236" i="20"/>
  <c r="J289" i="20"/>
  <c r="J25" i="20"/>
  <c r="J312" i="20"/>
  <c r="J61" i="19"/>
  <c r="J86" i="19"/>
  <c r="J101" i="18"/>
  <c r="J116" i="18"/>
  <c r="J81" i="18"/>
  <c r="J69" i="18"/>
  <c r="J42" i="18" l="1"/>
  <c r="J41" i="18" l="1"/>
  <c r="J94" i="18"/>
  <c r="J58" i="18"/>
  <c r="J68" i="18"/>
  <c r="J104" i="18"/>
  <c r="J113" i="18"/>
  <c r="J115" i="18"/>
  <c r="J57" i="18"/>
  <c r="J84" i="18"/>
  <c r="J88" i="18"/>
  <c r="J40" i="18"/>
  <c r="J37" i="18"/>
  <c r="AD61" i="17" l="1"/>
  <c r="J121" i="17"/>
  <c r="J45" i="4" l="1"/>
  <c r="L207" i="20" l="1"/>
  <c r="AA207" i="20" s="1"/>
  <c r="L206" i="20"/>
  <c r="AA206" i="20" s="1"/>
  <c r="L205" i="20" l="1"/>
  <c r="AA205" i="20" s="1"/>
  <c r="L202" i="20"/>
  <c r="AA202" i="20" s="1"/>
  <c r="L204" i="20"/>
  <c r="AA204" i="20" s="1"/>
  <c r="L201" i="20"/>
  <c r="AA201" i="20" s="1"/>
  <c r="L199" i="20"/>
  <c r="AA199" i="20" s="1"/>
  <c r="L198" i="20"/>
  <c r="AA198" i="20" s="1"/>
  <c r="L197" i="20"/>
  <c r="AA197" i="20" s="1"/>
  <c r="L196" i="20"/>
  <c r="AA196" i="20" s="1"/>
  <c r="L195" i="20"/>
  <c r="AA195" i="20" s="1"/>
  <c r="L192" i="20"/>
  <c r="AA192" i="20" s="1"/>
  <c r="L191" i="20"/>
  <c r="AA191" i="20" s="1"/>
  <c r="L190" i="20"/>
  <c r="AA190" i="20" s="1"/>
  <c r="L189" i="20"/>
  <c r="AA189" i="20" s="1"/>
  <c r="L188" i="20"/>
  <c r="AA188" i="20" s="1"/>
  <c r="L187" i="20"/>
  <c r="AA187" i="20" s="1"/>
  <c r="L186" i="20"/>
  <c r="AA186" i="20" s="1"/>
  <c r="L184" i="20"/>
  <c r="AA184" i="20" s="1"/>
  <c r="L183" i="20"/>
  <c r="AA183" i="20" s="1"/>
  <c r="L175" i="20"/>
  <c r="AA175" i="20" s="1"/>
  <c r="L167" i="20"/>
  <c r="AA167" i="20" s="1"/>
  <c r="J233" i="20" l="1"/>
  <c r="B134" i="20"/>
  <c r="J133" i="20"/>
  <c r="J207" i="20"/>
  <c r="AE133" i="20" l="1"/>
  <c r="B133" i="20"/>
  <c r="J202" i="20"/>
  <c r="J108" i="18" l="1"/>
  <c r="J110" i="18" s="1"/>
  <c r="J95" i="18" l="1"/>
  <c r="L96" i="18"/>
  <c r="J96" i="18"/>
  <c r="J98" i="18" l="1"/>
  <c r="J64" i="20"/>
  <c r="B90" i="20"/>
  <c r="B140" i="20"/>
  <c r="AE64" i="20" l="1"/>
  <c r="J232" i="20"/>
  <c r="J206" i="20"/>
  <c r="J155" i="20" l="1"/>
  <c r="J150" i="20"/>
  <c r="J147" i="20"/>
  <c r="J223" i="20" l="1"/>
  <c r="J281" i="20"/>
  <c r="J151" i="20"/>
  <c r="J148" i="20"/>
  <c r="C135" i="20"/>
  <c r="J110" i="20"/>
  <c r="J89" i="18"/>
  <c r="B93" i="18" l="1"/>
  <c r="B34" i="18"/>
  <c r="J128" i="20" l="1"/>
  <c r="AH131" i="20"/>
  <c r="AE131" i="20"/>
  <c r="B131" i="20"/>
  <c r="AH130" i="20"/>
  <c r="AE130" i="20"/>
  <c r="B130" i="20"/>
  <c r="AH129" i="20"/>
  <c r="AE129" i="20"/>
  <c r="B129" i="20"/>
  <c r="AH128" i="20"/>
  <c r="AE128" i="20"/>
  <c r="B128" i="20"/>
  <c r="AH127" i="20"/>
  <c r="AE127" i="20"/>
  <c r="B127" i="20"/>
  <c r="J118" i="20"/>
  <c r="J87" i="18" l="1"/>
  <c r="B99" i="18"/>
  <c r="B16" i="18"/>
  <c r="J34" i="4"/>
  <c r="B31" i="4"/>
  <c r="B37" i="4"/>
  <c r="J51" i="17"/>
  <c r="B16" i="17"/>
  <c r="B72" i="17"/>
  <c r="B104" i="17"/>
  <c r="B102" i="17"/>
  <c r="J162" i="20"/>
  <c r="J123" i="20"/>
  <c r="J44" i="18" l="1"/>
  <c r="B113" i="18" l="1"/>
  <c r="B114" i="18"/>
  <c r="B115" i="18"/>
  <c r="B116" i="18"/>
  <c r="B109" i="18"/>
  <c r="B101" i="18"/>
  <c r="B104" i="18"/>
  <c r="B105" i="18"/>
  <c r="B95" i="18"/>
  <c r="B96" i="18"/>
  <c r="B97" i="18"/>
  <c r="B37" i="18"/>
  <c r="B40" i="18"/>
  <c r="B41" i="18"/>
  <c r="B42" i="18"/>
  <c r="B44" i="18"/>
  <c r="B57" i="18"/>
  <c r="B58" i="18"/>
  <c r="B65" i="18"/>
  <c r="B68" i="18"/>
  <c r="B69" i="18"/>
  <c r="B70" i="18"/>
  <c r="B81" i="18"/>
  <c r="B84" i="18"/>
  <c r="B85" i="18"/>
  <c r="B87" i="18"/>
  <c r="B88" i="18"/>
  <c r="B89" i="18"/>
  <c r="B90" i="18"/>
  <c r="B91" i="18"/>
  <c r="B32" i="18"/>
  <c r="J38" i="18"/>
  <c r="B38" i="18" s="1"/>
  <c r="J100" i="17" l="1"/>
  <c r="AE100" i="17" s="1"/>
  <c r="AK101" i="17"/>
  <c r="AH101" i="17"/>
  <c r="AG101" i="17"/>
  <c r="AE101" i="17"/>
  <c r="AM101" i="17" s="1"/>
  <c r="AD101" i="17"/>
  <c r="Z101" i="17"/>
  <c r="AA101" i="17" s="1"/>
  <c r="B101" i="17"/>
  <c r="AK100" i="17"/>
  <c r="AH100" i="17"/>
  <c r="AG100" i="17"/>
  <c r="AD100" i="17"/>
  <c r="Z100" i="17"/>
  <c r="AA100" i="17" s="1"/>
  <c r="B100" i="17"/>
  <c r="AM100" i="17" l="1"/>
  <c r="J205" i="20"/>
  <c r="J73" i="17" l="1"/>
  <c r="J61" i="17" l="1"/>
  <c r="AE61" i="17" s="1"/>
  <c r="J95" i="17"/>
  <c r="J96" i="17" l="1"/>
  <c r="AK39" i="4"/>
  <c r="AH39" i="4"/>
  <c r="AG39" i="4"/>
  <c r="AE39" i="4"/>
  <c r="AM39" i="4" s="1"/>
  <c r="AD39" i="4"/>
  <c r="Z39" i="4"/>
  <c r="AA39" i="4" s="1"/>
  <c r="B39" i="4"/>
  <c r="J71" i="18" l="1"/>
  <c r="B71" i="18" s="1"/>
  <c r="J66" i="18"/>
  <c r="B66" i="18" s="1"/>
  <c r="J46" i="18"/>
  <c r="B46" i="18" s="1"/>
  <c r="J45" i="18"/>
  <c r="B45" i="18" s="1"/>
  <c r="J62" i="18"/>
  <c r="B62" i="18" s="1"/>
  <c r="J204" i="20"/>
  <c r="J60" i="18" l="1"/>
  <c r="B60" i="18" s="1"/>
  <c r="J112" i="18"/>
  <c r="J117" i="18" s="1"/>
  <c r="J79" i="18"/>
  <c r="B79" i="18" s="1"/>
  <c r="J59" i="18"/>
  <c r="B59" i="18" s="1"/>
  <c r="J116" i="20" l="1"/>
  <c r="J216" i="20"/>
  <c r="J217" i="20"/>
  <c r="J215" i="20"/>
  <c r="J106" i="20"/>
  <c r="J149" i="20" l="1"/>
  <c r="J39" i="18" l="1"/>
  <c r="B39" i="18" s="1"/>
  <c r="J51" i="18"/>
  <c r="B51" i="18" s="1"/>
  <c r="AK91" i="18"/>
  <c r="AH91" i="18"/>
  <c r="AG91" i="18"/>
  <c r="AE91" i="18"/>
  <c r="AM91" i="18" s="1"/>
  <c r="AD91" i="18"/>
  <c r="Z91" i="18"/>
  <c r="AA91" i="18" s="1"/>
  <c r="B35" i="17" l="1"/>
  <c r="B36" i="17"/>
  <c r="B41" i="17"/>
  <c r="B42" i="17"/>
  <c r="B45" i="17"/>
  <c r="B46" i="17"/>
  <c r="B47" i="17"/>
  <c r="B61" i="17"/>
  <c r="B62" i="17"/>
  <c r="B63" i="17"/>
  <c r="B96" i="17" l="1"/>
  <c r="Z61" i="17"/>
  <c r="AA61" i="17" s="1"/>
  <c r="B112" i="17"/>
  <c r="B105" i="17"/>
  <c r="B113" i="17"/>
  <c r="J21" i="17"/>
  <c r="B21" i="17" s="1"/>
  <c r="J60" i="17"/>
  <c r="B60" i="17" s="1"/>
  <c r="J58" i="17"/>
  <c r="B58" i="17" s="1"/>
  <c r="J48" i="17"/>
  <c r="B48" i="17" s="1"/>
  <c r="J77" i="17"/>
  <c r="J22" i="20" l="1"/>
  <c r="J59" i="19"/>
  <c r="J56" i="19"/>
  <c r="J51" i="19"/>
  <c r="J77" i="19"/>
  <c r="J71" i="19"/>
  <c r="J18" i="17"/>
  <c r="B18" i="17" s="1"/>
  <c r="J157" i="20" l="1"/>
  <c r="J112" i="20"/>
  <c r="J267" i="20"/>
  <c r="J259" i="20"/>
  <c r="J261" i="20"/>
  <c r="J239" i="20"/>
  <c r="J269" i="20"/>
  <c r="Y103" i="17" l="1"/>
  <c r="Y71" i="17"/>
  <c r="Z31" i="17"/>
  <c r="Z36" i="17"/>
  <c r="Z46" i="17"/>
  <c r="Z48" i="17"/>
  <c r="Z52" i="17"/>
  <c r="Z58" i="17"/>
  <c r="Z62" i="17"/>
  <c r="Z63" i="17"/>
  <c r="U121" i="20"/>
  <c r="Z121" i="20" s="1"/>
  <c r="AA121" i="20" s="1"/>
  <c r="Z89" i="20"/>
  <c r="Z85" i="20"/>
  <c r="Z56" i="20"/>
  <c r="X292" i="20"/>
  <c r="X149" i="20"/>
  <c r="X56" i="20"/>
  <c r="X45" i="20"/>
  <c r="W279" i="20"/>
  <c r="Z279" i="20" l="1"/>
  <c r="AA279" i="20" s="1"/>
  <c r="Z86" i="20"/>
  <c r="X279" i="20"/>
  <c r="X80" i="20"/>
  <c r="X293" i="20"/>
  <c r="X299" i="20" s="1"/>
  <c r="X227" i="20"/>
  <c r="Z227" i="20" s="1"/>
  <c r="AA227" i="20" s="1"/>
  <c r="X174" i="20"/>
  <c r="Z174" i="20" s="1"/>
  <c r="AA174" i="20" s="1"/>
  <c r="X146" i="20"/>
  <c r="X252" i="20"/>
  <c r="X194" i="20"/>
  <c r="Z194" i="20" s="1"/>
  <c r="AA194" i="20" s="1"/>
  <c r="X125" i="20"/>
  <c r="Z125" i="20" s="1"/>
  <c r="AA125" i="20" s="1"/>
  <c r="X41" i="20"/>
  <c r="Z41" i="20" s="1"/>
  <c r="AA41" i="20" s="1"/>
  <c r="X230" i="20"/>
  <c r="Z230" i="20" s="1"/>
  <c r="AA230" i="20" s="1"/>
  <c r="X229" i="20"/>
  <c r="Z229" i="20" s="1"/>
  <c r="X193" i="20"/>
  <c r="Z193" i="20" s="1"/>
  <c r="AA193" i="20" s="1"/>
  <c r="X115" i="20"/>
  <c r="X271" i="20"/>
  <c r="X223" i="20"/>
  <c r="Z223" i="20" s="1"/>
  <c r="AA223" i="20" s="1"/>
  <c r="X123" i="20"/>
  <c r="Z123" i="20" s="1"/>
  <c r="AA123" i="20" s="1"/>
  <c r="X108" i="20"/>
  <c r="X39" i="20"/>
  <c r="X267" i="20"/>
  <c r="X273" i="20"/>
  <c r="X144" i="20"/>
  <c r="X250" i="20"/>
  <c r="X145" i="20"/>
  <c r="X152" i="20"/>
  <c r="Z152" i="20" s="1"/>
  <c r="AA152" i="20" s="1"/>
  <c r="X249" i="20"/>
  <c r="X263" i="20"/>
  <c r="X96" i="20"/>
  <c r="X280" i="20"/>
  <c r="Z280" i="20" s="1"/>
  <c r="AA280" i="20" s="1"/>
  <c r="X37" i="20"/>
  <c r="X106" i="20"/>
  <c r="X244" i="20"/>
  <c r="X119" i="20"/>
  <c r="X276" i="20"/>
  <c r="X261" i="20"/>
  <c r="X103" i="20"/>
  <c r="X141" i="20"/>
  <c r="X112" i="20"/>
  <c r="X254" i="20"/>
  <c r="X163" i="20"/>
  <c r="Z163" i="20" s="1"/>
  <c r="AA163" i="20" s="1"/>
  <c r="X164" i="20"/>
  <c r="Z164" i="20" s="1"/>
  <c r="AA164" i="20" s="1"/>
  <c r="X166" i="20"/>
  <c r="Z166" i="20" s="1"/>
  <c r="AA166" i="20" s="1"/>
  <c r="X162" i="20"/>
  <c r="X154" i="20"/>
  <c r="Z154" i="20" s="1"/>
  <c r="AA154" i="20" s="1"/>
  <c r="X150" i="20"/>
  <c r="W149" i="20"/>
  <c r="Z149" i="20" s="1"/>
  <c r="AA149" i="20" s="1"/>
  <c r="X208" i="20" l="1"/>
  <c r="Z80" i="20"/>
  <c r="AA80" i="20" s="1"/>
  <c r="X82" i="20"/>
  <c r="Z66" i="20"/>
  <c r="B68" i="19"/>
  <c r="B16" i="19"/>
  <c r="B75" i="19"/>
  <c r="X256" i="20"/>
  <c r="X143" i="20"/>
  <c r="X218" i="20"/>
  <c r="X151" i="20"/>
  <c r="X148" i="20"/>
  <c r="X153" i="20"/>
  <c r="X147" i="20"/>
  <c r="X142" i="20"/>
  <c r="X160" i="20" s="1"/>
  <c r="X109" i="20"/>
  <c r="X255" i="20"/>
  <c r="X236" i="20"/>
  <c r="X277" i="20"/>
  <c r="X258" i="20"/>
  <c r="X259" i="20"/>
  <c r="X239" i="20"/>
  <c r="X238" i="20"/>
  <c r="X237" i="20"/>
  <c r="X260" i="20"/>
  <c r="X110" i="20"/>
  <c r="X116" i="20"/>
  <c r="X97" i="20"/>
  <c r="X40" i="20"/>
  <c r="X42" i="20" s="1"/>
  <c r="X240" i="20"/>
  <c r="X274" i="20"/>
  <c r="X257" i="20"/>
  <c r="X210" i="20"/>
  <c r="X117" i="20"/>
  <c r="X243" i="20"/>
  <c r="X94" i="20"/>
  <c r="X137" i="20"/>
  <c r="X139" i="20" s="1"/>
  <c r="X247" i="20"/>
  <c r="X215" i="20"/>
  <c r="X268" i="20"/>
  <c r="X278" i="20"/>
  <c r="X217" i="20"/>
  <c r="X216" i="20"/>
  <c r="X275" i="20"/>
  <c r="X269" i="20"/>
  <c r="X266" i="20"/>
  <c r="X104" i="20"/>
  <c r="X101" i="20"/>
  <c r="X19" i="19"/>
  <c r="X50" i="19"/>
  <c r="X49" i="19"/>
  <c r="X60" i="19"/>
  <c r="Z60" i="19"/>
  <c r="Z61" i="19"/>
  <c r="X20" i="19"/>
  <c r="X34" i="19"/>
  <c r="X40" i="19"/>
  <c r="X69" i="19"/>
  <c r="X18" i="19"/>
  <c r="X58" i="19"/>
  <c r="X57" i="19"/>
  <c r="X77" i="19"/>
  <c r="X51" i="19"/>
  <c r="X76" i="19"/>
  <c r="X79" i="19" s="1"/>
  <c r="X43" i="19"/>
  <c r="X37" i="19"/>
  <c r="X31" i="19"/>
  <c r="X71" i="19"/>
  <c r="X36" i="19"/>
  <c r="X35" i="19"/>
  <c r="X41" i="19"/>
  <c r="X42" i="19"/>
  <c r="X70" i="19"/>
  <c r="X55" i="19"/>
  <c r="X45" i="19"/>
  <c r="X29" i="19"/>
  <c r="X30" i="19"/>
  <c r="X47" i="19"/>
  <c r="X32" i="19"/>
  <c r="X54" i="19"/>
  <c r="X53" i="19"/>
  <c r="X33" i="19"/>
  <c r="X23" i="19"/>
  <c r="X21" i="19"/>
  <c r="X22" i="19"/>
  <c r="X25" i="19"/>
  <c r="X28" i="19"/>
  <c r="X27" i="19"/>
  <c r="X26" i="19"/>
  <c r="X59" i="19"/>
  <c r="X17" i="19"/>
  <c r="X24" i="19"/>
  <c r="X56" i="19"/>
  <c r="X70" i="18"/>
  <c r="X55" i="18"/>
  <c r="X21" i="18"/>
  <c r="X56" i="18"/>
  <c r="X28" i="18"/>
  <c r="X50" i="18"/>
  <c r="X31" i="18"/>
  <c r="X72" i="18"/>
  <c r="X30" i="18"/>
  <c r="X73" i="18"/>
  <c r="X96" i="18"/>
  <c r="X26" i="18"/>
  <c r="X101" i="18"/>
  <c r="X24" i="18"/>
  <c r="X29" i="18"/>
  <c r="X71" i="18"/>
  <c r="X27" i="18"/>
  <c r="X57" i="18"/>
  <c r="X94" i="18"/>
  <c r="X95" i="18"/>
  <c r="X68" i="18"/>
  <c r="X42" i="18"/>
  <c r="X82" i="18"/>
  <c r="X36" i="18"/>
  <c r="X64" i="18"/>
  <c r="X80" i="18"/>
  <c r="X47" i="18"/>
  <c r="X35" i="18"/>
  <c r="X45" i="18"/>
  <c r="X51" i="18"/>
  <c r="X59" i="18"/>
  <c r="X46" i="18"/>
  <c r="X60" i="18"/>
  <c r="X78" i="18"/>
  <c r="X65" i="18"/>
  <c r="X63" i="18"/>
  <c r="X61" i="18"/>
  <c r="X81" i="18"/>
  <c r="X77" i="18"/>
  <c r="X100" i="18"/>
  <c r="X53" i="18"/>
  <c r="X37" i="18"/>
  <c r="X43" i="18"/>
  <c r="X66" i="18"/>
  <c r="X40" i="18"/>
  <c r="X38" i="18"/>
  <c r="X44" i="18"/>
  <c r="X39" i="18"/>
  <c r="X102" i="18"/>
  <c r="X103" i="18"/>
  <c r="X48" i="18"/>
  <c r="X59" i="17"/>
  <c r="Z59" i="17" s="1"/>
  <c r="X67" i="17"/>
  <c r="X60" i="17"/>
  <c r="X93" i="17"/>
  <c r="X51" i="17"/>
  <c r="X83" i="17"/>
  <c r="X110" i="17"/>
  <c r="X96" i="17"/>
  <c r="Z96" i="17" s="1"/>
  <c r="X114" i="17"/>
  <c r="X98" i="17"/>
  <c r="X57" i="17"/>
  <c r="Z57" i="17" s="1"/>
  <c r="X97" i="17"/>
  <c r="X25" i="17"/>
  <c r="X53" i="17"/>
  <c r="X54" i="17"/>
  <c r="X28" i="17"/>
  <c r="X66" i="17"/>
  <c r="X44" i="17"/>
  <c r="X39" i="17"/>
  <c r="X80" i="17"/>
  <c r="X50" i="17"/>
  <c r="X27" i="17"/>
  <c r="X21" i="17"/>
  <c r="X18" i="17"/>
  <c r="X73" i="17"/>
  <c r="X79" i="17"/>
  <c r="X19" i="17"/>
  <c r="X29" i="17"/>
  <c r="X22" i="17"/>
  <c r="X56" i="17"/>
  <c r="X17" i="17"/>
  <c r="X23" i="17"/>
  <c r="X74" i="17"/>
  <c r="X75" i="17"/>
  <c r="X82" i="17"/>
  <c r="X77" i="17"/>
  <c r="X78" i="17"/>
  <c r="X76" i="17"/>
  <c r="X84" i="17"/>
  <c r="X35" i="17"/>
  <c r="X20" i="17"/>
  <c r="X37" i="17"/>
  <c r="X40" i="17"/>
  <c r="X38" i="17"/>
  <c r="X85" i="17"/>
  <c r="X24" i="17"/>
  <c r="X34" i="17"/>
  <c r="X30" i="17"/>
  <c r="X26" i="17"/>
  <c r="X87" i="17"/>
  <c r="X19" i="4"/>
  <c r="X21" i="4"/>
  <c r="X33" i="4"/>
  <c r="X22" i="4"/>
  <c r="X27" i="4"/>
  <c r="X24" i="4"/>
  <c r="X18" i="4"/>
  <c r="X20" i="4"/>
  <c r="X17" i="4"/>
  <c r="X23" i="4"/>
  <c r="X234" i="20" l="1"/>
  <c r="X135" i="20"/>
  <c r="X287" i="20"/>
  <c r="Z82" i="20"/>
  <c r="X67" i="19"/>
  <c r="X74" i="19"/>
  <c r="X71" i="17"/>
  <c r="X103" i="17"/>
  <c r="X64" i="17"/>
  <c r="B79" i="20"/>
  <c r="B17" i="20"/>
  <c r="X116" i="17" l="1"/>
  <c r="X122" i="17" s="1"/>
  <c r="L34" i="20"/>
  <c r="AA34" i="20" s="1"/>
  <c r="L168" i="20"/>
  <c r="AA168" i="20" s="1"/>
  <c r="L118" i="20" l="1"/>
  <c r="L115" i="20"/>
  <c r="L270" i="20"/>
  <c r="AA270" i="20" s="1"/>
  <c r="L253" i="20"/>
  <c r="L244" i="20"/>
  <c r="L236" i="20"/>
  <c r="L302" i="20"/>
  <c r="L82" i="20"/>
  <c r="L56" i="20"/>
  <c r="L51" i="20"/>
  <c r="L45" i="20"/>
  <c r="L35" i="20"/>
  <c r="L32" i="20"/>
  <c r="L29" i="20"/>
  <c r="L26" i="20"/>
  <c r="L22" i="20"/>
  <c r="L305" i="20"/>
  <c r="AG125" i="20"/>
  <c r="AD125" i="20"/>
  <c r="L62" i="20"/>
  <c r="AA62" i="20" s="1"/>
  <c r="L94" i="20"/>
  <c r="L109" i="20"/>
  <c r="L147" i="20"/>
  <c r="L137" i="20"/>
  <c r="L229" i="20"/>
  <c r="AA229" i="20" s="1"/>
  <c r="L97" i="20"/>
  <c r="L138" i="20"/>
  <c r="K138" i="20"/>
  <c r="L53" i="18"/>
  <c r="L64" i="18"/>
  <c r="L77" i="18"/>
  <c r="L78" i="18"/>
  <c r="L102" i="18"/>
  <c r="L47" i="18"/>
  <c r="L48" i="18"/>
  <c r="L100" i="18"/>
  <c r="L43" i="18"/>
  <c r="L112" i="18"/>
  <c r="L18" i="17"/>
  <c r="L110" i="17"/>
  <c r="L85" i="17"/>
  <c r="L24" i="17"/>
  <c r="L29" i="17"/>
  <c r="L25" i="17"/>
  <c r="L30" i="17"/>
  <c r="L82" i="17"/>
  <c r="L58" i="17"/>
  <c r="AH138" i="20" l="1"/>
  <c r="AA138" i="20"/>
  <c r="L139" i="20"/>
  <c r="L290" i="20"/>
  <c r="J45" i="20"/>
  <c r="J32" i="20"/>
  <c r="B161" i="20"/>
  <c r="J253" i="20"/>
  <c r="AD25" i="20"/>
  <c r="J126" i="20" l="1"/>
  <c r="J30" i="19" l="1"/>
  <c r="J17" i="19"/>
  <c r="J27" i="19" l="1"/>
  <c r="J36" i="19"/>
  <c r="AK65" i="19"/>
  <c r="AH65" i="19"/>
  <c r="AG65" i="19"/>
  <c r="AE65" i="19"/>
  <c r="AM65" i="19" s="1"/>
  <c r="AD65" i="19"/>
  <c r="Z65" i="19"/>
  <c r="AA65" i="19" s="1"/>
  <c r="B65" i="19"/>
  <c r="AK64" i="19"/>
  <c r="AH64" i="19"/>
  <c r="AG64" i="19"/>
  <c r="AE64" i="19"/>
  <c r="AM64" i="19" s="1"/>
  <c r="AD64" i="19"/>
  <c r="Z64" i="19"/>
  <c r="AA64" i="19" s="1"/>
  <c r="B64" i="19"/>
  <c r="AK63" i="19"/>
  <c r="AH63" i="19"/>
  <c r="AG63" i="19"/>
  <c r="AE63" i="19"/>
  <c r="AM63" i="19" s="1"/>
  <c r="AD63" i="19"/>
  <c r="Z63" i="19"/>
  <c r="AA63" i="19" s="1"/>
  <c r="B63" i="19"/>
  <c r="J168" i="20" l="1"/>
  <c r="J138" i="20"/>
  <c r="J68" i="20" l="1"/>
  <c r="J115" i="20"/>
  <c r="J292" i="20"/>
  <c r="AD200" i="20"/>
  <c r="AD201" i="20"/>
  <c r="J201" i="20" l="1"/>
  <c r="L49" i="19" l="1"/>
  <c r="AA25" i="20" l="1"/>
  <c r="O26" i="20"/>
  <c r="P26" i="20"/>
  <c r="Q26" i="20"/>
  <c r="R26" i="20"/>
  <c r="S26" i="20"/>
  <c r="T26" i="20"/>
  <c r="U26" i="20"/>
  <c r="V26" i="20"/>
  <c r="W26" i="20"/>
  <c r="X26" i="20"/>
  <c r="N26" i="20"/>
  <c r="B25" i="20" l="1"/>
  <c r="AE25" i="20"/>
  <c r="J252" i="20"/>
  <c r="J104" i="20"/>
  <c r="J101" i="20"/>
  <c r="J256" i="20"/>
  <c r="J237" i="20"/>
  <c r="J243" i="20"/>
  <c r="J103" i="20"/>
  <c r="J258" i="20"/>
  <c r="J62" i="19"/>
  <c r="J97" i="17"/>
  <c r="B97" i="17" s="1"/>
  <c r="AE228" i="20"/>
  <c r="AE232" i="20"/>
  <c r="AE233" i="20"/>
  <c r="AK96" i="17"/>
  <c r="AD60" i="17" l="1"/>
  <c r="AD163" i="20"/>
  <c r="AD164" i="20"/>
  <c r="AD165" i="20"/>
  <c r="AD166" i="20"/>
  <c r="AD167" i="20"/>
  <c r="AD168" i="20"/>
  <c r="AD169" i="20"/>
  <c r="AD170" i="20"/>
  <c r="AD171" i="20"/>
  <c r="AD172" i="20"/>
  <c r="AD173" i="20"/>
  <c r="AD174" i="20"/>
  <c r="AD175" i="20"/>
  <c r="AD176" i="20"/>
  <c r="AD177" i="20"/>
  <c r="AD178" i="20"/>
  <c r="AD179" i="20"/>
  <c r="AD180" i="20"/>
  <c r="AD181" i="20"/>
  <c r="AD182" i="20"/>
  <c r="AD183" i="20"/>
  <c r="AD184" i="20"/>
  <c r="AD185" i="20"/>
  <c r="AD186" i="20"/>
  <c r="AD187" i="20"/>
  <c r="AD188" i="20"/>
  <c r="AD189" i="20"/>
  <c r="AD190" i="20"/>
  <c r="AD191" i="20"/>
  <c r="AD192" i="20"/>
  <c r="AD193" i="20"/>
  <c r="AD194" i="20"/>
  <c r="AD195" i="20"/>
  <c r="AD196" i="20"/>
  <c r="AD197" i="20"/>
  <c r="AD198" i="20"/>
  <c r="AD199" i="20"/>
  <c r="AD202" i="20"/>
  <c r="AD203" i="20"/>
  <c r="AD204" i="20"/>
  <c r="AD205" i="20"/>
  <c r="AD206" i="20"/>
  <c r="AD207" i="20"/>
  <c r="AD162" i="20"/>
  <c r="AK90" i="18" l="1"/>
  <c r="AH90" i="18"/>
  <c r="AG90" i="18"/>
  <c r="AE90" i="18"/>
  <c r="AM90" i="18" s="1"/>
  <c r="AD90" i="18"/>
  <c r="Z90" i="18"/>
  <c r="AA90" i="18" s="1"/>
  <c r="AK89" i="18"/>
  <c r="AH89" i="18"/>
  <c r="AG89" i="18"/>
  <c r="AE89" i="18"/>
  <c r="AM89" i="18" s="1"/>
  <c r="AD89" i="18"/>
  <c r="Z89" i="18"/>
  <c r="AA89" i="18" s="1"/>
  <c r="J31" i="18" l="1"/>
  <c r="B31" i="18" s="1"/>
  <c r="J30" i="18"/>
  <c r="B30" i="18" s="1"/>
  <c r="J29" i="18"/>
  <c r="B29" i="18" s="1"/>
  <c r="J28" i="18"/>
  <c r="B28" i="18" s="1"/>
  <c r="J26" i="18"/>
  <c r="B26" i="18" s="1"/>
  <c r="J24" i="18"/>
  <c r="B24" i="18" s="1"/>
  <c r="J27" i="18"/>
  <c r="B27" i="18" s="1"/>
  <c r="J73" i="18"/>
  <c r="B73" i="18" s="1"/>
  <c r="J72" i="18"/>
  <c r="B72" i="18" s="1"/>
  <c r="J61" i="18"/>
  <c r="B61" i="18" s="1"/>
  <c r="J21" i="18"/>
  <c r="B21" i="18" s="1"/>
  <c r="J50" i="18"/>
  <c r="B50" i="18" s="1"/>
  <c r="J56" i="18"/>
  <c r="B56" i="18" s="1"/>
  <c r="J98" i="17" l="1"/>
  <c r="B98" i="17" s="1"/>
  <c r="J59" i="17"/>
  <c r="B59" i="17" s="1"/>
  <c r="J57" i="17"/>
  <c r="B57" i="17" s="1"/>
  <c r="J109" i="17"/>
  <c r="B109" i="17" s="1"/>
  <c r="V74" i="20" l="1"/>
  <c r="J63" i="20" l="1"/>
  <c r="J282" i="20"/>
  <c r="J249" i="20" l="1"/>
  <c r="J94" i="20"/>
  <c r="J260" i="20"/>
  <c r="J109" i="20"/>
  <c r="J142" i="20"/>
  <c r="J141" i="20"/>
  <c r="AE231" i="20" l="1"/>
  <c r="J221" i="20"/>
  <c r="J48" i="18"/>
  <c r="B48" i="18" s="1"/>
  <c r="J53" i="18"/>
  <c r="B53" i="18" s="1"/>
  <c r="J47" i="18"/>
  <c r="B47" i="18" s="1"/>
  <c r="J43" i="18"/>
  <c r="B43" i="18" s="1"/>
  <c r="J100" i="18"/>
  <c r="J64" i="18"/>
  <c r="B64" i="18" s="1"/>
  <c r="J78" i="18"/>
  <c r="B78" i="18" s="1"/>
  <c r="J102" i="18"/>
  <c r="B102" i="18" s="1"/>
  <c r="J77" i="18"/>
  <c r="B77" i="18" s="1"/>
  <c r="J85" i="17" l="1"/>
  <c r="J78" i="17"/>
  <c r="J199" i="20" l="1"/>
  <c r="J198" i="20"/>
  <c r="J197" i="20"/>
  <c r="J196" i="20"/>
  <c r="J195" i="20"/>
  <c r="AK204" i="20"/>
  <c r="AH204" i="20"/>
  <c r="AG204" i="20"/>
  <c r="AE204" i="20"/>
  <c r="B204" i="20"/>
  <c r="AK203" i="20"/>
  <c r="AH203" i="20"/>
  <c r="AG203" i="20"/>
  <c r="AE203" i="20"/>
  <c r="B203" i="20"/>
  <c r="AK202" i="20"/>
  <c r="AH202" i="20"/>
  <c r="AG202" i="20"/>
  <c r="AE202" i="20"/>
  <c r="AM202" i="20" s="1"/>
  <c r="B202" i="20"/>
  <c r="AK201" i="20"/>
  <c r="AH201" i="20"/>
  <c r="AG201" i="20"/>
  <c r="AE201" i="20"/>
  <c r="AM201" i="20" s="1"/>
  <c r="B201" i="20"/>
  <c r="AK200" i="20"/>
  <c r="AH200" i="20"/>
  <c r="AG200" i="20"/>
  <c r="AE200" i="20"/>
  <c r="B200" i="20"/>
  <c r="AK199" i="20"/>
  <c r="AH199" i="20"/>
  <c r="AG199" i="20"/>
  <c r="AK198" i="20"/>
  <c r="AH198" i="20"/>
  <c r="AG198" i="20"/>
  <c r="AK197" i="20"/>
  <c r="AH197" i="20"/>
  <c r="AG197" i="20"/>
  <c r="AE197" i="20"/>
  <c r="B197" i="20"/>
  <c r="AE198" i="20" l="1"/>
  <c r="AE199" i="20"/>
  <c r="AM199" i="20" s="1"/>
  <c r="AM203" i="20"/>
  <c r="AM200" i="20"/>
  <c r="AM204" i="20"/>
  <c r="AM197" i="20"/>
  <c r="AM198" i="20"/>
  <c r="B198" i="20"/>
  <c r="B199" i="20"/>
  <c r="L79" i="19" l="1"/>
  <c r="L44" i="19"/>
  <c r="L19" i="18"/>
  <c r="L85" i="18" l="1"/>
  <c r="L86" i="18"/>
  <c r="L83" i="18"/>
  <c r="L63" i="18"/>
  <c r="L79" i="18"/>
  <c r="J28" i="19"/>
  <c r="J79" i="19" l="1"/>
  <c r="J25" i="18"/>
  <c r="B25" i="18" s="1"/>
  <c r="J19" i="18"/>
  <c r="B19" i="18" s="1"/>
  <c r="J189" i="20" l="1"/>
  <c r="J188" i="20"/>
  <c r="J187" i="20"/>
  <c r="J186" i="20"/>
  <c r="J184" i="20"/>
  <c r="J183" i="20"/>
  <c r="J175" i="20"/>
  <c r="J167" i="20"/>
  <c r="J192" i="20"/>
  <c r="J294" i="20" l="1"/>
  <c r="J194" i="20" l="1"/>
  <c r="O42" i="20"/>
  <c r="P42" i="20"/>
  <c r="Q42" i="20"/>
  <c r="R42" i="20"/>
  <c r="S42" i="20"/>
  <c r="T42" i="20"/>
  <c r="U42" i="20"/>
  <c r="N42" i="20"/>
  <c r="B36" i="20"/>
  <c r="J137" i="20"/>
  <c r="AK138" i="20"/>
  <c r="AG138" i="20"/>
  <c r="R139" i="20"/>
  <c r="T139" i="20"/>
  <c r="Q139" i="20"/>
  <c r="B136" i="20"/>
  <c r="B235" i="20"/>
  <c r="AK157" i="20"/>
  <c r="AH157" i="20"/>
  <c r="AG157" i="20"/>
  <c r="AE157" i="20"/>
  <c r="AD157" i="20"/>
  <c r="B157" i="20"/>
  <c r="AK156" i="20"/>
  <c r="AH156" i="20"/>
  <c r="AG156" i="20"/>
  <c r="AE156" i="20"/>
  <c r="AM156" i="20" s="1"/>
  <c r="AD156" i="20"/>
  <c r="B156" i="20"/>
  <c r="AK114" i="18"/>
  <c r="AH114" i="18"/>
  <c r="AG114" i="18"/>
  <c r="AE114" i="18"/>
  <c r="AM114" i="18" s="1"/>
  <c r="AD114" i="18"/>
  <c r="Z114" i="18"/>
  <c r="AA114" i="18" s="1"/>
  <c r="AK113" i="18"/>
  <c r="AH113" i="18"/>
  <c r="AG113" i="18"/>
  <c r="AE113" i="18"/>
  <c r="AM113" i="18" s="1"/>
  <c r="AD113" i="18"/>
  <c r="Z113" i="18"/>
  <c r="AA113" i="18" s="1"/>
  <c r="AM157" i="20" l="1"/>
  <c r="J34" i="20"/>
  <c r="J35" i="20" l="1"/>
  <c r="J191" i="20"/>
  <c r="J190" i="20"/>
  <c r="AK64" i="20"/>
  <c r="AH64" i="20"/>
  <c r="AG64" i="20"/>
  <c r="AD64" i="20"/>
  <c r="B64" i="20"/>
  <c r="AK63" i="20"/>
  <c r="AH63" i="20"/>
  <c r="AG63" i="20"/>
  <c r="AE63" i="20"/>
  <c r="AD63" i="20"/>
  <c r="B63" i="20"/>
  <c r="AK62" i="20"/>
  <c r="AH62" i="20"/>
  <c r="AG62" i="20"/>
  <c r="AE62" i="20"/>
  <c r="AD62" i="20"/>
  <c r="B62" i="20"/>
  <c r="J230" i="20"/>
  <c r="AK232" i="20"/>
  <c r="AH232" i="20"/>
  <c r="AG232" i="20"/>
  <c r="AD232" i="20"/>
  <c r="B232" i="20"/>
  <c r="AK231" i="20"/>
  <c r="AH231" i="20"/>
  <c r="AG231" i="20"/>
  <c r="AD231" i="20"/>
  <c r="B231" i="20"/>
  <c r="AK230" i="20"/>
  <c r="AH230" i="20"/>
  <c r="AG230" i="20"/>
  <c r="AD230" i="20"/>
  <c r="AE230" i="20" l="1"/>
  <c r="B230" i="20"/>
  <c r="J21" i="19"/>
  <c r="J97" i="20"/>
  <c r="J193" i="20" l="1"/>
  <c r="J229" i="20"/>
  <c r="AE229" i="20" l="1"/>
  <c r="AG81" i="18"/>
  <c r="L25" i="18"/>
  <c r="J91" i="17" l="1"/>
  <c r="L74" i="17"/>
  <c r="L66" i="17"/>
  <c r="J66" i="17"/>
  <c r="J56" i="17"/>
  <c r="B56" i="17" s="1"/>
  <c r="J55" i="17"/>
  <c r="B55" i="17" s="1"/>
  <c r="L50" i="17"/>
  <c r="L49" i="17"/>
  <c r="J44" i="17"/>
  <c r="B44" i="17" s="1"/>
  <c r="J40" i="17"/>
  <c r="B40" i="17" s="1"/>
  <c r="J38" i="17"/>
  <c r="B38" i="17" s="1"/>
  <c r="L38" i="17"/>
  <c r="L26" i="17"/>
  <c r="L21" i="17" l="1"/>
  <c r="L20" i="17"/>
  <c r="L19" i="17"/>
  <c r="J44" i="19" l="1"/>
  <c r="J110" i="17" l="1"/>
  <c r="B110" i="17" s="1"/>
  <c r="W289" i="20" l="1"/>
  <c r="W290" i="20" s="1"/>
  <c r="W48" i="20"/>
  <c r="W47" i="20"/>
  <c r="W70" i="20"/>
  <c r="N289" i="20" l="1"/>
  <c r="L39" i="20"/>
  <c r="L29" i="4"/>
  <c r="J82" i="20" l="1"/>
  <c r="J63" i="18" l="1"/>
  <c r="B63" i="18" s="1"/>
  <c r="J86" i="18"/>
  <c r="B86" i="18" s="1"/>
  <c r="J49" i="19" l="1"/>
  <c r="M61" i="20" l="1"/>
  <c r="L61" i="20"/>
  <c r="AA61" i="20" s="1"/>
  <c r="M178" i="20"/>
  <c r="M179" i="20"/>
  <c r="L176" i="20"/>
  <c r="AA176" i="20" s="1"/>
  <c r="AK87" i="18"/>
  <c r="AH87" i="18"/>
  <c r="AG87" i="18"/>
  <c r="AE87" i="18"/>
  <c r="AM87" i="18" s="1"/>
  <c r="AD87" i="18"/>
  <c r="Z87" i="18"/>
  <c r="AA87" i="18" s="1"/>
  <c r="AK86" i="18"/>
  <c r="AH86" i="18"/>
  <c r="AG86" i="18"/>
  <c r="AE86" i="18"/>
  <c r="AD86" i="18"/>
  <c r="Z86" i="18"/>
  <c r="AA86" i="18" s="1"/>
  <c r="AK85" i="18"/>
  <c r="AH85" i="18"/>
  <c r="AG85" i="18"/>
  <c r="AE85" i="18"/>
  <c r="AM85" i="18" s="1"/>
  <c r="AD85" i="18"/>
  <c r="Z85" i="18"/>
  <c r="AA85" i="18" s="1"/>
  <c r="AK84" i="18"/>
  <c r="AH84" i="18"/>
  <c r="AG84" i="18"/>
  <c r="AE84" i="18"/>
  <c r="AD84" i="18"/>
  <c r="Z84" i="18"/>
  <c r="AA84" i="18" s="1"/>
  <c r="AM84" i="18" l="1"/>
  <c r="AM86" i="18"/>
  <c r="J83" i="18"/>
  <c r="B83" i="18" s="1"/>
  <c r="AK83" i="18"/>
  <c r="AH83" i="18"/>
  <c r="AG83" i="18"/>
  <c r="AE83" i="18"/>
  <c r="AD83" i="18"/>
  <c r="Z83" i="18"/>
  <c r="AA83" i="18" s="1"/>
  <c r="AM83" i="18" l="1"/>
  <c r="W305" i="20"/>
  <c r="W302" i="20"/>
  <c r="W86" i="20"/>
  <c r="Y72" i="20"/>
  <c r="Y315" i="20" s="1"/>
  <c r="W66" i="20"/>
  <c r="W56" i="20"/>
  <c r="W51" i="20"/>
  <c r="W45" i="20"/>
  <c r="W35" i="20"/>
  <c r="W32" i="20"/>
  <c r="W29" i="20"/>
  <c r="W22" i="20"/>
  <c r="W74" i="20"/>
  <c r="Z74" i="20" s="1"/>
  <c r="W71" i="20"/>
  <c r="Z71" i="20" s="1"/>
  <c r="AA71" i="20" s="1"/>
  <c r="W68" i="20"/>
  <c r="W292" i="20"/>
  <c r="W37" i="20"/>
  <c r="W295" i="20"/>
  <c r="Z295" i="20" s="1"/>
  <c r="W148" i="20"/>
  <c r="Z148" i="20" s="1"/>
  <c r="AA148" i="20" s="1"/>
  <c r="W162" i="20"/>
  <c r="Z162" i="20" s="1"/>
  <c r="AA162" i="20" s="1"/>
  <c r="AA208" i="20" s="1"/>
  <c r="W142" i="20"/>
  <c r="W145" i="20"/>
  <c r="W267" i="20"/>
  <c r="W103" i="20"/>
  <c r="W255" i="20"/>
  <c r="W240" i="20"/>
  <c r="W106" i="20"/>
  <c r="W115" i="20"/>
  <c r="W151" i="20"/>
  <c r="Z151" i="20" s="1"/>
  <c r="AA151" i="20" s="1"/>
  <c r="W150" i="20"/>
  <c r="Z150" i="20" s="1"/>
  <c r="AA150" i="20" s="1"/>
  <c r="W250" i="20"/>
  <c r="W273" i="20"/>
  <c r="W269" i="20"/>
  <c r="W117" i="20"/>
  <c r="W144" i="20"/>
  <c r="W82" i="20"/>
  <c r="W244" i="20"/>
  <c r="W260" i="20"/>
  <c r="W143" i="20"/>
  <c r="W271" i="20"/>
  <c r="W218" i="20"/>
  <c r="W254" i="20"/>
  <c r="W141" i="20"/>
  <c r="W256" i="20"/>
  <c r="W236" i="20"/>
  <c r="W275" i="20"/>
  <c r="W276" i="20"/>
  <c r="W261" i="20"/>
  <c r="W263" i="20"/>
  <c r="W40" i="20"/>
  <c r="Z40" i="20" s="1"/>
  <c r="W39" i="20"/>
  <c r="Z39" i="20" s="1"/>
  <c r="AA39" i="20" s="1"/>
  <c r="W94" i="20"/>
  <c r="W259" i="20"/>
  <c r="W239" i="20"/>
  <c r="W277" i="20"/>
  <c r="W216" i="20"/>
  <c r="W116" i="20"/>
  <c r="W112" i="20"/>
  <c r="W272" i="20"/>
  <c r="W274" i="20"/>
  <c r="W210" i="20"/>
  <c r="W96" i="20"/>
  <c r="W110" i="20"/>
  <c r="W257" i="20"/>
  <c r="W104" i="20"/>
  <c r="W97" i="20"/>
  <c r="W101" i="20"/>
  <c r="W137" i="20"/>
  <c r="W139" i="20" s="1"/>
  <c r="W243" i="20"/>
  <c r="W266" i="20"/>
  <c r="W153" i="20"/>
  <c r="Z153" i="20" s="1"/>
  <c r="AA153" i="20" s="1"/>
  <c r="W109" i="20"/>
  <c r="W119" i="20"/>
  <c r="W252" i="20"/>
  <c r="W249" i="20"/>
  <c r="W278" i="20"/>
  <c r="W215" i="20"/>
  <c r="W268" i="20"/>
  <c r="W147" i="20"/>
  <c r="W217" i="20"/>
  <c r="W247" i="20"/>
  <c r="W237" i="20"/>
  <c r="W258" i="20"/>
  <c r="W238" i="20"/>
  <c r="W77" i="19"/>
  <c r="W57" i="19"/>
  <c r="W58" i="19"/>
  <c r="W31" i="19"/>
  <c r="W52" i="19"/>
  <c r="W39" i="19"/>
  <c r="W44" i="19"/>
  <c r="W40" i="19"/>
  <c r="W51" i="19"/>
  <c r="W17" i="19"/>
  <c r="W45" i="19"/>
  <c r="W76" i="19"/>
  <c r="W18" i="19"/>
  <c r="W48" i="19"/>
  <c r="W34" i="19"/>
  <c r="W49" i="19"/>
  <c r="W35" i="19"/>
  <c r="W24" i="19"/>
  <c r="W29" i="19"/>
  <c r="W19" i="19"/>
  <c r="W20" i="19"/>
  <c r="W37" i="19"/>
  <c r="W55" i="19"/>
  <c r="W27" i="19"/>
  <c r="W23" i="19"/>
  <c r="W22" i="19"/>
  <c r="W70" i="19"/>
  <c r="W21" i="19"/>
  <c r="W41" i="19"/>
  <c r="W32" i="19"/>
  <c r="W33" i="19"/>
  <c r="W59" i="19"/>
  <c r="W54" i="19"/>
  <c r="W25" i="19"/>
  <c r="W46" i="19"/>
  <c r="W30" i="19"/>
  <c r="W26" i="19"/>
  <c r="W53" i="19"/>
  <c r="W28" i="19"/>
  <c r="W42" i="19"/>
  <c r="W47" i="19"/>
  <c r="W36" i="19"/>
  <c r="W56" i="19"/>
  <c r="W70" i="18"/>
  <c r="W67" i="18"/>
  <c r="W19" i="18"/>
  <c r="W55" i="18"/>
  <c r="W27" i="18"/>
  <c r="W31" i="18"/>
  <c r="W28" i="18"/>
  <c r="W24" i="18"/>
  <c r="W21" i="18"/>
  <c r="W30" i="18"/>
  <c r="W72" i="18"/>
  <c r="W25" i="18"/>
  <c r="W26" i="18"/>
  <c r="W68" i="18"/>
  <c r="W101" i="18"/>
  <c r="W29" i="18"/>
  <c r="W56" i="18"/>
  <c r="W78" i="20" l="1"/>
  <c r="Z78" i="20"/>
  <c r="W89" i="20"/>
  <c r="W208" i="20"/>
  <c r="W72" i="20"/>
  <c r="W234" i="20"/>
  <c r="W287" i="20"/>
  <c r="W160" i="20"/>
  <c r="W42" i="20"/>
  <c r="W299" i="20"/>
  <c r="W135" i="20"/>
  <c r="AK115" i="18"/>
  <c r="AH115" i="18"/>
  <c r="AG115" i="18"/>
  <c r="AE115" i="18"/>
  <c r="AM115" i="18" s="1"/>
  <c r="AD115" i="18"/>
  <c r="Z115" i="18"/>
  <c r="AA115" i="18" s="1"/>
  <c r="AK112" i="18"/>
  <c r="AH112" i="18"/>
  <c r="AG112" i="18"/>
  <c r="AE112" i="18"/>
  <c r="AM112" i="18" s="1"/>
  <c r="AD112" i="18"/>
  <c r="Z112" i="18"/>
  <c r="AA112" i="18" s="1"/>
  <c r="B112" i="18"/>
  <c r="W315" i="20" l="1"/>
  <c r="W307" i="20"/>
  <c r="W313" i="20" s="1"/>
  <c r="B111" i="18"/>
  <c r="W35" i="18" l="1"/>
  <c r="W36" i="18"/>
  <c r="W64" i="18" l="1"/>
  <c r="W96" i="18"/>
  <c r="W57" i="18"/>
  <c r="W50" i="18"/>
  <c r="W73" i="18"/>
  <c r="W61" i="18"/>
  <c r="W53" i="18"/>
  <c r="W95" i="18"/>
  <c r="W47" i="18"/>
  <c r="W42" i="18"/>
  <c r="W69" i="18"/>
  <c r="W63" i="18"/>
  <c r="W59" i="18"/>
  <c r="W60" i="18"/>
  <c r="W39" i="18"/>
  <c r="W40" i="18"/>
  <c r="W37" i="18"/>
  <c r="W38" i="18"/>
  <c r="W45" i="18"/>
  <c r="W44" i="18"/>
  <c r="W71" i="18"/>
  <c r="W94" i="18"/>
  <c r="W100" i="18"/>
  <c r="W102" i="18"/>
  <c r="W48" i="18"/>
  <c r="W103" i="18"/>
  <c r="W65" i="18"/>
  <c r="W66" i="18"/>
  <c r="W51" i="18"/>
  <c r="W46" i="18"/>
  <c r="W43" i="18"/>
  <c r="W91" i="17"/>
  <c r="W112" i="17"/>
  <c r="W56" i="17"/>
  <c r="Z56" i="17" s="1"/>
  <c r="W54" i="17"/>
  <c r="Z54" i="17" s="1"/>
  <c r="W53" i="17"/>
  <c r="Z53" i="17" s="1"/>
  <c r="W83" i="17"/>
  <c r="W80" i="17"/>
  <c r="W44" i="17"/>
  <c r="W39" i="17"/>
  <c r="W40" i="17"/>
  <c r="W78" i="17"/>
  <c r="W28" i="17"/>
  <c r="W25" i="17"/>
  <c r="W66" i="17"/>
  <c r="W73" i="17"/>
  <c r="W29" i="17"/>
  <c r="W35" i="17"/>
  <c r="W18" i="17"/>
  <c r="W85" i="17"/>
  <c r="W24" i="17"/>
  <c r="W23" i="17"/>
  <c r="W34" i="17"/>
  <c r="W30" i="17"/>
  <c r="W50" i="17"/>
  <c r="W17" i="17"/>
  <c r="W38" i="17"/>
  <c r="W75" i="17"/>
  <c r="W76" i="17"/>
  <c r="W20" i="17"/>
  <c r="W74" i="17"/>
  <c r="W19" i="17"/>
  <c r="W82" i="17"/>
  <c r="W55" i="17"/>
  <c r="Z55" i="17" s="1"/>
  <c r="W26" i="17"/>
  <c r="W37" i="17"/>
  <c r="W22" i="17"/>
  <c r="W27" i="17"/>
  <c r="W79" i="17"/>
  <c r="W21" i="17"/>
  <c r="W77" i="17"/>
  <c r="W84" i="17"/>
  <c r="W87" i="17"/>
  <c r="W45" i="4"/>
  <c r="W25" i="4"/>
  <c r="W19" i="4"/>
  <c r="W21" i="4"/>
  <c r="W27" i="4"/>
  <c r="W18" i="4"/>
  <c r="W23" i="4"/>
  <c r="W22" i="4"/>
  <c r="W20" i="4"/>
  <c r="W24" i="4"/>
  <c r="W103" i="17" l="1"/>
  <c r="AE227" i="20"/>
  <c r="AD124" i="20"/>
  <c r="AK124" i="20"/>
  <c r="AG124" i="20"/>
  <c r="AD224" i="20"/>
  <c r="AD225" i="20"/>
  <c r="AD226" i="20"/>
  <c r="AD227" i="20"/>
  <c r="AD228" i="20"/>
  <c r="AD229" i="20"/>
  <c r="AD233" i="20"/>
  <c r="AG223" i="20"/>
  <c r="AH223" i="20"/>
  <c r="AG224" i="20"/>
  <c r="AH224" i="20"/>
  <c r="AG225" i="20"/>
  <c r="AH225" i="20"/>
  <c r="AG226" i="20"/>
  <c r="AH226" i="20"/>
  <c r="AG227" i="20"/>
  <c r="AH227" i="20"/>
  <c r="AG228" i="20"/>
  <c r="AH228" i="20"/>
  <c r="AG229" i="20"/>
  <c r="AH229" i="20"/>
  <c r="AG233" i="20"/>
  <c r="AH233" i="20"/>
  <c r="AK220" i="20"/>
  <c r="AK221" i="20"/>
  <c r="AK222" i="20"/>
  <c r="AK223" i="20"/>
  <c r="AK224" i="20"/>
  <c r="AK225" i="20"/>
  <c r="AK226" i="20"/>
  <c r="AK227" i="20"/>
  <c r="AK228" i="20"/>
  <c r="AK229" i="20"/>
  <c r="AK233" i="20"/>
  <c r="AG163" i="20"/>
  <c r="AK163" i="20"/>
  <c r="AG164" i="20"/>
  <c r="AK164" i="20"/>
  <c r="AG165" i="20"/>
  <c r="AK165" i="20"/>
  <c r="AG166" i="20"/>
  <c r="AH166" i="20"/>
  <c r="AK166" i="20"/>
  <c r="AG167" i="20"/>
  <c r="AH167" i="20"/>
  <c r="AK167" i="20"/>
  <c r="AG168" i="20"/>
  <c r="AH168" i="20"/>
  <c r="AK168" i="20"/>
  <c r="AG169" i="20"/>
  <c r="AH169" i="20"/>
  <c r="AK169" i="20"/>
  <c r="AG170" i="20"/>
  <c r="AH170" i="20"/>
  <c r="AK170" i="20"/>
  <c r="AG171" i="20"/>
  <c r="AH171" i="20"/>
  <c r="AK171" i="20"/>
  <c r="AG172" i="20"/>
  <c r="AH172" i="20"/>
  <c r="AK172" i="20"/>
  <c r="AG173" i="20"/>
  <c r="AH173" i="20"/>
  <c r="AK173" i="20"/>
  <c r="AG174" i="20"/>
  <c r="AH174" i="20"/>
  <c r="AK174" i="20"/>
  <c r="AG175" i="20"/>
  <c r="AH175" i="20"/>
  <c r="AK175" i="20"/>
  <c r="AG176" i="20"/>
  <c r="AH176" i="20"/>
  <c r="AK176" i="20"/>
  <c r="AG177" i="20"/>
  <c r="AH177" i="20"/>
  <c r="AK177" i="20"/>
  <c r="AG178" i="20"/>
  <c r="AH178" i="20"/>
  <c r="AK178" i="20"/>
  <c r="AG179" i="20"/>
  <c r="AH179" i="20"/>
  <c r="AK179" i="20"/>
  <c r="AG180" i="20"/>
  <c r="AH180" i="20"/>
  <c r="AK180" i="20"/>
  <c r="AG181" i="20"/>
  <c r="AH181" i="20"/>
  <c r="AK181" i="20"/>
  <c r="AG182" i="20"/>
  <c r="AH182" i="20"/>
  <c r="AK182" i="20"/>
  <c r="AG183" i="20"/>
  <c r="AH183" i="20"/>
  <c r="AK183" i="20"/>
  <c r="AG184" i="20"/>
  <c r="AH184" i="20"/>
  <c r="AK184" i="20"/>
  <c r="AG185" i="20"/>
  <c r="AH185" i="20"/>
  <c r="AK185" i="20"/>
  <c r="AG186" i="20"/>
  <c r="AH186" i="20"/>
  <c r="AK186" i="20"/>
  <c r="AG187" i="20"/>
  <c r="AH187" i="20"/>
  <c r="AK187" i="20"/>
  <c r="AG188" i="20"/>
  <c r="AH188" i="20"/>
  <c r="AK188" i="20"/>
  <c r="AG189" i="20"/>
  <c r="AH189" i="20"/>
  <c r="AK189" i="20"/>
  <c r="AG190" i="20"/>
  <c r="AH190" i="20"/>
  <c r="AK190" i="20"/>
  <c r="AG191" i="20"/>
  <c r="AH191" i="20"/>
  <c r="AK191" i="20"/>
  <c r="AG192" i="20"/>
  <c r="AH192" i="20"/>
  <c r="AK192" i="20"/>
  <c r="AG193" i="20"/>
  <c r="AH193" i="20"/>
  <c r="AK193" i="20"/>
  <c r="AG194" i="20"/>
  <c r="AH194" i="20"/>
  <c r="AK194" i="20"/>
  <c r="AG195" i="20"/>
  <c r="AH195" i="20"/>
  <c r="AK195" i="20"/>
  <c r="AG196" i="20"/>
  <c r="AH196" i="20"/>
  <c r="AK196" i="20"/>
  <c r="AG205" i="20"/>
  <c r="AH205" i="20"/>
  <c r="AK205" i="20"/>
  <c r="AG206" i="20"/>
  <c r="AH206" i="20"/>
  <c r="AK206" i="20"/>
  <c r="AG207" i="20"/>
  <c r="AH207" i="20"/>
  <c r="AK207" i="20"/>
  <c r="AK162" i="20"/>
  <c r="AG162" i="20"/>
  <c r="L74" i="20"/>
  <c r="J74" i="20"/>
  <c r="L57" i="17"/>
  <c r="L59" i="17"/>
  <c r="L78" i="20" l="1"/>
  <c r="AA74" i="20"/>
  <c r="J78" i="20"/>
  <c r="J17" i="18"/>
  <c r="B17" i="18" l="1"/>
  <c r="J52" i="18"/>
  <c r="B52" i="18" s="1"/>
  <c r="Z19" i="18" l="1"/>
  <c r="B191" i="20" l="1"/>
  <c r="AE190" i="20"/>
  <c r="AM190" i="20" s="1"/>
  <c r="AE189" i="20"/>
  <c r="AM189" i="20" s="1"/>
  <c r="B188" i="20"/>
  <c r="B187" i="20"/>
  <c r="AE186" i="20"/>
  <c r="AM186" i="20" s="1"/>
  <c r="AE185" i="20"/>
  <c r="AM185" i="20" s="1"/>
  <c r="AE195" i="20"/>
  <c r="AM195" i="20" s="1"/>
  <c r="B195" i="20"/>
  <c r="AE194" i="20"/>
  <c r="AM194" i="20" s="1"/>
  <c r="B194" i="20"/>
  <c r="AE193" i="20"/>
  <c r="AM193" i="20" s="1"/>
  <c r="B193" i="20"/>
  <c r="AE192" i="20"/>
  <c r="AM192" i="20" s="1"/>
  <c r="B192" i="20"/>
  <c r="AE191" i="20"/>
  <c r="AM191" i="20" s="1"/>
  <c r="B190" i="20"/>
  <c r="B189" i="20"/>
  <c r="AE187" i="20"/>
  <c r="AM187" i="20" s="1"/>
  <c r="B186" i="20" l="1"/>
  <c r="AE188" i="20"/>
  <c r="AM188" i="20" s="1"/>
  <c r="B185" i="20"/>
  <c r="J54" i="20"/>
  <c r="O51" i="20"/>
  <c r="P51" i="20"/>
  <c r="Q51" i="20"/>
  <c r="R51" i="20"/>
  <c r="S51" i="20"/>
  <c r="T51" i="20"/>
  <c r="N51" i="20"/>
  <c r="B50" i="20"/>
  <c r="AE54" i="20" l="1"/>
  <c r="AK34" i="4"/>
  <c r="AH34" i="4"/>
  <c r="AG34" i="4"/>
  <c r="AE34" i="4"/>
  <c r="AD34" i="4"/>
  <c r="AA34" i="4"/>
  <c r="B34" i="4"/>
  <c r="J29" i="4"/>
  <c r="AM34" i="4" l="1"/>
  <c r="AE196" i="20"/>
  <c r="AM196" i="20" s="1"/>
  <c r="B196" i="20"/>
  <c r="AE184" i="20"/>
  <c r="AM184" i="20" s="1"/>
  <c r="B184" i="20"/>
  <c r="AE183" i="20"/>
  <c r="AM183" i="20" s="1"/>
  <c r="B183" i="20"/>
  <c r="AE182" i="20"/>
  <c r="AM182" i="20" s="1"/>
  <c r="B182" i="20"/>
  <c r="AE181" i="20"/>
  <c r="AM181" i="20" s="1"/>
  <c r="B181" i="20"/>
  <c r="AE180" i="20"/>
  <c r="AM180" i="20" s="1"/>
  <c r="B180" i="20"/>
  <c r="AE179" i="20"/>
  <c r="AM179" i="20" s="1"/>
  <c r="B179" i="20"/>
  <c r="AE178" i="20"/>
  <c r="AM178" i="20" s="1"/>
  <c r="B178" i="20"/>
  <c r="AE177" i="20"/>
  <c r="AM177" i="20" s="1"/>
  <c r="B177" i="20"/>
  <c r="AE176" i="20"/>
  <c r="AM176" i="20" s="1"/>
  <c r="B176" i="20"/>
  <c r="B229" i="20" l="1"/>
  <c r="B228" i="20"/>
  <c r="J124" i="20"/>
  <c r="J25" i="17" l="1"/>
  <c r="B25" i="17" s="1"/>
  <c r="J30" i="17"/>
  <c r="B30" i="17" s="1"/>
  <c r="J24" i="17"/>
  <c r="B24" i="17" s="1"/>
  <c r="J82" i="17"/>
  <c r="J29" i="17"/>
  <c r="B29" i="17" s="1"/>
  <c r="J99" i="17"/>
  <c r="B99" i="17" s="1"/>
  <c r="V47" i="20" l="1"/>
  <c r="AE126" i="20"/>
  <c r="B126" i="20"/>
  <c r="AH125" i="20"/>
  <c r="AE125" i="20"/>
  <c r="B125" i="20"/>
  <c r="AH124" i="20"/>
  <c r="AE124" i="20"/>
  <c r="B124" i="20"/>
  <c r="AE207" i="20"/>
  <c r="AM207" i="20" s="1"/>
  <c r="B207" i="20"/>
  <c r="AE206" i="20"/>
  <c r="AM206" i="20" s="1"/>
  <c r="B206" i="20"/>
  <c r="AE205" i="20"/>
  <c r="AM205" i="20" s="1"/>
  <c r="B205" i="20"/>
  <c r="AE175" i="20"/>
  <c r="AM175" i="20" s="1"/>
  <c r="B175" i="20"/>
  <c r="AE174" i="20"/>
  <c r="AM174" i="20" s="1"/>
  <c r="B174" i="20"/>
  <c r="AE173" i="20"/>
  <c r="AM173" i="20" s="1"/>
  <c r="B173" i="20"/>
  <c r="AE172" i="20"/>
  <c r="AM172" i="20" s="1"/>
  <c r="B172" i="20"/>
  <c r="AE171" i="20"/>
  <c r="AM171" i="20" s="1"/>
  <c r="B171" i="20"/>
  <c r="AE170" i="20"/>
  <c r="AM170" i="20" s="1"/>
  <c r="B170" i="20"/>
  <c r="V48" i="20" l="1"/>
  <c r="Z48" i="20" s="1"/>
  <c r="AA48" i="20" s="1"/>
  <c r="AK99" i="17"/>
  <c r="AH99" i="17"/>
  <c r="AG99" i="17"/>
  <c r="AE99" i="17"/>
  <c r="AD99" i="17"/>
  <c r="Z99" i="17"/>
  <c r="AA99" i="17" s="1"/>
  <c r="AK98" i="17"/>
  <c r="AH98" i="17"/>
  <c r="AG98" i="17"/>
  <c r="AE98" i="17"/>
  <c r="AD98" i="17"/>
  <c r="Z98" i="17"/>
  <c r="AA98" i="17" s="1"/>
  <c r="V51" i="20" l="1"/>
  <c r="AM99" i="17"/>
  <c r="AM98" i="17"/>
  <c r="V289" i="20"/>
  <c r="V290" i="20" s="1"/>
  <c r="V68" i="20"/>
  <c r="Z68" i="20" s="1"/>
  <c r="V66" i="20"/>
  <c r="V146" i="20"/>
  <c r="V293" i="20"/>
  <c r="V37" i="20"/>
  <c r="Z37" i="20" s="1"/>
  <c r="V273" i="20"/>
  <c r="Z273" i="20" s="1"/>
  <c r="V305" i="20"/>
  <c r="V302" i="20"/>
  <c r="V208" i="20"/>
  <c r="V89" i="20"/>
  <c r="V86" i="20"/>
  <c r="V82" i="20"/>
  <c r="V78" i="20"/>
  <c r="V56" i="20"/>
  <c r="V45" i="20"/>
  <c r="V35" i="20"/>
  <c r="V32" i="20"/>
  <c r="V29" i="20"/>
  <c r="V22" i="20"/>
  <c r="V72" i="20" l="1"/>
  <c r="V38" i="20"/>
  <c r="Z38" i="20" s="1"/>
  <c r="AA38" i="20" s="1"/>
  <c r="AK122" i="20"/>
  <c r="AG122" i="20"/>
  <c r="L68" i="20"/>
  <c r="AA68" i="20" s="1"/>
  <c r="AK59" i="20"/>
  <c r="AH60" i="20"/>
  <c r="AK60" i="20"/>
  <c r="AH61" i="20"/>
  <c r="AK61" i="20"/>
  <c r="AH65" i="20"/>
  <c r="AK65" i="20"/>
  <c r="AK66" i="20"/>
  <c r="AG59" i="20"/>
  <c r="AK58" i="20"/>
  <c r="AG60" i="20"/>
  <c r="AG61" i="20"/>
  <c r="AG65" i="20"/>
  <c r="AG66" i="20"/>
  <c r="AG58" i="20"/>
  <c r="L59" i="20"/>
  <c r="AA59" i="20" s="1"/>
  <c r="L88" i="20"/>
  <c r="AA88" i="20" s="1"/>
  <c r="L84" i="20"/>
  <c r="L86" i="20" s="1"/>
  <c r="L58" i="20"/>
  <c r="AA58" i="20" s="1"/>
  <c r="L208" i="20" l="1"/>
  <c r="M208" i="20" s="1"/>
  <c r="AH163" i="20"/>
  <c r="AH164" i="20"/>
  <c r="AH165" i="20"/>
  <c r="V42" i="20"/>
  <c r="AH58" i="20"/>
  <c r="L66" i="20"/>
  <c r="AA89" i="20"/>
  <c r="L89" i="20"/>
  <c r="AH59" i="20"/>
  <c r="AH162" i="20"/>
  <c r="AA66" i="20"/>
  <c r="V292" i="20"/>
  <c r="V299" i="20" s="1"/>
  <c r="V243" i="20"/>
  <c r="V108" i="20"/>
  <c r="V267" i="20"/>
  <c r="V269" i="20"/>
  <c r="V275" i="20"/>
  <c r="Z275" i="20" s="1"/>
  <c r="AA275" i="20" s="1"/>
  <c r="V142" i="20" l="1"/>
  <c r="V268" i="20"/>
  <c r="V256" i="20"/>
  <c r="V254" i="20"/>
  <c r="V266" i="20"/>
  <c r="V236" i="20"/>
  <c r="V144" i="20"/>
  <c r="V145" i="20"/>
  <c r="V115" i="20"/>
  <c r="Z115" i="20" s="1"/>
  <c r="AA115" i="20" s="1"/>
  <c r="V272" i="20"/>
  <c r="Z272" i="20" s="1"/>
  <c r="V109" i="20"/>
  <c r="V103" i="20"/>
  <c r="V271" i="20"/>
  <c r="V253" i="20"/>
  <c r="V102" i="20"/>
  <c r="V110" i="20"/>
  <c r="V278" i="20"/>
  <c r="Z278" i="20" s="1"/>
  <c r="AA278" i="20" s="1"/>
  <c r="V274" i="20"/>
  <c r="Z274" i="20" s="1"/>
  <c r="V262" i="20"/>
  <c r="V263" i="20"/>
  <c r="V96" i="20"/>
  <c r="V242" i="20"/>
  <c r="V97" i="20"/>
  <c r="V250" i="20"/>
  <c r="V244" i="20"/>
  <c r="V106" i="20"/>
  <c r="V210" i="20"/>
  <c r="V143" i="20"/>
  <c r="V252" i="20"/>
  <c r="V249" i="20"/>
  <c r="V276" i="20"/>
  <c r="Z276" i="20" s="1"/>
  <c r="AA276" i="20" s="1"/>
  <c r="V119" i="20"/>
  <c r="Z119" i="20" s="1"/>
  <c r="AA119" i="20" s="1"/>
  <c r="V277" i="20"/>
  <c r="Z277" i="20" s="1"/>
  <c r="AA277" i="20" s="1"/>
  <c r="V257" i="20"/>
  <c r="V112" i="20"/>
  <c r="V247" i="20"/>
  <c r="V141" i="20"/>
  <c r="V255" i="20"/>
  <c r="V239" i="20"/>
  <c r="V237" i="20"/>
  <c r="V259" i="20"/>
  <c r="V258" i="20"/>
  <c r="V260" i="20"/>
  <c r="V261" i="20"/>
  <c r="V238" i="20"/>
  <c r="V216" i="20"/>
  <c r="Z216" i="20" s="1"/>
  <c r="AA216" i="20" s="1"/>
  <c r="V147" i="20"/>
  <c r="V218" i="20"/>
  <c r="V217" i="20"/>
  <c r="V215" i="20"/>
  <c r="V116" i="20"/>
  <c r="V117" i="20"/>
  <c r="Z117" i="20" s="1"/>
  <c r="AA117" i="20" s="1"/>
  <c r="V118" i="20"/>
  <c r="Z118" i="20" s="1"/>
  <c r="AA118" i="20" s="1"/>
  <c r="V101" i="20"/>
  <c r="V137" i="20"/>
  <c r="V139" i="20" s="1"/>
  <c r="V94" i="20"/>
  <c r="V104" i="20"/>
  <c r="V160" i="20" l="1"/>
  <c r="V234" i="20"/>
  <c r="V135" i="20"/>
  <c r="V287" i="20"/>
  <c r="V56" i="19"/>
  <c r="V38" i="19"/>
  <c r="V31" i="19"/>
  <c r="V40" i="19"/>
  <c r="V48" i="19"/>
  <c r="V50" i="19"/>
  <c r="V51" i="19"/>
  <c r="V32" i="19"/>
  <c r="V46" i="19"/>
  <c r="V20" i="19"/>
  <c r="V45" i="19"/>
  <c r="V77" i="19"/>
  <c r="V18" i="19"/>
  <c r="V29" i="19"/>
  <c r="V19" i="19"/>
  <c r="V33" i="19"/>
  <c r="V25" i="19"/>
  <c r="V44" i="19"/>
  <c r="V27" i="19"/>
  <c r="V53" i="19"/>
  <c r="V55" i="19"/>
  <c r="V23" i="19"/>
  <c r="V59" i="19"/>
  <c r="V22" i="19"/>
  <c r="V21" i="19"/>
  <c r="V26" i="19"/>
  <c r="V28" i="19"/>
  <c r="V36" i="19"/>
  <c r="V49" i="19"/>
  <c r="V54" i="19"/>
  <c r="V24" i="19"/>
  <c r="V30" i="19"/>
  <c r="V37" i="19"/>
  <c r="V70" i="19"/>
  <c r="V35" i="19"/>
  <c r="V42" i="19"/>
  <c r="V41" i="19"/>
  <c r="V34" i="19"/>
  <c r="V47" i="19"/>
  <c r="V86" i="19"/>
  <c r="V315" i="20" l="1"/>
  <c r="V307" i="20"/>
  <c r="V313" i="20" s="1"/>
  <c r="V96" i="18"/>
  <c r="V76" i="18"/>
  <c r="V70" i="18"/>
  <c r="V28" i="18"/>
  <c r="V27" i="18"/>
  <c r="V56" i="18"/>
  <c r="V26" i="18"/>
  <c r="V21" i="18"/>
  <c r="V29" i="18"/>
  <c r="V24" i="18"/>
  <c r="V72" i="18"/>
  <c r="V35" i="18"/>
  <c r="V95" i="18"/>
  <c r="V101" i="18"/>
  <c r="V50" i="18"/>
  <c r="V42" i="18"/>
  <c r="V68" i="18"/>
  <c r="V61" i="18"/>
  <c r="V57" i="18"/>
  <c r="V64" i="18"/>
  <c r="V71" i="18"/>
  <c r="V36" i="18"/>
  <c r="V55" i="18"/>
  <c r="V65" i="18"/>
  <c r="V53" i="18"/>
  <c r="V62" i="18"/>
  <c r="V63" i="18"/>
  <c r="V73" i="18"/>
  <c r="V94" i="18"/>
  <c r="V69" i="18"/>
  <c r="V39" i="18"/>
  <c r="V51" i="18"/>
  <c r="V46" i="18"/>
  <c r="V43" i="18"/>
  <c r="V38" i="18"/>
  <c r="V37" i="18"/>
  <c r="V59" i="18"/>
  <c r="V45" i="18"/>
  <c r="V40" i="18"/>
  <c r="V66" i="18"/>
  <c r="V78" i="17" l="1"/>
  <c r="V92" i="17"/>
  <c r="V73" i="17" l="1"/>
  <c r="V43" i="17"/>
  <c r="V76" i="17"/>
  <c r="V32" i="17"/>
  <c r="V80" i="17"/>
  <c r="V67" i="17"/>
  <c r="V108" i="17"/>
  <c r="V25" i="17"/>
  <c r="V51" i="17"/>
  <c r="V66" i="17"/>
  <c r="V71" i="17" s="1"/>
  <c r="V26" i="17"/>
  <c r="V79" i="17"/>
  <c r="V24" i="17"/>
  <c r="V28" i="17"/>
  <c r="V50" i="17"/>
  <c r="V29" i="17"/>
  <c r="V85" i="17"/>
  <c r="V19" i="17"/>
  <c r="V17" i="17"/>
  <c r="V44" i="17"/>
  <c r="V37" i="17"/>
  <c r="V74" i="17"/>
  <c r="V34" i="17"/>
  <c r="V22" i="17"/>
  <c r="V21" i="17"/>
  <c r="V30" i="17"/>
  <c r="V23" i="17"/>
  <c r="V35" i="17"/>
  <c r="V18" i="17"/>
  <c r="V27" i="17"/>
  <c r="V75" i="17"/>
  <c r="V49" i="17"/>
  <c r="V82" i="17"/>
  <c r="V77" i="17"/>
  <c r="J82" i="18"/>
  <c r="B82" i="18" s="1"/>
  <c r="O92" i="18"/>
  <c r="AK88" i="18"/>
  <c r="AH88" i="18"/>
  <c r="AG88" i="18"/>
  <c r="AE88" i="18"/>
  <c r="AM88" i="18" s="1"/>
  <c r="AD88" i="18"/>
  <c r="Z88" i="18"/>
  <c r="AA88" i="18" s="1"/>
  <c r="V103" i="17" l="1"/>
  <c r="V64" i="17"/>
  <c r="V45" i="4"/>
  <c r="V19" i="4"/>
  <c r="V21" i="4"/>
  <c r="V24" i="4"/>
  <c r="V22" i="4"/>
  <c r="V20" i="4"/>
  <c r="V23" i="4"/>
  <c r="V17" i="4"/>
  <c r="L50" i="19" l="1"/>
  <c r="L52" i="19"/>
  <c r="L55" i="19"/>
  <c r="L53" i="19"/>
  <c r="L54" i="19"/>
  <c r="L33" i="19"/>
  <c r="L26" i="19"/>
  <c r="L23" i="19"/>
  <c r="L31" i="19"/>
  <c r="L22" i="19"/>
  <c r="L28" i="19"/>
  <c r="L24" i="19"/>
  <c r="L21" i="19"/>
  <c r="L25" i="19"/>
  <c r="L32" i="19"/>
  <c r="Z62" i="19"/>
  <c r="Z66" i="19"/>
  <c r="Z68" i="19"/>
  <c r="Z71" i="19"/>
  <c r="Z72" i="19"/>
  <c r="Z73" i="19"/>
  <c r="Z75" i="19"/>
  <c r="Z78" i="19"/>
  <c r="L60" i="19"/>
  <c r="L117" i="18"/>
  <c r="L110" i="18"/>
  <c r="L76" i="18"/>
  <c r="AI33" i="18"/>
  <c r="L68" i="17"/>
  <c r="L37" i="17"/>
  <c r="L17" i="17"/>
  <c r="L108" i="17"/>
  <c r="L67" i="17"/>
  <c r="L56" i="17"/>
  <c r="L39" i="17"/>
  <c r="L53" i="17"/>
  <c r="L93" i="17"/>
  <c r="L44" i="17"/>
  <c r="L40" i="17"/>
  <c r="L18" i="4"/>
  <c r="L17" i="4"/>
  <c r="AD138" i="20" l="1"/>
  <c r="J305" i="20" l="1"/>
  <c r="J302" i="20"/>
  <c r="J290" i="20"/>
  <c r="AK82" i="18" l="1"/>
  <c r="AH82" i="18"/>
  <c r="AG82" i="18"/>
  <c r="AE82" i="18"/>
  <c r="AM82" i="18" s="1"/>
  <c r="AD82" i="18"/>
  <c r="Z82" i="18"/>
  <c r="AA82" i="18" s="1"/>
  <c r="AK81" i="18"/>
  <c r="AH81" i="18"/>
  <c r="AE81" i="18"/>
  <c r="AD81" i="18"/>
  <c r="Z81" i="18"/>
  <c r="AA81" i="18" s="1"/>
  <c r="AM81" i="18" l="1"/>
  <c r="J80" i="18"/>
  <c r="B80" i="18" s="1"/>
  <c r="AD88" i="20" l="1"/>
  <c r="AE223" i="20"/>
  <c r="AD223" i="20"/>
  <c r="AD123" i="20"/>
  <c r="AD222" i="20"/>
  <c r="AD59" i="20"/>
  <c r="AD60" i="20"/>
  <c r="AD61" i="20"/>
  <c r="AD65" i="20"/>
  <c r="AD58" i="20"/>
  <c r="AE61" i="20"/>
  <c r="AE65" i="20"/>
  <c r="AD122" i="20"/>
  <c r="AA75" i="20"/>
  <c r="AA76" i="20"/>
  <c r="AA77" i="20"/>
  <c r="O56" i="20"/>
  <c r="P56" i="20"/>
  <c r="Q56" i="20"/>
  <c r="R56" i="20"/>
  <c r="S56" i="20"/>
  <c r="T56" i="20"/>
  <c r="U56" i="20"/>
  <c r="N56" i="20"/>
  <c r="J43" i="19"/>
  <c r="AF103" i="17"/>
  <c r="AF64" i="17"/>
  <c r="AF33" i="18"/>
  <c r="J43" i="17"/>
  <c r="B43" i="17" s="1"/>
  <c r="J49" i="17"/>
  <c r="B49" i="17" s="1"/>
  <c r="J25" i="4"/>
  <c r="B223" i="20" l="1"/>
  <c r="B227" i="20"/>
  <c r="B233" i="20"/>
  <c r="AE226" i="20"/>
  <c r="AE225" i="20"/>
  <c r="B224" i="20"/>
  <c r="P234" i="20"/>
  <c r="Q234" i="20"/>
  <c r="R234" i="20"/>
  <c r="T234" i="20"/>
  <c r="O234" i="20"/>
  <c r="B226" i="20" l="1"/>
  <c r="AE224" i="20"/>
  <c r="B225" i="20"/>
  <c r="AE97" i="17" l="1"/>
  <c r="AK102" i="17"/>
  <c r="AH102" i="17"/>
  <c r="AG102" i="17"/>
  <c r="AE102" i="17"/>
  <c r="AM102" i="17" s="1"/>
  <c r="AD102" i="17"/>
  <c r="Z102" i="17"/>
  <c r="AA102" i="17" s="1"/>
  <c r="AK112" i="17"/>
  <c r="AH112" i="17"/>
  <c r="AG112" i="17"/>
  <c r="AE112" i="17"/>
  <c r="AD112" i="17"/>
  <c r="Z112" i="17"/>
  <c r="AA112" i="17" s="1"/>
  <c r="AK97" i="17"/>
  <c r="AH97" i="17"/>
  <c r="AG97" i="17"/>
  <c r="AD97" i="17"/>
  <c r="Z97" i="17"/>
  <c r="AA97" i="17" s="1"/>
  <c r="B65" i="17"/>
  <c r="B116" i="17" s="1"/>
  <c r="J39" i="20"/>
  <c r="AM112" i="17" l="1"/>
  <c r="AM97" i="17"/>
  <c r="J53" i="20" l="1"/>
  <c r="O78" i="20"/>
  <c r="P78" i="20"/>
  <c r="Q78" i="20"/>
  <c r="R78" i="20"/>
  <c r="S78" i="20"/>
  <c r="T78" i="20"/>
  <c r="U78" i="20"/>
  <c r="Y307" i="20"/>
  <c r="N78" i="20"/>
  <c r="J60" i="20"/>
  <c r="B65" i="20"/>
  <c r="B61" i="20"/>
  <c r="AE60" i="20" l="1"/>
  <c r="J56" i="20"/>
  <c r="AE53" i="20"/>
  <c r="J88" i="20"/>
  <c r="J84" i="20"/>
  <c r="J89" i="20" l="1"/>
  <c r="J86" i="20"/>
  <c r="B88" i="20"/>
  <c r="AE88" i="20"/>
  <c r="B46" i="20"/>
  <c r="AK60" i="17" l="1"/>
  <c r="AH60" i="17"/>
  <c r="AG60" i="17"/>
  <c r="AE60" i="17"/>
  <c r="AM60" i="17" s="1"/>
  <c r="Z60" i="17"/>
  <c r="AA60" i="17" s="1"/>
  <c r="J50" i="17" l="1"/>
  <c r="B50" i="17" s="1"/>
  <c r="J37" i="17"/>
  <c r="B37" i="17" s="1"/>
  <c r="J67" i="17"/>
  <c r="J68" i="17"/>
  <c r="J26" i="17"/>
  <c r="B26" i="17" s="1"/>
  <c r="J74" i="17"/>
  <c r="J20" i="17"/>
  <c r="B20" i="17" s="1"/>
  <c r="J17" i="17"/>
  <c r="J19" i="17"/>
  <c r="B19" i="17" s="1"/>
  <c r="J18" i="4"/>
  <c r="J17" i="4"/>
  <c r="B17" i="17" l="1"/>
  <c r="Q74" i="19"/>
  <c r="R74" i="19"/>
  <c r="T74" i="19"/>
  <c r="V74" i="19"/>
  <c r="W74" i="19"/>
  <c r="P74" i="19"/>
  <c r="AK73" i="19"/>
  <c r="AH73" i="19"/>
  <c r="AG73" i="19"/>
  <c r="AE73" i="19"/>
  <c r="AM73" i="19" s="1"/>
  <c r="AD73" i="19"/>
  <c r="AA73" i="19"/>
  <c r="B73" i="19"/>
  <c r="AK72" i="19"/>
  <c r="AH72" i="19"/>
  <c r="AG72" i="19"/>
  <c r="AE72" i="19"/>
  <c r="AM72" i="19" s="1"/>
  <c r="AD72" i="19"/>
  <c r="AA72" i="19"/>
  <c r="B72" i="19"/>
  <c r="J26" i="19"/>
  <c r="J54" i="19"/>
  <c r="J32" i="19"/>
  <c r="J53" i="19"/>
  <c r="J24" i="19"/>
  <c r="J52" i="19"/>
  <c r="J50" i="19"/>
  <c r="J69" i="19"/>
  <c r="L48" i="19" l="1"/>
  <c r="L43" i="19"/>
  <c r="L69" i="19"/>
  <c r="L74" i="19" s="1"/>
  <c r="J31" i="19"/>
  <c r="J25" i="19"/>
  <c r="J55" i="19" l="1"/>
  <c r="J22" i="19"/>
  <c r="J33" i="19"/>
  <c r="J23" i="19"/>
  <c r="B87" i="20" l="1"/>
  <c r="B89" i="20" s="1"/>
  <c r="AE138" i="20" l="1"/>
  <c r="J139" i="20"/>
  <c r="B138" i="20"/>
  <c r="J60" i="19"/>
  <c r="AH66" i="20"/>
  <c r="J59" i="20"/>
  <c r="J58" i="20"/>
  <c r="AE59" i="20" l="1"/>
  <c r="J66" i="20"/>
  <c r="AE58" i="20"/>
  <c r="AE66" i="20" s="1"/>
  <c r="B59" i="20"/>
  <c r="B60" i="20"/>
  <c r="B58" i="20"/>
  <c r="B54" i="20"/>
  <c r="B55" i="20"/>
  <c r="B53" i="20"/>
  <c r="B57" i="20"/>
  <c r="B52" i="20"/>
  <c r="B66" i="20" l="1"/>
  <c r="B56" i="20"/>
  <c r="J48" i="19"/>
  <c r="J122" i="20" l="1"/>
  <c r="J220" i="20"/>
  <c r="J76" i="18" l="1"/>
  <c r="B76" i="18" s="1"/>
  <c r="AK80" i="18"/>
  <c r="AH80" i="18"/>
  <c r="AG80" i="18"/>
  <c r="AE80" i="18"/>
  <c r="AM80" i="18" s="1"/>
  <c r="AD80" i="18"/>
  <c r="Z80" i="18"/>
  <c r="AA80" i="18" s="1"/>
  <c r="AK79" i="18"/>
  <c r="AH79" i="18"/>
  <c r="AG79" i="18"/>
  <c r="AE79" i="18"/>
  <c r="AM79" i="18" s="1"/>
  <c r="AD79" i="18"/>
  <c r="Z79" i="18"/>
  <c r="AA79" i="18" s="1"/>
  <c r="AK78" i="18"/>
  <c r="AH78" i="18"/>
  <c r="AG78" i="18"/>
  <c r="AE78" i="18"/>
  <c r="AD78" i="18"/>
  <c r="Z78" i="18"/>
  <c r="AA78" i="18" s="1"/>
  <c r="AK77" i="18"/>
  <c r="AH77" i="18"/>
  <c r="AG77" i="18"/>
  <c r="AE77" i="18"/>
  <c r="AM77" i="18" s="1"/>
  <c r="AD77" i="18"/>
  <c r="Z77" i="18"/>
  <c r="AA77" i="18" s="1"/>
  <c r="AK76" i="18"/>
  <c r="AH76" i="18"/>
  <c r="AG76" i="18"/>
  <c r="AE76" i="18"/>
  <c r="AM76" i="18" s="1"/>
  <c r="AD76" i="18"/>
  <c r="Z76" i="18"/>
  <c r="AA76" i="18" s="1"/>
  <c r="AM78" i="18" l="1"/>
  <c r="AH221" i="20"/>
  <c r="AG221" i="20"/>
  <c r="AE221" i="20"/>
  <c r="AD221" i="20"/>
  <c r="B221" i="20"/>
  <c r="AH220" i="20"/>
  <c r="AG220" i="20"/>
  <c r="AE220" i="20"/>
  <c r="AD220" i="20"/>
  <c r="B220" i="20"/>
  <c r="J108" i="17" l="1"/>
  <c r="B108" i="17" s="1"/>
  <c r="L38" i="19" l="1"/>
  <c r="AK51" i="17"/>
  <c r="AK52" i="17"/>
  <c r="AK53" i="17"/>
  <c r="AK54" i="17"/>
  <c r="AK55" i="17"/>
  <c r="AK56" i="17"/>
  <c r="AK57" i="17"/>
  <c r="AK58" i="17"/>
  <c r="AK59" i="17"/>
  <c r="AK62" i="17"/>
  <c r="AK63" i="17"/>
  <c r="AK64" i="17"/>
  <c r="L54" i="17"/>
  <c r="L25" i="4"/>
  <c r="AE166" i="20" l="1"/>
  <c r="AM166" i="20" s="1"/>
  <c r="AE164" i="20"/>
  <c r="AM164" i="20" s="1"/>
  <c r="AE167" i="20"/>
  <c r="AM167" i="20" s="1"/>
  <c r="B167" i="20"/>
  <c r="AE165" i="20"/>
  <c r="AM165" i="20" s="1"/>
  <c r="B165" i="20"/>
  <c r="AE168" i="20"/>
  <c r="AM168" i="20" s="1"/>
  <c r="AE169" i="20"/>
  <c r="AM169" i="20" s="1"/>
  <c r="AE161" i="20"/>
  <c r="AE155" i="20"/>
  <c r="AE154" i="20"/>
  <c r="AK155" i="20"/>
  <c r="AH155" i="20"/>
  <c r="AG155" i="20"/>
  <c r="AD155" i="20"/>
  <c r="AK154" i="20"/>
  <c r="AH154" i="20"/>
  <c r="AG154" i="20"/>
  <c r="AD154" i="20"/>
  <c r="B168" i="20"/>
  <c r="B169" i="20"/>
  <c r="B154" i="20" l="1"/>
  <c r="AM154" i="20"/>
  <c r="B155" i="20"/>
  <c r="B164" i="20"/>
  <c r="B166" i="20"/>
  <c r="AM155" i="20"/>
  <c r="J39" i="17" l="1"/>
  <c r="B39" i="17" s="1"/>
  <c r="B163" i="20" l="1"/>
  <c r="AE163" i="20"/>
  <c r="AM163" i="20" s="1"/>
  <c r="U18" i="4"/>
  <c r="Z18" i="4" s="1"/>
  <c r="U38" i="4"/>
  <c r="J208" i="20" l="1"/>
  <c r="B162" i="20" l="1"/>
  <c r="B208" i="20" s="1"/>
  <c r="AE162" i="20"/>
  <c r="U92" i="20"/>
  <c r="U208" i="20"/>
  <c r="U86" i="20"/>
  <c r="U82" i="20"/>
  <c r="U45" i="20"/>
  <c r="U35" i="20"/>
  <c r="U32" i="20"/>
  <c r="U29" i="20"/>
  <c r="U22" i="20"/>
  <c r="U305" i="20"/>
  <c r="U302" i="20"/>
  <c r="U70" i="20"/>
  <c r="Z70" i="20" s="1"/>
  <c r="U69" i="20"/>
  <c r="Z69" i="20" s="1"/>
  <c r="U47" i="20"/>
  <c r="Z47" i="20" s="1"/>
  <c r="AA47" i="20" s="1"/>
  <c r="U289" i="20"/>
  <c r="U290" i="20" s="1"/>
  <c r="U294" i="20"/>
  <c r="Z294" i="20" s="1"/>
  <c r="AA294" i="20" s="1"/>
  <c r="U292" i="20"/>
  <c r="Z292" i="20" s="1"/>
  <c r="AA292" i="20" s="1"/>
  <c r="U293" i="20"/>
  <c r="U218" i="20"/>
  <c r="Z218" i="20" s="1"/>
  <c r="AA218" i="20" s="1"/>
  <c r="U112" i="20"/>
  <c r="Z112" i="20" s="1"/>
  <c r="AA112" i="20" s="1"/>
  <c r="U215" i="20"/>
  <c r="Z215" i="20" s="1"/>
  <c r="AA215" i="20" s="1"/>
  <c r="U106" i="20"/>
  <c r="U245" i="20"/>
  <c r="U265" i="20"/>
  <c r="U211" i="20"/>
  <c r="U246" i="20"/>
  <c r="U213" i="20"/>
  <c r="U217" i="20"/>
  <c r="Z217" i="20" s="1"/>
  <c r="AA217" i="20" s="1"/>
  <c r="U271" i="20"/>
  <c r="Z271" i="20" s="1"/>
  <c r="AA271" i="20" s="1"/>
  <c r="U212" i="20"/>
  <c r="U145" i="20"/>
  <c r="U248" i="20"/>
  <c r="U116" i="20"/>
  <c r="Z116" i="20" s="1"/>
  <c r="AA116" i="20" s="1"/>
  <c r="U91" i="20"/>
  <c r="U264" i="20"/>
  <c r="U261" i="20"/>
  <c r="U109" i="20"/>
  <c r="Z109" i="20" s="1"/>
  <c r="AA109" i="20" s="1"/>
  <c r="U244" i="20"/>
  <c r="U93" i="20"/>
  <c r="U144" i="20"/>
  <c r="U110" i="20"/>
  <c r="U103" i="20"/>
  <c r="U257" i="20"/>
  <c r="U267" i="20"/>
  <c r="U96" i="20"/>
  <c r="U249" i="20"/>
  <c r="U255" i="20"/>
  <c r="U142" i="20"/>
  <c r="U252" i="20"/>
  <c r="U259" i="20"/>
  <c r="U237" i="20"/>
  <c r="U258" i="20"/>
  <c r="U260" i="20"/>
  <c r="U141" i="20"/>
  <c r="U263" i="20"/>
  <c r="U250" i="20"/>
  <c r="U97" i="20"/>
  <c r="U247" i="20"/>
  <c r="U239" i="20"/>
  <c r="U251" i="20"/>
  <c r="U262" i="20"/>
  <c r="U143" i="20"/>
  <c r="U147" i="20"/>
  <c r="U238" i="20"/>
  <c r="U102" i="20"/>
  <c r="U256" i="20"/>
  <c r="U240" i="20"/>
  <c r="U94" i="20"/>
  <c r="U101" i="20"/>
  <c r="U104" i="20"/>
  <c r="U146" i="20"/>
  <c r="Z146" i="20" s="1"/>
  <c r="U269" i="20"/>
  <c r="U254" i="20"/>
  <c r="U236" i="20"/>
  <c r="U137" i="20"/>
  <c r="U139" i="20" s="1"/>
  <c r="U266" i="20"/>
  <c r="U243" i="20"/>
  <c r="U210" i="20"/>
  <c r="U95" i="20"/>
  <c r="U108" i="20"/>
  <c r="Z108" i="20" s="1"/>
  <c r="AA108" i="20" s="1"/>
  <c r="U268" i="20"/>
  <c r="AA69" i="20" l="1"/>
  <c r="Z72" i="20"/>
  <c r="U51" i="20"/>
  <c r="Z51" i="20"/>
  <c r="U234" i="20"/>
  <c r="AE208" i="20"/>
  <c r="AM162" i="20"/>
  <c r="U299" i="20"/>
  <c r="U287" i="20"/>
  <c r="U160" i="20"/>
  <c r="U72" i="20"/>
  <c r="U135" i="20"/>
  <c r="U307" i="20" l="1"/>
  <c r="U313" i="20" s="1"/>
  <c r="U315" i="20"/>
  <c r="U57" i="19"/>
  <c r="U43" i="19"/>
  <c r="U40" i="19"/>
  <c r="U69" i="19"/>
  <c r="U48" i="19"/>
  <c r="U46" i="19"/>
  <c r="U20" i="19"/>
  <c r="U50" i="19"/>
  <c r="U45" i="19"/>
  <c r="U51" i="19"/>
  <c r="U26" i="19"/>
  <c r="U30" i="19"/>
  <c r="U59" i="19"/>
  <c r="U41" i="19"/>
  <c r="U24" i="19"/>
  <c r="U29" i="19"/>
  <c r="U19" i="19"/>
  <c r="U28" i="19"/>
  <c r="U35" i="19"/>
  <c r="U27" i="19"/>
  <c r="U39" i="19"/>
  <c r="U36" i="19"/>
  <c r="U47" i="19"/>
  <c r="U42" i="19"/>
  <c r="U77" i="19"/>
  <c r="U18" i="19"/>
  <c r="U37" i="19"/>
  <c r="U49" i="19"/>
  <c r="U44" i="19"/>
  <c r="U31" i="19"/>
  <c r="U56" i="19"/>
  <c r="U53" i="19"/>
  <c r="U55" i="19"/>
  <c r="U33" i="19"/>
  <c r="U23" i="19"/>
  <c r="U25" i="19"/>
  <c r="U32" i="19"/>
  <c r="U21" i="19"/>
  <c r="U22" i="19"/>
  <c r="U70" i="19"/>
  <c r="U38" i="19"/>
  <c r="U34" i="19"/>
  <c r="U76" i="19"/>
  <c r="U54" i="19"/>
  <c r="U74" i="19" l="1"/>
  <c r="U96" i="18"/>
  <c r="U75" i="18"/>
  <c r="U67" i="18"/>
  <c r="U24" i="18"/>
  <c r="U25" i="18"/>
  <c r="U71" i="18"/>
  <c r="U74" i="18"/>
  <c r="U17" i="18"/>
  <c r="U72" i="18"/>
  <c r="U27" i="18"/>
  <c r="U20" i="18"/>
  <c r="U68" i="18"/>
  <c r="U18" i="18"/>
  <c r="U22" i="18"/>
  <c r="U23" i="18"/>
  <c r="U56" i="18"/>
  <c r="U21" i="18"/>
  <c r="U54" i="18"/>
  <c r="U26" i="18"/>
  <c r="U47" i="18"/>
  <c r="U73" i="18"/>
  <c r="U57" i="18"/>
  <c r="U61" i="18"/>
  <c r="U55" i="18"/>
  <c r="U46" i="18"/>
  <c r="U45" i="18"/>
  <c r="U50" i="18"/>
  <c r="U58" i="18"/>
  <c r="U101" i="18"/>
  <c r="U69" i="18"/>
  <c r="U42" i="18"/>
  <c r="U59" i="18"/>
  <c r="U60" i="18"/>
  <c r="U38" i="18"/>
  <c r="U65" i="18"/>
  <c r="U66" i="18"/>
  <c r="U37" i="18"/>
  <c r="U51" i="18"/>
  <c r="U44" i="18"/>
  <c r="U63" i="18"/>
  <c r="U36" i="18"/>
  <c r="U95" i="18"/>
  <c r="U43" i="18"/>
  <c r="U39" i="18"/>
  <c r="U48" i="18"/>
  <c r="U64" i="18"/>
  <c r="U41" i="18"/>
  <c r="U103" i="18"/>
  <c r="U94" i="18"/>
  <c r="U53" i="18"/>
  <c r="U102" i="18"/>
  <c r="U100" i="18"/>
  <c r="U35" i="18"/>
  <c r="U62" i="18"/>
  <c r="U51" i="17"/>
  <c r="Z51" i="17" s="1"/>
  <c r="U69" i="17"/>
  <c r="U90" i="17"/>
  <c r="U68" i="17"/>
  <c r="U67" i="17"/>
  <c r="U89" i="17"/>
  <c r="U76" i="17"/>
  <c r="U80" i="17"/>
  <c r="U43" i="17"/>
  <c r="U25" i="17"/>
  <c r="U73" i="17"/>
  <c r="U77" i="17"/>
  <c r="U49" i="17"/>
  <c r="Z49" i="17" s="1"/>
  <c r="U88" i="17"/>
  <c r="U50" i="17"/>
  <c r="U40" i="17"/>
  <c r="Z40" i="17" s="1"/>
  <c r="U47" i="17"/>
  <c r="U42" i="17"/>
  <c r="U83" i="17"/>
  <c r="U66" i="17"/>
  <c r="U29" i="17"/>
  <c r="U75" i="17"/>
  <c r="U34" i="17"/>
  <c r="Z34" i="17" s="1"/>
  <c r="U22" i="17"/>
  <c r="U27" i="17"/>
  <c r="U17" i="17"/>
  <c r="U79" i="17"/>
  <c r="U23" i="17"/>
  <c r="U24" i="17"/>
  <c r="U78" i="17"/>
  <c r="U19" i="17"/>
  <c r="U20" i="17"/>
  <c r="U26" i="17"/>
  <c r="U30" i="17"/>
  <c r="U32" i="17"/>
  <c r="U44" i="17"/>
  <c r="U38" i="17"/>
  <c r="U37" i="17"/>
  <c r="U35" i="17"/>
  <c r="U85" i="17"/>
  <c r="U74" i="17"/>
  <c r="U18" i="17"/>
  <c r="U19" i="4"/>
  <c r="U21" i="4"/>
  <c r="U23" i="4"/>
  <c r="U45" i="4"/>
  <c r="Z45" i="4" s="1"/>
  <c r="U92" i="18" l="1"/>
  <c r="U98" i="18"/>
  <c r="U64" i="17"/>
  <c r="U103" i="17"/>
  <c r="U71" i="17"/>
  <c r="U33" i="18"/>
  <c r="U106" i="18"/>
  <c r="AE222" i="20"/>
  <c r="AG219" i="20"/>
  <c r="AH219" i="20"/>
  <c r="AG222" i="20"/>
  <c r="AH222" i="20"/>
  <c r="AK219" i="20"/>
  <c r="AK121" i="20"/>
  <c r="AG121" i="20"/>
  <c r="AG151" i="20"/>
  <c r="AG152" i="20"/>
  <c r="AH152" i="20"/>
  <c r="AG153" i="20"/>
  <c r="AH153" i="20"/>
  <c r="AG158" i="20"/>
  <c r="AH158" i="20"/>
  <c r="AG159" i="20"/>
  <c r="AH159" i="20"/>
  <c r="AE153" i="20"/>
  <c r="AE158" i="20"/>
  <c r="AE159" i="20"/>
  <c r="AH149" i="20"/>
  <c r="AH150" i="20"/>
  <c r="AG149" i="20"/>
  <c r="AG150" i="20"/>
  <c r="AG148" i="20"/>
  <c r="L40" i="20"/>
  <c r="AA40" i="20" s="1"/>
  <c r="L70" i="20"/>
  <c r="L75" i="18"/>
  <c r="L55" i="17"/>
  <c r="L72" i="20" l="1"/>
  <c r="AA70" i="20"/>
  <c r="AH151" i="20"/>
  <c r="AH148" i="20"/>
  <c r="AE152" i="20"/>
  <c r="AE151" i="20"/>
  <c r="AE148" i="20" l="1"/>
  <c r="J38" i="19" l="1"/>
  <c r="AH63" i="17" l="1"/>
  <c r="AG63" i="17"/>
  <c r="AE63" i="17"/>
  <c r="AM63" i="17" s="1"/>
  <c r="AD63" i="17"/>
  <c r="AA63" i="17"/>
  <c r="AH62" i="17"/>
  <c r="AG62" i="17"/>
  <c r="AE62" i="17"/>
  <c r="AM62" i="17" s="1"/>
  <c r="AD62" i="17"/>
  <c r="AA62" i="17"/>
  <c r="AH96" i="17"/>
  <c r="AG96" i="17"/>
  <c r="AE96" i="17"/>
  <c r="AD96" i="17"/>
  <c r="AA96" i="17"/>
  <c r="AH59" i="17"/>
  <c r="AG59" i="17"/>
  <c r="AE59" i="17"/>
  <c r="AD59" i="17"/>
  <c r="AA59" i="17"/>
  <c r="AH58" i="17"/>
  <c r="AG58" i="17"/>
  <c r="AE58" i="17"/>
  <c r="AD58" i="17"/>
  <c r="AA58" i="17"/>
  <c r="AM58" i="17" l="1"/>
  <c r="AM59" i="17"/>
  <c r="AM96" i="17"/>
  <c r="AE150" i="20"/>
  <c r="AE149" i="20" l="1"/>
  <c r="AH121" i="20" l="1"/>
  <c r="AH122" i="20"/>
  <c r="AH123" i="20"/>
  <c r="AH132" i="20"/>
  <c r="AE120" i="20"/>
  <c r="AE122" i="20"/>
  <c r="AE123" i="20"/>
  <c r="AE132" i="20"/>
  <c r="AD120" i="20"/>
  <c r="AD121" i="20"/>
  <c r="AK120" i="20"/>
  <c r="L120" i="20"/>
  <c r="AA120" i="20" s="1"/>
  <c r="AG120" i="20"/>
  <c r="L273" i="20"/>
  <c r="AA273" i="20" s="1"/>
  <c r="L272" i="20"/>
  <c r="AA272" i="20" s="1"/>
  <c r="L37" i="20"/>
  <c r="L74" i="18"/>
  <c r="AE30" i="18"/>
  <c r="V33" i="18"/>
  <c r="W33" i="18"/>
  <c r="X33" i="18"/>
  <c r="AK32" i="18"/>
  <c r="AH32" i="18"/>
  <c r="AG32" i="18"/>
  <c r="AD32" i="18"/>
  <c r="Z32" i="18"/>
  <c r="AA32" i="18" s="1"/>
  <c r="AE32" i="18"/>
  <c r="AM32" i="18" s="1"/>
  <c r="AK31" i="18"/>
  <c r="AH31" i="18"/>
  <c r="AG31" i="18"/>
  <c r="AD31" i="18"/>
  <c r="Z31" i="18"/>
  <c r="AA31" i="18" s="1"/>
  <c r="AE31" i="18"/>
  <c r="AM31" i="18" s="1"/>
  <c r="AK30" i="18"/>
  <c r="AH30" i="18"/>
  <c r="AG30" i="18"/>
  <c r="AD30" i="18"/>
  <c r="Z30" i="18"/>
  <c r="AA30" i="18" s="1"/>
  <c r="AM159" i="20"/>
  <c r="AK159" i="20"/>
  <c r="AD159" i="20"/>
  <c r="B159" i="20"/>
  <c r="AM158" i="20"/>
  <c r="AK158" i="20"/>
  <c r="AD158" i="20"/>
  <c r="B158" i="20"/>
  <c r="AM153" i="20"/>
  <c r="AK153" i="20"/>
  <c r="AD153" i="20"/>
  <c r="B153" i="20"/>
  <c r="L42" i="20" l="1"/>
  <c r="AA37" i="20"/>
  <c r="AH273" i="20"/>
  <c r="AH120" i="20"/>
  <c r="AH272" i="20"/>
  <c r="B123" i="17"/>
  <c r="AM30" i="18"/>
  <c r="AD219" i="20"/>
  <c r="L67" i="18" l="1"/>
  <c r="J70" i="20" l="1"/>
  <c r="J48" i="20"/>
  <c r="J69" i="20"/>
  <c r="AK71" i="20"/>
  <c r="AH71" i="20"/>
  <c r="AG71" i="20"/>
  <c r="AE71" i="20"/>
  <c r="AM71" i="20" s="1"/>
  <c r="AD71" i="20"/>
  <c r="B71" i="20"/>
  <c r="AK70" i="20"/>
  <c r="AH70" i="20"/>
  <c r="AG70" i="20"/>
  <c r="AD70" i="20"/>
  <c r="AE70" i="20" l="1"/>
  <c r="AM70" i="20" s="1"/>
  <c r="B70" i="20"/>
  <c r="J51" i="20"/>
  <c r="J93" i="17"/>
  <c r="AK95" i="17"/>
  <c r="AH95" i="17"/>
  <c r="AG95" i="17"/>
  <c r="AE95" i="17"/>
  <c r="AM95" i="17" s="1"/>
  <c r="AD95" i="17"/>
  <c r="Z95" i="17"/>
  <c r="AA95" i="17" s="1"/>
  <c r="B95" i="17"/>
  <c r="AK93" i="17"/>
  <c r="AH93" i="17"/>
  <c r="AG93" i="17"/>
  <c r="AE93" i="17"/>
  <c r="AM93" i="17" s="1"/>
  <c r="AD93" i="17"/>
  <c r="Z93" i="17"/>
  <c r="AA93" i="17" s="1"/>
  <c r="B93" i="17"/>
  <c r="J54" i="17"/>
  <c r="B54" i="17" s="1"/>
  <c r="J75" i="18"/>
  <c r="B75" i="18" s="1"/>
  <c r="AK286" i="20"/>
  <c r="AH286" i="20"/>
  <c r="AG286" i="20"/>
  <c r="AE286" i="20"/>
  <c r="AD286" i="20"/>
  <c r="B286" i="20"/>
  <c r="AK285" i="20"/>
  <c r="AH285" i="20"/>
  <c r="AG285" i="20"/>
  <c r="AE285" i="20"/>
  <c r="AM285" i="20" s="1"/>
  <c r="AD285" i="20"/>
  <c r="B285" i="20"/>
  <c r="AK284" i="20"/>
  <c r="AH284" i="20"/>
  <c r="AG284" i="20"/>
  <c r="AE284" i="20"/>
  <c r="AM284" i="20" s="1"/>
  <c r="AD284" i="20"/>
  <c r="B284" i="20"/>
  <c r="AK283" i="20"/>
  <c r="AH283" i="20"/>
  <c r="AG283" i="20"/>
  <c r="AE283" i="20"/>
  <c r="AM283" i="20" s="1"/>
  <c r="AD283" i="20"/>
  <c r="B283" i="20"/>
  <c r="AK282" i="20"/>
  <c r="AH282" i="20"/>
  <c r="AG282" i="20"/>
  <c r="AE282" i="20"/>
  <c r="AD282" i="20"/>
  <c r="B282" i="20"/>
  <c r="AK281" i="20"/>
  <c r="AH281" i="20"/>
  <c r="AG281" i="20"/>
  <c r="AE281" i="20"/>
  <c r="AD281" i="20"/>
  <c r="B281" i="20"/>
  <c r="AM282" i="20" l="1"/>
  <c r="AM281" i="20"/>
  <c r="AM286" i="20"/>
  <c r="Z45" i="20"/>
  <c r="Z67" i="17"/>
  <c r="AA67" i="17" s="1"/>
  <c r="Z70" i="17"/>
  <c r="AA70" i="17" s="1"/>
  <c r="AA45" i="20" l="1"/>
  <c r="T305" i="20"/>
  <c r="T302" i="20"/>
  <c r="T299" i="20"/>
  <c r="T287" i="20"/>
  <c r="T208" i="20"/>
  <c r="O208" i="20"/>
  <c r="P208" i="20"/>
  <c r="Q208" i="20"/>
  <c r="R208" i="20"/>
  <c r="S208" i="20"/>
  <c r="N208" i="20"/>
  <c r="T160" i="20"/>
  <c r="O82" i="20"/>
  <c r="P82" i="20"/>
  <c r="Q82" i="20"/>
  <c r="R82" i="20"/>
  <c r="S82" i="20"/>
  <c r="N82" i="20"/>
  <c r="O86" i="20"/>
  <c r="P86" i="20"/>
  <c r="Q86" i="20"/>
  <c r="R86" i="20"/>
  <c r="S86" i="20"/>
  <c r="T86" i="20"/>
  <c r="N86" i="20"/>
  <c r="T72" i="20"/>
  <c r="T45" i="20"/>
  <c r="T35" i="20"/>
  <c r="T32" i="20"/>
  <c r="T29" i="20"/>
  <c r="T22" i="20"/>
  <c r="T289" i="20"/>
  <c r="T100" i="20"/>
  <c r="T135" i="20" s="1"/>
  <c r="AA51" i="20" l="1"/>
  <c r="T52" i="19"/>
  <c r="U67" i="19"/>
  <c r="U79" i="19"/>
  <c r="T62" i="18" l="1"/>
  <c r="T51" i="18"/>
  <c r="T63" i="18"/>
  <c r="T46" i="18"/>
  <c r="T100" i="18"/>
  <c r="T37" i="18"/>
  <c r="T44" i="18"/>
  <c r="T65" i="18"/>
  <c r="T41" i="18"/>
  <c r="T114" i="17" l="1"/>
  <c r="T68" i="17"/>
  <c r="T78" i="17"/>
  <c r="T43" i="17"/>
  <c r="T85" i="17"/>
  <c r="T87" i="17"/>
  <c r="T89" i="17"/>
  <c r="T90" i="17"/>
  <c r="T18" i="17"/>
  <c r="T28" i="17"/>
  <c r="Z28" i="17" s="1"/>
  <c r="T82" i="17"/>
  <c r="T26" i="17"/>
  <c r="T23" i="17"/>
  <c r="T47" i="17"/>
  <c r="T75" i="17"/>
  <c r="T21" i="17"/>
  <c r="T27" i="17"/>
  <c r="T73" i="17"/>
  <c r="T79" i="17"/>
  <c r="T74" i="17"/>
  <c r="T17" i="17"/>
  <c r="T88" i="17"/>
  <c r="T24" i="17"/>
  <c r="T20" i="17"/>
  <c r="T19" i="17"/>
  <c r="T25" i="17"/>
  <c r="T37" i="17"/>
  <c r="T35" i="17"/>
  <c r="T29" i="17"/>
  <c r="T80" i="17"/>
  <c r="T121" i="17"/>
  <c r="Z121" i="17" s="1"/>
  <c r="P30" i="4"/>
  <c r="P36" i="4"/>
  <c r="P40" i="4"/>
  <c r="T40" i="4"/>
  <c r="T22" i="4"/>
  <c r="AD276" i="20"/>
  <c r="M276" i="20"/>
  <c r="L274" i="20"/>
  <c r="AA274" i="20" s="1"/>
  <c r="Z68" i="17" l="1"/>
  <c r="AA68" i="17" s="1"/>
  <c r="T71" i="17"/>
  <c r="P42" i="4"/>
  <c r="AK118" i="20"/>
  <c r="AK119" i="20"/>
  <c r="AG118" i="20"/>
  <c r="AH118" i="20"/>
  <c r="AG119" i="20"/>
  <c r="AE118" i="20"/>
  <c r="M115" i="20"/>
  <c r="M116" i="20"/>
  <c r="AH119" i="20" l="1"/>
  <c r="J219" i="20"/>
  <c r="J121" i="20"/>
  <c r="B132" i="20"/>
  <c r="B123" i="20"/>
  <c r="B122" i="20"/>
  <c r="J111" i="17"/>
  <c r="AK70" i="18"/>
  <c r="L70" i="18"/>
  <c r="M73" i="18"/>
  <c r="AK73" i="18" s="1"/>
  <c r="M71" i="18"/>
  <c r="AK71" i="18" s="1"/>
  <c r="AK72" i="18"/>
  <c r="AK74" i="18"/>
  <c r="AK75" i="18"/>
  <c r="AK69" i="18"/>
  <c r="AE219" i="20" l="1"/>
  <c r="AE121" i="20"/>
  <c r="AE276" i="20"/>
  <c r="I274" i="20"/>
  <c r="AD119" i="20"/>
  <c r="AE119" i="20"/>
  <c r="AD118" i="20"/>
  <c r="J72" i="20"/>
  <c r="J67" i="18" l="1"/>
  <c r="B67" i="18" s="1"/>
  <c r="J53" i="17" l="1"/>
  <c r="B53" i="17" s="1"/>
  <c r="J49" i="18" l="1"/>
  <c r="B49" i="18" s="1"/>
  <c r="J27" i="17"/>
  <c r="B27" i="17" s="1"/>
  <c r="J76" i="17"/>
  <c r="J75" i="17"/>
  <c r="J34" i="17"/>
  <c r="B34" i="17" s="1"/>
  <c r="J33" i="17"/>
  <c r="B33" i="17" s="1"/>
  <c r="J32" i="17"/>
  <c r="B32" i="17" s="1"/>
  <c r="J23" i="17" l="1"/>
  <c r="B23" i="17" s="1"/>
  <c r="J22" i="17"/>
  <c r="B22" i="17" l="1"/>
  <c r="J40" i="20"/>
  <c r="AB42" i="20"/>
  <c r="AC42" i="20"/>
  <c r="AF42" i="20"/>
  <c r="AI42" i="20"/>
  <c r="AJ42" i="20"/>
  <c r="AL42" i="20"/>
  <c r="AK40" i="20"/>
  <c r="AH40" i="20"/>
  <c r="AG40" i="20"/>
  <c r="AD40" i="20"/>
  <c r="AK39" i="20"/>
  <c r="AH39" i="20"/>
  <c r="AG39" i="20"/>
  <c r="AD39" i="20"/>
  <c r="AE39" i="20"/>
  <c r="B39" i="20"/>
  <c r="Q160" i="20"/>
  <c r="AB160" i="20"/>
  <c r="AC160" i="20"/>
  <c r="AF160" i="20"/>
  <c r="AI160" i="20"/>
  <c r="AJ160" i="20"/>
  <c r="AL160" i="20"/>
  <c r="P160" i="20"/>
  <c r="AM152" i="20"/>
  <c r="AK152" i="20"/>
  <c r="AD152" i="20"/>
  <c r="B152" i="20"/>
  <c r="AM151" i="20"/>
  <c r="AK151" i="20"/>
  <c r="AD151" i="20"/>
  <c r="B151" i="20"/>
  <c r="AM150" i="20"/>
  <c r="AK150" i="20"/>
  <c r="AD150" i="20"/>
  <c r="B150" i="20"/>
  <c r="B40" i="20" l="1"/>
  <c r="AM39" i="20"/>
  <c r="AE40" i="20"/>
  <c r="AM40" i="20" s="1"/>
  <c r="J24" i="20" l="1"/>
  <c r="J26" i="20" l="1"/>
  <c r="B16" i="4"/>
  <c r="B47" i="4" s="1"/>
  <c r="Z208" i="20" l="1"/>
  <c r="B276" i="20"/>
  <c r="N33" i="18" l="1"/>
  <c r="O33" i="18"/>
  <c r="P33" i="18"/>
  <c r="Q33" i="18"/>
  <c r="R33" i="18"/>
  <c r="T33" i="18"/>
  <c r="AB33" i="18"/>
  <c r="AC33" i="18"/>
  <c r="AJ33" i="18"/>
  <c r="AL33" i="18"/>
  <c r="AK29" i="18"/>
  <c r="AH29" i="18"/>
  <c r="AG29" i="18"/>
  <c r="AE29" i="18"/>
  <c r="AM29" i="18" s="1"/>
  <c r="AD29" i="18"/>
  <c r="Z29" i="18"/>
  <c r="AA29" i="18" s="1"/>
  <c r="B275" i="20" l="1"/>
  <c r="B274" i="20"/>
  <c r="B277" i="20"/>
  <c r="AE280" i="20"/>
  <c r="AH280" i="20"/>
  <c r="AK280" i="20"/>
  <c r="AG280" i="20"/>
  <c r="AD280" i="20"/>
  <c r="B280" i="20"/>
  <c r="AE279" i="20"/>
  <c r="AH279" i="20"/>
  <c r="AK279" i="20"/>
  <c r="AG279" i="20"/>
  <c r="AD279" i="20"/>
  <c r="B279" i="20"/>
  <c r="AE278" i="20"/>
  <c r="AH278" i="20"/>
  <c r="AK278" i="20"/>
  <c r="AG278" i="20"/>
  <c r="AD278" i="20"/>
  <c r="B278" i="20"/>
  <c r="AE277" i="20"/>
  <c r="AH277" i="20"/>
  <c r="AK277" i="20"/>
  <c r="AG277" i="20"/>
  <c r="AD277" i="20"/>
  <c r="AK276" i="20"/>
  <c r="AH276" i="20"/>
  <c r="AM276" i="20" s="1"/>
  <c r="AG276" i="20"/>
  <c r="AK275" i="20"/>
  <c r="AH275" i="20"/>
  <c r="AG275" i="20"/>
  <c r="AE275" i="20"/>
  <c r="AM275" i="20" s="1"/>
  <c r="AD275" i="20"/>
  <c r="J74" i="18"/>
  <c r="B119" i="20"/>
  <c r="AE116" i="20"/>
  <c r="B215" i="20"/>
  <c r="B217" i="20"/>
  <c r="B271" i="20"/>
  <c r="B30" i="20"/>
  <c r="B218" i="20"/>
  <c r="B222" i="20"/>
  <c r="B219" i="20"/>
  <c r="B117" i="20"/>
  <c r="B118" i="20"/>
  <c r="B120" i="20"/>
  <c r="B98" i="20"/>
  <c r="B99" i="20"/>
  <c r="B101" i="20"/>
  <c r="B102" i="20"/>
  <c r="B104" i="20"/>
  <c r="B105" i="20"/>
  <c r="B106" i="20"/>
  <c r="B107" i="20"/>
  <c r="B108" i="20"/>
  <c r="B111" i="20"/>
  <c r="B114" i="20"/>
  <c r="B121" i="20"/>
  <c r="O72" i="20"/>
  <c r="P72" i="20"/>
  <c r="Q72" i="20"/>
  <c r="R72" i="20"/>
  <c r="S72" i="20"/>
  <c r="AB72" i="20"/>
  <c r="AC72" i="20"/>
  <c r="AD68" i="20"/>
  <c r="AE68" i="20"/>
  <c r="AF72" i="20"/>
  <c r="AG68" i="20"/>
  <c r="AH68" i="20"/>
  <c r="AI72" i="20"/>
  <c r="AJ72" i="20"/>
  <c r="AK68" i="20"/>
  <c r="AL72" i="20"/>
  <c r="N72" i="20"/>
  <c r="B68" i="20"/>
  <c r="AE69" i="20"/>
  <c r="AH69" i="20"/>
  <c r="AK69" i="20"/>
  <c r="AG69" i="20"/>
  <c r="AD69" i="20"/>
  <c r="B69" i="20"/>
  <c r="AK274" i="20"/>
  <c r="AH274" i="20"/>
  <c r="AG274" i="20"/>
  <c r="AE274" i="20"/>
  <c r="AD274" i="20"/>
  <c r="AK273" i="20"/>
  <c r="AG273" i="20"/>
  <c r="AE273" i="20"/>
  <c r="AM273" i="20" s="1"/>
  <c r="AD273" i="20"/>
  <c r="B273" i="20"/>
  <c r="B239" i="20"/>
  <c r="B241" i="20"/>
  <c r="B256" i="20"/>
  <c r="B257" i="20"/>
  <c r="B258" i="20"/>
  <c r="B259" i="20"/>
  <c r="B260" i="20"/>
  <c r="B261" i="20"/>
  <c r="B262" i="20"/>
  <c r="B263" i="20"/>
  <c r="B264" i="20"/>
  <c r="B265" i="20"/>
  <c r="B267" i="20"/>
  <c r="B268" i="20"/>
  <c r="B269" i="20"/>
  <c r="B272" i="20"/>
  <c r="AK272" i="20"/>
  <c r="AG272" i="20"/>
  <c r="AE272" i="20"/>
  <c r="AM272" i="20" s="1"/>
  <c r="AD272" i="20"/>
  <c r="B70" i="17"/>
  <c r="O71" i="17"/>
  <c r="P71" i="17"/>
  <c r="Q71" i="17"/>
  <c r="R71" i="17"/>
  <c r="W71" i="17"/>
  <c r="AB71" i="17"/>
  <c r="AC71" i="17"/>
  <c r="AF71" i="17"/>
  <c r="AJ71" i="17"/>
  <c r="AL71" i="17"/>
  <c r="N71" i="17"/>
  <c r="B21" i="20"/>
  <c r="J28" i="20"/>
  <c r="AH58" i="18"/>
  <c r="S289" i="20"/>
  <c r="S290" i="20" s="1"/>
  <c r="S263" i="20"/>
  <c r="Z263" i="20" s="1"/>
  <c r="AA263" i="20" s="1"/>
  <c r="L58" i="19"/>
  <c r="AH58" i="19" s="1"/>
  <c r="B84" i="20"/>
  <c r="B85" i="20"/>
  <c r="AK85" i="20"/>
  <c r="AH85" i="20"/>
  <c r="AG85" i="20"/>
  <c r="AE85" i="20"/>
  <c r="AD85" i="20"/>
  <c r="AA85" i="20"/>
  <c r="AK84" i="20"/>
  <c r="AH84" i="20"/>
  <c r="AG84" i="20"/>
  <c r="AE84" i="20"/>
  <c r="AM84" i="20" s="1"/>
  <c r="AD84" i="20"/>
  <c r="B83" i="20"/>
  <c r="AK83" i="20"/>
  <c r="AH83" i="20"/>
  <c r="AG83" i="20"/>
  <c r="AE83" i="20"/>
  <c r="AD83" i="20"/>
  <c r="Z83" i="20"/>
  <c r="AA83" i="20" s="1"/>
  <c r="B33" i="20"/>
  <c r="AH112" i="20"/>
  <c r="L114" i="20"/>
  <c r="AA114" i="20" s="1"/>
  <c r="L113" i="20"/>
  <c r="AA113" i="20" s="1"/>
  <c r="L100" i="20"/>
  <c r="AH100" i="20" s="1"/>
  <c r="L57" i="19"/>
  <c r="AH57" i="19" s="1"/>
  <c r="L92" i="17"/>
  <c r="AH92" i="17" s="1"/>
  <c r="L107" i="17"/>
  <c r="AH107" i="17" s="1"/>
  <c r="AH51" i="17"/>
  <c r="L28" i="4"/>
  <c r="K28" i="4"/>
  <c r="AG28" i="4" s="1"/>
  <c r="B109" i="20"/>
  <c r="J266" i="20"/>
  <c r="AE145" i="20"/>
  <c r="AE214" i="20"/>
  <c r="B110" i="20"/>
  <c r="B255" i="20"/>
  <c r="J211" i="20"/>
  <c r="AE240" i="20"/>
  <c r="J146" i="20"/>
  <c r="AE50" i="19"/>
  <c r="O135" i="20"/>
  <c r="AE51" i="20"/>
  <c r="B67" i="20"/>
  <c r="B73" i="20"/>
  <c r="AK74" i="20"/>
  <c r="AK78" i="20" s="1"/>
  <c r="AG74" i="20"/>
  <c r="AD74" i="20"/>
  <c r="AK73" i="20"/>
  <c r="AH73" i="20"/>
  <c r="AG73" i="20"/>
  <c r="AE73" i="20"/>
  <c r="AM73" i="20" s="1"/>
  <c r="AD73" i="20"/>
  <c r="Z73" i="20"/>
  <c r="AA73" i="20" s="1"/>
  <c r="O110" i="18"/>
  <c r="P110" i="18"/>
  <c r="Q110" i="18"/>
  <c r="R110" i="18"/>
  <c r="S110" i="18"/>
  <c r="T110" i="18"/>
  <c r="U110" i="18"/>
  <c r="V110" i="18"/>
  <c r="W110" i="18"/>
  <c r="X110" i="18"/>
  <c r="N110" i="18"/>
  <c r="AK109" i="18"/>
  <c r="AH109" i="18"/>
  <c r="AG109" i="18"/>
  <c r="AE109" i="18"/>
  <c r="AM109" i="18" s="1"/>
  <c r="AD109" i="18"/>
  <c r="Z109" i="18"/>
  <c r="AA109" i="18" s="1"/>
  <c r="J52" i="17"/>
  <c r="B52" i="17" s="1"/>
  <c r="N64" i="17"/>
  <c r="O64" i="17"/>
  <c r="P64" i="17"/>
  <c r="R64" i="17"/>
  <c r="T64" i="17"/>
  <c r="W64" i="17"/>
  <c r="AB64" i="17"/>
  <c r="AC64" i="17"/>
  <c r="AI64" i="17"/>
  <c r="AJ64" i="17"/>
  <c r="AL64" i="17"/>
  <c r="AH57" i="17"/>
  <c r="AG57" i="17"/>
  <c r="AE57" i="17"/>
  <c r="AM57" i="17" s="1"/>
  <c r="AD57" i="17"/>
  <c r="AA57" i="17"/>
  <c r="AH56" i="17"/>
  <c r="AG56" i="17"/>
  <c r="AE56" i="17"/>
  <c r="AM56" i="17" s="1"/>
  <c r="AD56" i="17"/>
  <c r="AA56" i="17"/>
  <c r="AH55" i="17"/>
  <c r="AG55" i="17"/>
  <c r="AE55" i="17"/>
  <c r="AM55" i="17" s="1"/>
  <c r="AD55" i="17"/>
  <c r="AA55" i="17"/>
  <c r="AH54" i="17"/>
  <c r="AG54" i="17"/>
  <c r="AE54" i="17"/>
  <c r="AM54" i="17" s="1"/>
  <c r="AD54" i="17"/>
  <c r="AA54" i="17"/>
  <c r="AH53" i="17"/>
  <c r="AG53" i="17"/>
  <c r="AE53" i="17"/>
  <c r="AM53" i="17" s="1"/>
  <c r="AD53" i="17"/>
  <c r="AA53" i="17"/>
  <c r="N92" i="18"/>
  <c r="T92" i="18"/>
  <c r="V92" i="18"/>
  <c r="W92" i="18"/>
  <c r="X92" i="18"/>
  <c r="AH75" i="18"/>
  <c r="AG75" i="18"/>
  <c r="AE75" i="18"/>
  <c r="AM75" i="18" s="1"/>
  <c r="AD75" i="18"/>
  <c r="Z75" i="18"/>
  <c r="AA75" i="18" s="1"/>
  <c r="AH74" i="18"/>
  <c r="AG74" i="18"/>
  <c r="AD74" i="18"/>
  <c r="Z74" i="18"/>
  <c r="AA74" i="18" s="1"/>
  <c r="AH73" i="18"/>
  <c r="AG73" i="18"/>
  <c r="AE73" i="18"/>
  <c r="AM73" i="18" s="1"/>
  <c r="AD73" i="18"/>
  <c r="Z73" i="18"/>
  <c r="AA73" i="18" s="1"/>
  <c r="AH72" i="18"/>
  <c r="AG72" i="18"/>
  <c r="AE72" i="18"/>
  <c r="AM72" i="18" s="1"/>
  <c r="AD72" i="18"/>
  <c r="Z72" i="18"/>
  <c r="AA72" i="18" s="1"/>
  <c r="AH71" i="18"/>
  <c r="AG71" i="18"/>
  <c r="AE71" i="18"/>
  <c r="AM71" i="18" s="1"/>
  <c r="AD71" i="18"/>
  <c r="Z71" i="18"/>
  <c r="AA71" i="18" s="1"/>
  <c r="S210" i="20"/>
  <c r="Z210" i="20" s="1"/>
  <c r="S106" i="20"/>
  <c r="Z106" i="20" s="1"/>
  <c r="AA106" i="20" s="1"/>
  <c r="S293" i="20"/>
  <c r="S253" i="20"/>
  <c r="S107" i="20"/>
  <c r="Z107" i="20" s="1"/>
  <c r="AA107" i="20" s="1"/>
  <c r="S244" i="20"/>
  <c r="Z244" i="20" s="1"/>
  <c r="AA244" i="20" s="1"/>
  <c r="S103" i="20"/>
  <c r="Z103" i="20" s="1"/>
  <c r="AA103" i="20" s="1"/>
  <c r="S110" i="20"/>
  <c r="Z110" i="20" s="1"/>
  <c r="AA110" i="20" s="1"/>
  <c r="S147" i="20"/>
  <c r="Z147" i="20" s="1"/>
  <c r="AA147" i="20" s="1"/>
  <c r="S261" i="20"/>
  <c r="Z261" i="20" s="1"/>
  <c r="AA261" i="20" s="1"/>
  <c r="S96" i="20"/>
  <c r="S97" i="20"/>
  <c r="S247" i="20"/>
  <c r="Z247" i="20" s="1"/>
  <c r="AA247" i="20" s="1"/>
  <c r="S211" i="20"/>
  <c r="Z211" i="20" s="1"/>
  <c r="AA211" i="20" s="1"/>
  <c r="S213" i="20"/>
  <c r="Z213" i="20" s="1"/>
  <c r="S212" i="20"/>
  <c r="Z212" i="20" s="1"/>
  <c r="S145" i="20"/>
  <c r="Z145" i="20" s="1"/>
  <c r="S91" i="20"/>
  <c r="Z91" i="20" s="1"/>
  <c r="S95" i="20"/>
  <c r="Z95" i="20" s="1"/>
  <c r="S251" i="20"/>
  <c r="Z251" i="20" s="1"/>
  <c r="S254" i="20"/>
  <c r="Z254" i="20" s="1"/>
  <c r="AA254" i="20" s="1"/>
  <c r="S267" i="20"/>
  <c r="Z267" i="20" s="1"/>
  <c r="AA267" i="20" s="1"/>
  <c r="S245" i="20"/>
  <c r="Z245" i="20" s="1"/>
  <c r="S94" i="20"/>
  <c r="P135" i="20"/>
  <c r="AK117" i="20"/>
  <c r="AH117" i="20"/>
  <c r="AG117" i="20"/>
  <c r="AE117" i="20"/>
  <c r="AM117" i="20" s="1"/>
  <c r="AD117" i="20"/>
  <c r="AK116" i="20"/>
  <c r="AH116" i="20"/>
  <c r="AG116" i="20"/>
  <c r="AD116" i="20"/>
  <c r="S242" i="20"/>
  <c r="Z242" i="20" s="1"/>
  <c r="S250" i="20"/>
  <c r="Z250" i="20" s="1"/>
  <c r="S240" i="20"/>
  <c r="S144" i="20"/>
  <c r="Z144" i="20" s="1"/>
  <c r="AA144" i="20" s="1"/>
  <c r="S142" i="20"/>
  <c r="Z142" i="20" s="1"/>
  <c r="AA142" i="20" s="1"/>
  <c r="S264" i="20"/>
  <c r="Z264" i="20" s="1"/>
  <c r="AA264" i="20" s="1"/>
  <c r="S243" i="20"/>
  <c r="Z243" i="20" s="1"/>
  <c r="AA243" i="20" s="1"/>
  <c r="S239" i="20"/>
  <c r="Z239" i="20" s="1"/>
  <c r="AA239" i="20" s="1"/>
  <c r="S102" i="20"/>
  <c r="Z102" i="20" s="1"/>
  <c r="AA102" i="20" s="1"/>
  <c r="S143" i="20"/>
  <c r="S249" i="20"/>
  <c r="Z249" i="20" s="1"/>
  <c r="AA249" i="20" s="1"/>
  <c r="S141" i="20"/>
  <c r="Z141" i="20" s="1"/>
  <c r="AA141" i="20" s="1"/>
  <c r="S238" i="20"/>
  <c r="Z238" i="20" s="1"/>
  <c r="AA238" i="20" s="1"/>
  <c r="S260" i="20"/>
  <c r="Z260" i="20" s="1"/>
  <c r="AA260" i="20" s="1"/>
  <c r="S252" i="20"/>
  <c r="Z252" i="20" s="1"/>
  <c r="AA252" i="20" s="1"/>
  <c r="S248" i="20"/>
  <c r="Z248" i="20" s="1"/>
  <c r="S236" i="20"/>
  <c r="S237" i="20"/>
  <c r="Z237" i="20" s="1"/>
  <c r="AA237" i="20" s="1"/>
  <c r="S265" i="20"/>
  <c r="Z265" i="20" s="1"/>
  <c r="AA265" i="20" s="1"/>
  <c r="S258" i="20"/>
  <c r="Z258" i="20" s="1"/>
  <c r="AA258" i="20" s="1"/>
  <c r="S246" i="20"/>
  <c r="Z246" i="20" s="1"/>
  <c r="S259" i="20"/>
  <c r="Z259" i="20" s="1"/>
  <c r="AA259" i="20" s="1"/>
  <c r="S256" i="20"/>
  <c r="Z256" i="20" s="1"/>
  <c r="AA256" i="20" s="1"/>
  <c r="S268" i="20"/>
  <c r="Z268" i="20" s="1"/>
  <c r="AA268" i="20" s="1"/>
  <c r="S93" i="20"/>
  <c r="Z93" i="20" s="1"/>
  <c r="AA93" i="20" s="1"/>
  <c r="S92" i="20"/>
  <c r="Z92" i="20" s="1"/>
  <c r="S269" i="20"/>
  <c r="Z269" i="20" s="1"/>
  <c r="AA269" i="20" s="1"/>
  <c r="S266" i="20"/>
  <c r="Z266" i="20" s="1"/>
  <c r="AA266" i="20" s="1"/>
  <c r="S262" i="20"/>
  <c r="Z262" i="20" s="1"/>
  <c r="AA262" i="20" s="1"/>
  <c r="S257" i="20"/>
  <c r="Z257" i="20" s="1"/>
  <c r="AA257" i="20" s="1"/>
  <c r="S100" i="20"/>
  <c r="Z100" i="20" s="1"/>
  <c r="AA100" i="20" s="1"/>
  <c r="S137" i="20"/>
  <c r="S101" i="20"/>
  <c r="Z101" i="20" s="1"/>
  <c r="AA101" i="20" s="1"/>
  <c r="S104" i="20"/>
  <c r="Z104" i="20" s="1"/>
  <c r="AA104" i="20" s="1"/>
  <c r="S255" i="20"/>
  <c r="Z255" i="20" s="1"/>
  <c r="AA255" i="20" s="1"/>
  <c r="S46" i="19"/>
  <c r="S20" i="19"/>
  <c r="Z20" i="19" s="1"/>
  <c r="AA20" i="19" s="1"/>
  <c r="S35" i="19"/>
  <c r="Z35" i="19" s="1"/>
  <c r="S50" i="19"/>
  <c r="Z50" i="19" s="1"/>
  <c r="AA50" i="19" s="1"/>
  <c r="S40" i="19"/>
  <c r="Z40" i="19" s="1"/>
  <c r="AA40" i="19" s="1"/>
  <c r="S49" i="19"/>
  <c r="Z49" i="19" s="1"/>
  <c r="AA49" i="19" s="1"/>
  <c r="S37" i="19"/>
  <c r="S48" i="19"/>
  <c r="S27" i="19"/>
  <c r="Z27" i="19" s="1"/>
  <c r="AA27" i="19" s="1"/>
  <c r="S29" i="19"/>
  <c r="S42" i="19"/>
  <c r="Z42" i="19" s="1"/>
  <c r="AA42" i="19" s="1"/>
  <c r="S43" i="19"/>
  <c r="Z43" i="19" s="1"/>
  <c r="AA43" i="19" s="1"/>
  <c r="S26" i="19"/>
  <c r="Z26" i="19" s="1"/>
  <c r="AA26" i="19" s="1"/>
  <c r="S47" i="19"/>
  <c r="Z47" i="19" s="1"/>
  <c r="AA47" i="19" s="1"/>
  <c r="S34" i="19"/>
  <c r="Z34" i="19" s="1"/>
  <c r="S77" i="19"/>
  <c r="Z77" i="19" s="1"/>
  <c r="S39" i="19"/>
  <c r="Z39" i="19" s="1"/>
  <c r="AA39" i="19" s="1"/>
  <c r="S36" i="19"/>
  <c r="Z36" i="19" s="1"/>
  <c r="AA36" i="19" s="1"/>
  <c r="S19" i="19"/>
  <c r="S70" i="19"/>
  <c r="Z70" i="19" s="1"/>
  <c r="S22" i="19"/>
  <c r="S23" i="19"/>
  <c r="S32" i="19"/>
  <c r="Z32" i="19" s="1"/>
  <c r="AA32" i="19" s="1"/>
  <c r="S30" i="19"/>
  <c r="Z30" i="19" s="1"/>
  <c r="AA30" i="19" s="1"/>
  <c r="S44" i="19"/>
  <c r="Z44" i="19" s="1"/>
  <c r="AA44" i="19" s="1"/>
  <c r="S38" i="19"/>
  <c r="Z38" i="19" s="1"/>
  <c r="AA38" i="19" s="1"/>
  <c r="S45" i="19"/>
  <c r="Z45" i="19" s="1"/>
  <c r="AA45" i="19" s="1"/>
  <c r="S18" i="19"/>
  <c r="S69" i="19"/>
  <c r="S33" i="19"/>
  <c r="S25" i="19"/>
  <c r="Z25" i="19" s="1"/>
  <c r="AA25" i="19" s="1"/>
  <c r="S21" i="19"/>
  <c r="S24" i="19"/>
  <c r="S28" i="19"/>
  <c r="Z28" i="19" s="1"/>
  <c r="S31" i="19"/>
  <c r="Z31" i="19" s="1"/>
  <c r="AA31" i="19" s="1"/>
  <c r="S76" i="19"/>
  <c r="S41" i="19"/>
  <c r="Z41" i="19" s="1"/>
  <c r="AA41" i="19" s="1"/>
  <c r="J37" i="20"/>
  <c r="AK38" i="20"/>
  <c r="AH38" i="20"/>
  <c r="AG38" i="20"/>
  <c r="AE38" i="20"/>
  <c r="AM38" i="20" s="1"/>
  <c r="AD38" i="20"/>
  <c r="B38" i="20"/>
  <c r="S96" i="18"/>
  <c r="S55" i="18"/>
  <c r="Z55" i="18" s="1"/>
  <c r="S54" i="18"/>
  <c r="S47" i="18"/>
  <c r="S59" i="18"/>
  <c r="S56" i="18"/>
  <c r="Z56" i="18" s="1"/>
  <c r="S52" i="18"/>
  <c r="Z52" i="18" s="1"/>
  <c r="S22" i="18"/>
  <c r="Z22" i="18" s="1"/>
  <c r="S23" i="18"/>
  <c r="Z23" i="18" s="1"/>
  <c r="S17" i="18"/>
  <c r="Z17" i="18" s="1"/>
  <c r="S64" i="18"/>
  <c r="Z64" i="18" s="1"/>
  <c r="AA64" i="18" s="1"/>
  <c r="S20" i="18"/>
  <c r="Z20" i="18" s="1"/>
  <c r="S68" i="18"/>
  <c r="Z68" i="18" s="1"/>
  <c r="S95" i="18"/>
  <c r="Z95" i="18" s="1"/>
  <c r="AA95" i="18" s="1"/>
  <c r="S36" i="18"/>
  <c r="S58" i="18"/>
  <c r="S44" i="18"/>
  <c r="S37" i="18"/>
  <c r="S40" i="18"/>
  <c r="S45" i="18"/>
  <c r="S38" i="18"/>
  <c r="S46" i="18"/>
  <c r="S60" i="18"/>
  <c r="S51" i="18"/>
  <c r="S43" i="18"/>
  <c r="S39" i="18"/>
  <c r="S53" i="18"/>
  <c r="Z53" i="18" s="1"/>
  <c r="AA53" i="18" s="1"/>
  <c r="S21" i="18"/>
  <c r="S57" i="18"/>
  <c r="S50" i="18"/>
  <c r="S61" i="18"/>
  <c r="Z61" i="18" s="1"/>
  <c r="AA61" i="18" s="1"/>
  <c r="S18" i="18"/>
  <c r="Z18" i="18" s="1"/>
  <c r="S35" i="18"/>
  <c r="S94" i="18"/>
  <c r="S101" i="18"/>
  <c r="Z101" i="18" s="1"/>
  <c r="S102" i="18"/>
  <c r="S103" i="18"/>
  <c r="S100" i="18"/>
  <c r="S63" i="18"/>
  <c r="S48" i="18"/>
  <c r="S62" i="18"/>
  <c r="Z62" i="18" s="1"/>
  <c r="AA62" i="18" s="1"/>
  <c r="S41" i="18"/>
  <c r="S42" i="18"/>
  <c r="S78" i="17"/>
  <c r="Z78" i="17" s="1"/>
  <c r="AA78" i="17" s="1"/>
  <c r="S69" i="17"/>
  <c r="Z69" i="17" s="1"/>
  <c r="AA69" i="17" s="1"/>
  <c r="S32" i="17"/>
  <c r="S44" i="17"/>
  <c r="Z44" i="17" s="1"/>
  <c r="S25" i="17"/>
  <c r="Z25" i="17" s="1"/>
  <c r="S80" i="17"/>
  <c r="Z80" i="17" s="1"/>
  <c r="S26" i="17"/>
  <c r="S66" i="17"/>
  <c r="S71" i="17" s="1"/>
  <c r="S42" i="17"/>
  <c r="S75" i="17"/>
  <c r="Z75" i="17" s="1"/>
  <c r="S41" i="17"/>
  <c r="S43" i="17"/>
  <c r="Z43" i="17" s="1"/>
  <c r="AA43" i="17" s="1"/>
  <c r="S73" i="17"/>
  <c r="Z73" i="17" s="1"/>
  <c r="S83" i="17"/>
  <c r="S90" i="17"/>
  <c r="Z90" i="17" s="1"/>
  <c r="AA90" i="17" s="1"/>
  <c r="S76" i="17"/>
  <c r="S105" i="17"/>
  <c r="S114" i="17" s="1"/>
  <c r="S20" i="17"/>
  <c r="Z20" i="17" s="1"/>
  <c r="S50" i="17"/>
  <c r="Z50" i="17" s="1"/>
  <c r="S35" i="17"/>
  <c r="Z35" i="17" s="1"/>
  <c r="AA35" i="17" s="1"/>
  <c r="S79" i="17"/>
  <c r="Z79" i="17" s="1"/>
  <c r="S74" i="17"/>
  <c r="S47" i="17"/>
  <c r="Z47" i="17" s="1"/>
  <c r="AA47" i="17" s="1"/>
  <c r="S89" i="17"/>
  <c r="S19" i="17"/>
  <c r="Z19" i="17" s="1"/>
  <c r="S27" i="17"/>
  <c r="Z27" i="17" s="1"/>
  <c r="S88" i="17"/>
  <c r="Z88" i="17" s="1"/>
  <c r="AA88" i="17" s="1"/>
  <c r="S29" i="17"/>
  <c r="Z29" i="17" s="1"/>
  <c r="S77" i="17"/>
  <c r="S38" i="17"/>
  <c r="Z38" i="17" s="1"/>
  <c r="AA38" i="17" s="1"/>
  <c r="S85" i="17"/>
  <c r="Z85" i="17" s="1"/>
  <c r="AA85" i="17" s="1"/>
  <c r="S21" i="17"/>
  <c r="Z21" i="17" s="1"/>
  <c r="S22" i="17"/>
  <c r="S82" i="17"/>
  <c r="Z82" i="17" s="1"/>
  <c r="AA82" i="17" s="1"/>
  <c r="S37" i="17"/>
  <c r="S87" i="17"/>
  <c r="Z87" i="17" s="1"/>
  <c r="AA87" i="17" s="1"/>
  <c r="S39" i="17"/>
  <c r="S84" i="17"/>
  <c r="Z84" i="17" s="1"/>
  <c r="AA84" i="17" s="1"/>
  <c r="S30" i="17"/>
  <c r="Z30" i="17" s="1"/>
  <c r="S18" i="17"/>
  <c r="Z18" i="17" s="1"/>
  <c r="AA18" i="17" s="1"/>
  <c r="S17" i="17"/>
  <c r="Z17" i="17" s="1"/>
  <c r="S24" i="17"/>
  <c r="Z24" i="17" s="1"/>
  <c r="AA24" i="17" s="1"/>
  <c r="S23" i="17"/>
  <c r="Z23" i="17" s="1"/>
  <c r="S45" i="17"/>
  <c r="Z45" i="17" s="1"/>
  <c r="AA45" i="17" s="1"/>
  <c r="S24" i="4"/>
  <c r="S27" i="4"/>
  <c r="S19" i="4"/>
  <c r="Z19" i="4" s="1"/>
  <c r="AA19" i="4" s="1"/>
  <c r="S22" i="4"/>
  <c r="S20" i="4"/>
  <c r="L93" i="20"/>
  <c r="AH93" i="20" s="1"/>
  <c r="AH56" i="19"/>
  <c r="L34" i="17"/>
  <c r="AA34" i="17" s="1"/>
  <c r="AK48" i="17"/>
  <c r="AK49" i="17"/>
  <c r="B270" i="20"/>
  <c r="J100" i="20"/>
  <c r="AK28" i="18"/>
  <c r="AH28" i="18"/>
  <c r="AG28" i="18"/>
  <c r="AE28" i="18"/>
  <c r="AD28" i="18"/>
  <c r="Z28" i="18"/>
  <c r="AA28" i="18" s="1"/>
  <c r="AK27" i="18"/>
  <c r="AH27" i="18"/>
  <c r="AG27" i="18"/>
  <c r="AE27" i="18"/>
  <c r="AM27" i="18" s="1"/>
  <c r="AD27" i="18"/>
  <c r="Z27" i="18"/>
  <c r="AA27" i="18" s="1"/>
  <c r="AK26" i="18"/>
  <c r="AH26" i="18"/>
  <c r="AG26" i="18"/>
  <c r="AE26" i="18"/>
  <c r="AM26" i="18" s="1"/>
  <c r="AD26" i="18"/>
  <c r="Z26" i="18"/>
  <c r="AA26" i="18" s="1"/>
  <c r="Q67" i="19"/>
  <c r="T67" i="19"/>
  <c r="V67" i="19"/>
  <c r="W67" i="19"/>
  <c r="P67" i="19"/>
  <c r="AK66" i="19"/>
  <c r="AG66" i="19"/>
  <c r="AE66" i="19"/>
  <c r="AD66" i="19"/>
  <c r="B66" i="19"/>
  <c r="AK62" i="19"/>
  <c r="AH62" i="19"/>
  <c r="AG62" i="19"/>
  <c r="AE62" i="19"/>
  <c r="AM62" i="19" s="1"/>
  <c r="AD62" i="19"/>
  <c r="AA62" i="19"/>
  <c r="B62" i="19"/>
  <c r="AK61" i="19"/>
  <c r="AH61" i="19"/>
  <c r="AG61" i="19"/>
  <c r="AE61" i="19"/>
  <c r="AM61" i="19" s="1"/>
  <c r="AD61" i="19"/>
  <c r="AA61" i="19"/>
  <c r="B61" i="19"/>
  <c r="AK60" i="19"/>
  <c r="AH60" i="19"/>
  <c r="AG60" i="19"/>
  <c r="AE60" i="19"/>
  <c r="AM60" i="19" s="1"/>
  <c r="AD60" i="19"/>
  <c r="AA60" i="19"/>
  <c r="B60" i="19"/>
  <c r="J40" i="4"/>
  <c r="AE40" i="4" s="1"/>
  <c r="J113" i="20"/>
  <c r="AK115" i="20"/>
  <c r="AH115" i="20"/>
  <c r="AG115" i="20"/>
  <c r="AE115" i="20"/>
  <c r="AM115" i="20" s="1"/>
  <c r="AD115" i="20"/>
  <c r="B115" i="20"/>
  <c r="B17" i="4"/>
  <c r="B18" i="4"/>
  <c r="B19" i="4"/>
  <c r="B21" i="4"/>
  <c r="B23" i="4"/>
  <c r="B24" i="4"/>
  <c r="B25" i="4"/>
  <c r="B26" i="4"/>
  <c r="B27" i="4"/>
  <c r="B29" i="4"/>
  <c r="J28" i="4"/>
  <c r="B28" i="4" s="1"/>
  <c r="Z16" i="4"/>
  <c r="AA16" i="4" s="1"/>
  <c r="Z17" i="4"/>
  <c r="AA17" i="4" s="1"/>
  <c r="AA18" i="4"/>
  <c r="Z20" i="4"/>
  <c r="AA20" i="4" s="1"/>
  <c r="Z25" i="4"/>
  <c r="AA25" i="4" s="1"/>
  <c r="Z26" i="4"/>
  <c r="AA26" i="4" s="1"/>
  <c r="Z27" i="4"/>
  <c r="AA27" i="4" s="1"/>
  <c r="Z28" i="4"/>
  <c r="AA28" i="4" s="1"/>
  <c r="Z29" i="4"/>
  <c r="AA29" i="4" s="1"/>
  <c r="Q30" i="4"/>
  <c r="S30" i="4"/>
  <c r="T30" i="4"/>
  <c r="U30" i="4"/>
  <c r="V30" i="4"/>
  <c r="W30" i="4"/>
  <c r="X30" i="4"/>
  <c r="Y30" i="4"/>
  <c r="AK29" i="4"/>
  <c r="AH29" i="4"/>
  <c r="AG29" i="4"/>
  <c r="AE29" i="4"/>
  <c r="AD29" i="4"/>
  <c r="J107" i="17"/>
  <c r="B107" i="17" s="1"/>
  <c r="N103" i="17"/>
  <c r="O103" i="17"/>
  <c r="P103" i="17"/>
  <c r="Q103" i="17"/>
  <c r="T103" i="17"/>
  <c r="Z72" i="17"/>
  <c r="Z74" i="17"/>
  <c r="Z76" i="17"/>
  <c r="Z81" i="17"/>
  <c r="AA81" i="17" s="1"/>
  <c r="Z83" i="17"/>
  <c r="AA83" i="17" s="1"/>
  <c r="Z86" i="17"/>
  <c r="AA86" i="17" s="1"/>
  <c r="Z89" i="17"/>
  <c r="AA89" i="17" s="1"/>
  <c r="Z91" i="17"/>
  <c r="AA91" i="17" s="1"/>
  <c r="Z92" i="17"/>
  <c r="Z111" i="17"/>
  <c r="AA111" i="17" s="1"/>
  <c r="Z94" i="17"/>
  <c r="AA94" i="17" s="1"/>
  <c r="AC103" i="17"/>
  <c r="AD92" i="17"/>
  <c r="AD72" i="17"/>
  <c r="AD73" i="17"/>
  <c r="AD74" i="17"/>
  <c r="AD75" i="17"/>
  <c r="AD76" i="17"/>
  <c r="AD77" i="17"/>
  <c r="AD78" i="17"/>
  <c r="AD79" i="17"/>
  <c r="AD80" i="17"/>
  <c r="AD81" i="17"/>
  <c r="AD82" i="17"/>
  <c r="AD83" i="17"/>
  <c r="AD84" i="17"/>
  <c r="AD85" i="17"/>
  <c r="AD86" i="17"/>
  <c r="AD87" i="17"/>
  <c r="AD88" i="17"/>
  <c r="AD89" i="17"/>
  <c r="AD90" i="17"/>
  <c r="AD91" i="17"/>
  <c r="AD111" i="17"/>
  <c r="AD94" i="17"/>
  <c r="AK94" i="17"/>
  <c r="AH94" i="17"/>
  <c r="AG94" i="17"/>
  <c r="AE94" i="17"/>
  <c r="AM94" i="17" s="1"/>
  <c r="B94" i="17"/>
  <c r="J58" i="19"/>
  <c r="AE58" i="19" s="1"/>
  <c r="AK59" i="19"/>
  <c r="AH59" i="19"/>
  <c r="AG59" i="19"/>
  <c r="AE59" i="19"/>
  <c r="AM59" i="19" s="1"/>
  <c r="AD59" i="19"/>
  <c r="Z59" i="19"/>
  <c r="AA59" i="19" s="1"/>
  <c r="B59" i="19"/>
  <c r="AH52" i="17"/>
  <c r="AG52" i="17"/>
  <c r="AD52" i="17"/>
  <c r="AA52" i="17"/>
  <c r="AG51" i="17"/>
  <c r="AD51" i="17"/>
  <c r="AG270" i="20"/>
  <c r="AM148" i="20"/>
  <c r="AM149" i="20"/>
  <c r="AK111" i="20"/>
  <c r="AK48" i="20"/>
  <c r="AK47" i="20"/>
  <c r="AK47" i="17"/>
  <c r="AK50" i="17"/>
  <c r="AK27" i="4"/>
  <c r="J92" i="17"/>
  <c r="AE92" i="17" s="1"/>
  <c r="J57" i="19"/>
  <c r="AE57" i="19" s="1"/>
  <c r="L146" i="20"/>
  <c r="AA146" i="20" s="1"/>
  <c r="R289" i="20"/>
  <c r="R290" i="20" s="1"/>
  <c r="L111" i="20"/>
  <c r="AA111" i="20" s="1"/>
  <c r="AK147" i="20"/>
  <c r="AK148" i="20"/>
  <c r="AK149" i="20"/>
  <c r="AG147" i="20"/>
  <c r="AD148" i="20"/>
  <c r="AD149" i="20"/>
  <c r="AD147" i="20"/>
  <c r="AH147" i="20"/>
  <c r="AH48" i="20"/>
  <c r="AM48" i="20" s="1"/>
  <c r="AG48" i="20"/>
  <c r="AG47" i="20"/>
  <c r="AG44" i="20"/>
  <c r="AH44" i="20"/>
  <c r="AH37" i="20"/>
  <c r="AH54" i="19"/>
  <c r="AH52" i="19"/>
  <c r="AE252" i="20"/>
  <c r="B254" i="20"/>
  <c r="J95" i="20"/>
  <c r="J245" i="20"/>
  <c r="B249" i="20"/>
  <c r="B253" i="20"/>
  <c r="J251" i="20"/>
  <c r="J213" i="20"/>
  <c r="J212" i="20"/>
  <c r="J250" i="20"/>
  <c r="J248" i="20"/>
  <c r="AE94" i="20"/>
  <c r="B247" i="20"/>
  <c r="J246" i="20"/>
  <c r="AE246" i="20" s="1"/>
  <c r="B243" i="20"/>
  <c r="AE244" i="20"/>
  <c r="AE238" i="20"/>
  <c r="B237" i="20"/>
  <c r="AE236" i="20"/>
  <c r="J93" i="20"/>
  <c r="J92" i="20"/>
  <c r="J242" i="20"/>
  <c r="J91" i="20"/>
  <c r="J34" i="19"/>
  <c r="AE34" i="19" s="1"/>
  <c r="J35" i="19"/>
  <c r="AE35" i="19" s="1"/>
  <c r="J29" i="19"/>
  <c r="AE29" i="19" s="1"/>
  <c r="AE31" i="19"/>
  <c r="AE27" i="19"/>
  <c r="J19" i="19"/>
  <c r="B26" i="19"/>
  <c r="B24" i="19"/>
  <c r="B23" i="19"/>
  <c r="B22" i="19"/>
  <c r="AE102" i="18"/>
  <c r="J23" i="18"/>
  <c r="B23" i="18" s="1"/>
  <c r="J22" i="18"/>
  <c r="B22" i="18" s="1"/>
  <c r="J20" i="18"/>
  <c r="B20" i="18" s="1"/>
  <c r="J18" i="18"/>
  <c r="J55" i="18"/>
  <c r="J54" i="18"/>
  <c r="AE101" i="18"/>
  <c r="J103" i="18"/>
  <c r="AE47" i="18"/>
  <c r="J35" i="18"/>
  <c r="J31" i="17"/>
  <c r="B31" i="17" s="1"/>
  <c r="J28" i="17"/>
  <c r="J80" i="17"/>
  <c r="J79" i="17"/>
  <c r="AE79" i="17" s="1"/>
  <c r="AE25" i="17"/>
  <c r="AE21" i="17"/>
  <c r="AE19" i="17"/>
  <c r="J33" i="4"/>
  <c r="AE33" i="4" s="1"/>
  <c r="J23" i="4"/>
  <c r="J22" i="4"/>
  <c r="B22" i="4" s="1"/>
  <c r="J21" i="4"/>
  <c r="J20" i="4"/>
  <c r="B20" i="4" s="1"/>
  <c r="J19" i="4"/>
  <c r="J30" i="4" s="1"/>
  <c r="AK79" i="20"/>
  <c r="AH79" i="20"/>
  <c r="AG79" i="20"/>
  <c r="AE79" i="20"/>
  <c r="AM79" i="20" s="1"/>
  <c r="AD79" i="20"/>
  <c r="Z79" i="20"/>
  <c r="AA79" i="20" s="1"/>
  <c r="R143" i="20"/>
  <c r="Z143" i="20" s="1"/>
  <c r="AA143" i="20" s="1"/>
  <c r="R96" i="20"/>
  <c r="R135" i="20" s="1"/>
  <c r="R240" i="20"/>
  <c r="Z240" i="20" s="1"/>
  <c r="Q98" i="18"/>
  <c r="Q106" i="18"/>
  <c r="B112" i="20"/>
  <c r="AK113" i="20"/>
  <c r="AG113" i="20"/>
  <c r="AD113" i="20"/>
  <c r="B49" i="20"/>
  <c r="B47" i="20"/>
  <c r="B44" i="20"/>
  <c r="B45" i="20" s="1"/>
  <c r="AK114" i="20"/>
  <c r="AG114" i="20"/>
  <c r="AE114" i="20"/>
  <c r="AD114" i="20"/>
  <c r="AK112" i="20"/>
  <c r="AG112" i="20"/>
  <c r="AD112" i="20"/>
  <c r="R38" i="4"/>
  <c r="Q38" i="4"/>
  <c r="Q40" i="4" s="1"/>
  <c r="L212" i="20"/>
  <c r="AH212" i="20" s="1"/>
  <c r="AH96" i="20"/>
  <c r="L95" i="20"/>
  <c r="AH95" i="20" s="1"/>
  <c r="L250" i="20"/>
  <c r="AH250" i="20" s="1"/>
  <c r="L251" i="20"/>
  <c r="AH251" i="20" s="1"/>
  <c r="L245" i="20"/>
  <c r="AH245" i="20" s="1"/>
  <c r="L248" i="20"/>
  <c r="AH248" i="20" s="1"/>
  <c r="L213" i="20"/>
  <c r="AH213" i="20" s="1"/>
  <c r="L246" i="20"/>
  <c r="AH246" i="20" s="1"/>
  <c r="AH94" i="20"/>
  <c r="L91" i="20"/>
  <c r="AH244" i="20"/>
  <c r="L210" i="20"/>
  <c r="L240" i="20"/>
  <c r="L242" i="20"/>
  <c r="AH242" i="20" s="1"/>
  <c r="L92" i="20"/>
  <c r="AH92" i="20" s="1"/>
  <c r="AH51" i="19"/>
  <c r="L29" i="19"/>
  <c r="AH29" i="19" s="1"/>
  <c r="AH25" i="19"/>
  <c r="L35" i="19"/>
  <c r="L34" i="19"/>
  <c r="AH34" i="19" s="1"/>
  <c r="AH28" i="19"/>
  <c r="AH24" i="19"/>
  <c r="L19" i="19"/>
  <c r="L22" i="18"/>
  <c r="AH22" i="18" s="1"/>
  <c r="L23" i="18"/>
  <c r="L20" i="18"/>
  <c r="AH20" i="18" s="1"/>
  <c r="L18" i="18"/>
  <c r="AH18" i="18" s="1"/>
  <c r="L54" i="18"/>
  <c r="AH54" i="18" s="1"/>
  <c r="L55" i="18"/>
  <c r="AH55" i="18" s="1"/>
  <c r="AH56" i="18"/>
  <c r="L57" i="18"/>
  <c r="AH44" i="18"/>
  <c r="L17" i="18"/>
  <c r="L49" i="18"/>
  <c r="AH49" i="18" s="1"/>
  <c r="L52" i="18"/>
  <c r="AH52" i="18" s="1"/>
  <c r="AH50" i="18"/>
  <c r="L103" i="18"/>
  <c r="AH48" i="18"/>
  <c r="L98" i="18"/>
  <c r="L35" i="18"/>
  <c r="AH35" i="18" s="1"/>
  <c r="AH46" i="18"/>
  <c r="L36" i="18"/>
  <c r="AH39" i="18"/>
  <c r="AH40" i="18"/>
  <c r="AH37" i="18"/>
  <c r="AH38" i="18"/>
  <c r="L31" i="17"/>
  <c r="AH31" i="17" s="1"/>
  <c r="AH29" i="17"/>
  <c r="AH30" i="17"/>
  <c r="L27" i="17"/>
  <c r="AH27" i="17" s="1"/>
  <c r="L80" i="17"/>
  <c r="AH80" i="17" s="1"/>
  <c r="L28" i="17"/>
  <c r="L79" i="17"/>
  <c r="AH79" i="17" s="1"/>
  <c r="AH25" i="17"/>
  <c r="L75" i="17"/>
  <c r="AH75" i="17" s="1"/>
  <c r="AH77" i="17"/>
  <c r="L22" i="17"/>
  <c r="AH22" i="17" s="1"/>
  <c r="L76" i="17"/>
  <c r="AH76" i="17" s="1"/>
  <c r="L23" i="17"/>
  <c r="AH23" i="17" s="1"/>
  <c r="AH21" i="17"/>
  <c r="AH20" i="17"/>
  <c r="L71" i="17"/>
  <c r="AH19" i="17"/>
  <c r="L21" i="4"/>
  <c r="L19" i="4"/>
  <c r="L30" i="4" s="1"/>
  <c r="L23" i="4"/>
  <c r="L20" i="4"/>
  <c r="L22" i="4"/>
  <c r="L33" i="4"/>
  <c r="L36" i="4"/>
  <c r="B107" i="18"/>
  <c r="B119" i="18" s="1"/>
  <c r="B126" i="18" s="1"/>
  <c r="J299" i="20"/>
  <c r="J70" i="19"/>
  <c r="J36" i="18"/>
  <c r="B36" i="18" s="1"/>
  <c r="R40" i="4"/>
  <c r="S40" i="4"/>
  <c r="U40" i="4"/>
  <c r="V40" i="4"/>
  <c r="W40" i="4"/>
  <c r="X40" i="4"/>
  <c r="Y40" i="4"/>
  <c r="Q36" i="4"/>
  <c r="R36" i="4"/>
  <c r="S36" i="4"/>
  <c r="T36" i="4"/>
  <c r="U36" i="4"/>
  <c r="V36" i="4"/>
  <c r="W36" i="4"/>
  <c r="X36" i="4"/>
  <c r="Q114" i="17"/>
  <c r="R114" i="17"/>
  <c r="U114" i="17"/>
  <c r="U116" i="17" s="1"/>
  <c r="U122" i="17" s="1"/>
  <c r="V114" i="17"/>
  <c r="V116" i="17" s="1"/>
  <c r="V122" i="17" s="1"/>
  <c r="W114" i="17"/>
  <c r="Y114" i="17"/>
  <c r="P114" i="17"/>
  <c r="O117" i="18"/>
  <c r="R106" i="18"/>
  <c r="T106" i="18"/>
  <c r="V106" i="18"/>
  <c r="W106" i="18"/>
  <c r="X106" i="18"/>
  <c r="O106" i="18"/>
  <c r="O98" i="18"/>
  <c r="Q79" i="19"/>
  <c r="R79" i="19"/>
  <c r="T79" i="19"/>
  <c r="V79" i="19"/>
  <c r="W79" i="19"/>
  <c r="P79" i="19"/>
  <c r="O79" i="19"/>
  <c r="N79" i="19"/>
  <c r="N45" i="20"/>
  <c r="O45" i="20"/>
  <c r="P45" i="20"/>
  <c r="Q45" i="20"/>
  <c r="R45" i="20"/>
  <c r="S45" i="20"/>
  <c r="N135" i="20"/>
  <c r="O139" i="20"/>
  <c r="P139" i="20"/>
  <c r="N139" i="20"/>
  <c r="O160" i="20"/>
  <c r="N160" i="20"/>
  <c r="N234" i="20"/>
  <c r="P287" i="20"/>
  <c r="N287" i="20"/>
  <c r="T290" i="20"/>
  <c r="O302" i="20"/>
  <c r="P302" i="20"/>
  <c r="Q302" i="20"/>
  <c r="R302" i="20"/>
  <c r="S302" i="20"/>
  <c r="N302" i="20"/>
  <c r="N299" i="20"/>
  <c r="O299" i="20"/>
  <c r="P299" i="20"/>
  <c r="Q299" i="20"/>
  <c r="R299" i="20"/>
  <c r="J106" i="17"/>
  <c r="AK91" i="17"/>
  <c r="AH91" i="17"/>
  <c r="AG91" i="17"/>
  <c r="AE91" i="17"/>
  <c r="AM91" i="17" s="1"/>
  <c r="B91" i="17"/>
  <c r="R19" i="19"/>
  <c r="R67" i="19" s="1"/>
  <c r="R44" i="18"/>
  <c r="Z44" i="18" s="1"/>
  <c r="AA44" i="18" s="1"/>
  <c r="R41" i="18"/>
  <c r="R98" i="18"/>
  <c r="R54" i="18"/>
  <c r="Z54" i="18" s="1"/>
  <c r="R63" i="18"/>
  <c r="Z63" i="18" s="1"/>
  <c r="AA63" i="18" s="1"/>
  <c r="AE147" i="20"/>
  <c r="R77" i="17"/>
  <c r="R103" i="17" s="1"/>
  <c r="R24" i="4"/>
  <c r="Z24" i="4" s="1"/>
  <c r="AA24" i="4" s="1"/>
  <c r="R23" i="4"/>
  <c r="Z23" i="4" s="1"/>
  <c r="AA23" i="4" s="1"/>
  <c r="R21" i="4"/>
  <c r="Z21" i="4" s="1"/>
  <c r="AA21" i="4" s="1"/>
  <c r="R20" i="4"/>
  <c r="R30" i="4" s="1"/>
  <c r="R22" i="4"/>
  <c r="Z22" i="4" s="1"/>
  <c r="L295" i="20"/>
  <c r="AA295" i="20" s="1"/>
  <c r="AH109" i="20"/>
  <c r="AH49" i="19"/>
  <c r="L65" i="18"/>
  <c r="AH65" i="18" s="1"/>
  <c r="AH44" i="17"/>
  <c r="J69" i="17"/>
  <c r="J71" i="17" s="1"/>
  <c r="AK80" i="20"/>
  <c r="AH80" i="20"/>
  <c r="AG80" i="20"/>
  <c r="AE80" i="20"/>
  <c r="AD80" i="20"/>
  <c r="B80" i="20"/>
  <c r="AK81" i="20"/>
  <c r="AH81" i="20"/>
  <c r="AG81" i="20"/>
  <c r="AE81" i="20"/>
  <c r="AM81" i="20" s="1"/>
  <c r="AD81" i="20"/>
  <c r="B81" i="20"/>
  <c r="AK297" i="20"/>
  <c r="AH297" i="20"/>
  <c r="AG297" i="20"/>
  <c r="AE297" i="20"/>
  <c r="AD297" i="20"/>
  <c r="B297" i="20"/>
  <c r="AK296" i="20"/>
  <c r="AH296" i="20"/>
  <c r="AG296" i="20"/>
  <c r="AE296" i="20"/>
  <c r="AM296" i="20" s="1"/>
  <c r="AD296" i="20"/>
  <c r="B296" i="20"/>
  <c r="AK298" i="20"/>
  <c r="AH298" i="20"/>
  <c r="AG298" i="20"/>
  <c r="AE298" i="20"/>
  <c r="AD298" i="20"/>
  <c r="B298" i="20"/>
  <c r="AK58" i="19"/>
  <c r="AG58" i="19"/>
  <c r="AD58" i="19"/>
  <c r="Z58" i="19"/>
  <c r="AA58" i="19" s="1"/>
  <c r="AK57" i="19"/>
  <c r="AG57" i="19"/>
  <c r="AD57" i="19"/>
  <c r="Z57" i="19"/>
  <c r="AA57" i="19" s="1"/>
  <c r="AK56" i="19"/>
  <c r="AG56" i="19"/>
  <c r="AE56" i="19"/>
  <c r="AD56" i="19"/>
  <c r="Z56" i="19"/>
  <c r="AA56" i="19" s="1"/>
  <c r="B56" i="19"/>
  <c r="AK55" i="19"/>
  <c r="AH55" i="19"/>
  <c r="AG55" i="19"/>
  <c r="AE55" i="19"/>
  <c r="AM55" i="19" s="1"/>
  <c r="AD55" i="19"/>
  <c r="Z55" i="19"/>
  <c r="AA55" i="19" s="1"/>
  <c r="B55" i="19"/>
  <c r="AH70" i="18"/>
  <c r="AG70" i="18"/>
  <c r="AE70" i="18"/>
  <c r="AM70" i="18" s="1"/>
  <c r="AD70" i="18"/>
  <c r="Z70" i="18"/>
  <c r="AA70" i="18" s="1"/>
  <c r="AH69" i="18"/>
  <c r="AG69" i="18"/>
  <c r="AE69" i="18"/>
  <c r="AM69" i="18" s="1"/>
  <c r="AD69" i="18"/>
  <c r="Z69" i="18"/>
  <c r="AA69" i="18" s="1"/>
  <c r="AH68" i="18"/>
  <c r="AG68" i="18"/>
  <c r="AE68" i="18"/>
  <c r="AM68" i="18" s="1"/>
  <c r="AD68" i="18"/>
  <c r="AE51" i="19"/>
  <c r="AK54" i="19"/>
  <c r="AG54" i="19"/>
  <c r="AE54" i="19"/>
  <c r="AD54" i="19"/>
  <c r="Z54" i="19"/>
  <c r="B54" i="19"/>
  <c r="AK53" i="19"/>
  <c r="AH53" i="19"/>
  <c r="AG53" i="19"/>
  <c r="AE53" i="19"/>
  <c r="AM53" i="19" s="1"/>
  <c r="AD53" i="19"/>
  <c r="Z53" i="19"/>
  <c r="AA53" i="19" s="1"/>
  <c r="B53" i="19"/>
  <c r="AK52" i="19"/>
  <c r="AG52" i="19"/>
  <c r="AE52" i="19"/>
  <c r="AD52" i="19"/>
  <c r="Z52" i="19"/>
  <c r="B52" i="19"/>
  <c r="J27" i="4"/>
  <c r="AK110" i="20"/>
  <c r="AH110" i="20"/>
  <c r="AG110" i="20"/>
  <c r="AD110" i="20"/>
  <c r="Q289" i="20"/>
  <c r="Q290" i="20" s="1"/>
  <c r="Q33" i="17"/>
  <c r="AE47" i="19"/>
  <c r="AE33" i="19"/>
  <c r="AE32" i="19"/>
  <c r="AE69" i="19"/>
  <c r="L105" i="17"/>
  <c r="AH105" i="17" s="1"/>
  <c r="Q97" i="20"/>
  <c r="Z97" i="20" s="1"/>
  <c r="AA97" i="20" s="1"/>
  <c r="Q96" i="20"/>
  <c r="Z96" i="20" s="1"/>
  <c r="AA96" i="20" s="1"/>
  <c r="Q253" i="20"/>
  <c r="Z253" i="20" s="1"/>
  <c r="AA253" i="20" s="1"/>
  <c r="Q94" i="20"/>
  <c r="Z94" i="20" s="1"/>
  <c r="AA94" i="20" s="1"/>
  <c r="Q49" i="18"/>
  <c r="Q41" i="18"/>
  <c r="L145" i="20"/>
  <c r="L160" i="20" s="1"/>
  <c r="AD109" i="20"/>
  <c r="AE109" i="20"/>
  <c r="AD111" i="20"/>
  <c r="AE111" i="20"/>
  <c r="AG109" i="20"/>
  <c r="AK109" i="20"/>
  <c r="AG111" i="20"/>
  <c r="AH106" i="20"/>
  <c r="B147" i="20"/>
  <c r="B148" i="20"/>
  <c r="B149" i="20"/>
  <c r="AK44" i="20"/>
  <c r="AE44" i="20"/>
  <c r="AD44" i="20"/>
  <c r="Z51" i="19"/>
  <c r="AD49" i="19"/>
  <c r="AE49" i="19"/>
  <c r="AD50" i="19"/>
  <c r="AD51" i="19"/>
  <c r="AG49" i="19"/>
  <c r="AK49" i="19"/>
  <c r="AG50" i="19"/>
  <c r="AH50" i="19"/>
  <c r="AK50" i="19"/>
  <c r="AG51" i="19"/>
  <c r="AK51" i="19"/>
  <c r="O67" i="19"/>
  <c r="N67" i="19"/>
  <c r="B49" i="19"/>
  <c r="B50" i="19"/>
  <c r="Z65" i="18"/>
  <c r="Z66" i="18"/>
  <c r="AA66" i="18" s="1"/>
  <c r="Z67" i="18"/>
  <c r="AA67" i="18" s="1"/>
  <c r="AD64" i="18"/>
  <c r="AE64" i="18"/>
  <c r="AD65" i="18"/>
  <c r="AE65" i="18"/>
  <c r="AD66" i="18"/>
  <c r="AE66" i="18"/>
  <c r="AD67" i="18"/>
  <c r="AE67" i="18"/>
  <c r="AK64" i="18"/>
  <c r="AK65" i="18"/>
  <c r="AK66" i="18"/>
  <c r="AG64" i="18"/>
  <c r="AH64" i="18"/>
  <c r="AG65" i="18"/>
  <c r="AG66" i="18"/>
  <c r="AH66" i="18"/>
  <c r="AG67" i="18"/>
  <c r="AH67" i="18"/>
  <c r="P42" i="18"/>
  <c r="Z42" i="18" s="1"/>
  <c r="AA42" i="18" s="1"/>
  <c r="P103" i="18"/>
  <c r="P50" i="18"/>
  <c r="Z50" i="18" s="1"/>
  <c r="AA50" i="18" s="1"/>
  <c r="P48" i="18"/>
  <c r="P47" i="18"/>
  <c r="P46" i="18"/>
  <c r="P45" i="18"/>
  <c r="Z45" i="18" s="1"/>
  <c r="AA45" i="18" s="1"/>
  <c r="P94" i="18"/>
  <c r="P43" i="18"/>
  <c r="Z43" i="18" s="1"/>
  <c r="AA43" i="18" s="1"/>
  <c r="P102" i="18"/>
  <c r="P41" i="18"/>
  <c r="Z41" i="18" s="1"/>
  <c r="AA41" i="18" s="1"/>
  <c r="P100" i="18"/>
  <c r="P106" i="18" s="1"/>
  <c r="P35" i="18"/>
  <c r="P36" i="18"/>
  <c r="P40" i="18"/>
  <c r="P38" i="18"/>
  <c r="P39" i="18"/>
  <c r="Z39" i="18" s="1"/>
  <c r="AA39" i="18" s="1"/>
  <c r="P37" i="18"/>
  <c r="N290" i="20"/>
  <c r="AD105" i="20"/>
  <c r="AE105" i="20"/>
  <c r="AD106" i="20"/>
  <c r="AE106" i="20"/>
  <c r="AD107" i="20"/>
  <c r="AE107" i="20"/>
  <c r="AD108" i="20"/>
  <c r="AE108" i="20"/>
  <c r="AK105" i="20"/>
  <c r="AK106" i="20"/>
  <c r="AK107" i="20"/>
  <c r="AK108" i="20"/>
  <c r="AG105" i="20"/>
  <c r="AH105" i="20"/>
  <c r="AG106" i="20"/>
  <c r="AG107" i="20"/>
  <c r="AH107" i="20"/>
  <c r="AG108" i="20"/>
  <c r="AH108" i="20"/>
  <c r="P289" i="20"/>
  <c r="P290" i="20" s="1"/>
  <c r="P51" i="18"/>
  <c r="Z106" i="17"/>
  <c r="AA106" i="17" s="1"/>
  <c r="Z107" i="17"/>
  <c r="AA107" i="17" s="1"/>
  <c r="Z108" i="17"/>
  <c r="AA108" i="17" s="1"/>
  <c r="Z109" i="17"/>
  <c r="AA109" i="17" s="1"/>
  <c r="Z110" i="17"/>
  <c r="AA110" i="17" s="1"/>
  <c r="Z113" i="17"/>
  <c r="AA113" i="17" s="1"/>
  <c r="AD106" i="17"/>
  <c r="AD107" i="17"/>
  <c r="AD108" i="17"/>
  <c r="AE108" i="17"/>
  <c r="AD109" i="17"/>
  <c r="AE109" i="17"/>
  <c r="AD110" i="17"/>
  <c r="AE110" i="17"/>
  <c r="AD113" i="17"/>
  <c r="AE113" i="17"/>
  <c r="AG106" i="17"/>
  <c r="AH106" i="17"/>
  <c r="AK106" i="17"/>
  <c r="AG107" i="17"/>
  <c r="AK107" i="17"/>
  <c r="AG108" i="17"/>
  <c r="AH108" i="17"/>
  <c r="AK108" i="17"/>
  <c r="AG109" i="17"/>
  <c r="AH109" i="17"/>
  <c r="AK109" i="17"/>
  <c r="AG110" i="17"/>
  <c r="AH110" i="17"/>
  <c r="AK110" i="17"/>
  <c r="AG113" i="17"/>
  <c r="AH113" i="17"/>
  <c r="AK113" i="17"/>
  <c r="O114" i="17"/>
  <c r="N114" i="17"/>
  <c r="AA48" i="17"/>
  <c r="AA49" i="17"/>
  <c r="AG47" i="17"/>
  <c r="AH47" i="17"/>
  <c r="AG48" i="17"/>
  <c r="AH48" i="17"/>
  <c r="AG49" i="17"/>
  <c r="AH49" i="17"/>
  <c r="AG50" i="17"/>
  <c r="AH50" i="17"/>
  <c r="AD47" i="17"/>
  <c r="AE47" i="17"/>
  <c r="AM47" i="17" s="1"/>
  <c r="AD48" i="17"/>
  <c r="AE48" i="17"/>
  <c r="AM48" i="17" s="1"/>
  <c r="AD49" i="17"/>
  <c r="AE49" i="17"/>
  <c r="AM49" i="17" s="1"/>
  <c r="AD50" i="17"/>
  <c r="AE50" i="17"/>
  <c r="AM50" i="17" s="1"/>
  <c r="B209" i="20"/>
  <c r="AD267" i="20"/>
  <c r="AE267" i="20"/>
  <c r="AD268" i="20"/>
  <c r="AE268" i="20"/>
  <c r="AD269" i="20"/>
  <c r="AE269" i="20"/>
  <c r="AD270" i="20"/>
  <c r="AD271" i="20"/>
  <c r="AG267" i="20"/>
  <c r="AH267" i="20"/>
  <c r="AK267" i="20"/>
  <c r="AG268" i="20"/>
  <c r="AH268" i="20"/>
  <c r="AK268" i="20"/>
  <c r="AG269" i="20"/>
  <c r="AH269" i="20"/>
  <c r="AK269" i="20"/>
  <c r="AK270" i="20"/>
  <c r="AG271" i="20"/>
  <c r="AH271" i="20"/>
  <c r="AK271" i="20"/>
  <c r="AE46" i="17"/>
  <c r="AE45" i="17"/>
  <c r="P58" i="18"/>
  <c r="P49" i="18"/>
  <c r="Z49" i="18" s="1"/>
  <c r="AA49" i="18" s="1"/>
  <c r="AE44" i="17"/>
  <c r="AD264" i="20"/>
  <c r="AE264" i="20"/>
  <c r="AD265" i="20"/>
  <c r="AE265" i="20"/>
  <c r="AD266" i="20"/>
  <c r="AG264" i="20"/>
  <c r="AH264" i="20"/>
  <c r="AK264" i="20"/>
  <c r="AG265" i="20"/>
  <c r="AH265" i="20"/>
  <c r="AK265" i="20"/>
  <c r="AG266" i="20"/>
  <c r="AH266" i="20"/>
  <c r="AK266" i="20"/>
  <c r="AG90" i="17"/>
  <c r="AH90" i="17"/>
  <c r="AK90" i="17"/>
  <c r="AG92" i="17"/>
  <c r="AK92" i="17"/>
  <c r="AG111" i="17"/>
  <c r="AH111" i="17"/>
  <c r="AK111" i="17"/>
  <c r="AE90" i="17"/>
  <c r="AE111" i="17"/>
  <c r="AE72" i="17"/>
  <c r="AE73" i="17"/>
  <c r="AE74" i="17"/>
  <c r="AE75" i="17"/>
  <c r="AE76" i="17"/>
  <c r="AE77" i="17"/>
  <c r="AE78" i="17"/>
  <c r="AE80" i="17"/>
  <c r="AE82" i="17"/>
  <c r="AE83" i="17"/>
  <c r="AE84" i="17"/>
  <c r="AE85" i="17"/>
  <c r="AE86" i="17"/>
  <c r="AE87" i="17"/>
  <c r="AE88" i="17"/>
  <c r="AE89" i="17"/>
  <c r="B90" i="17"/>
  <c r="B92" i="17"/>
  <c r="B111" i="17"/>
  <c r="B73" i="17"/>
  <c r="B74" i="17"/>
  <c r="B75" i="17"/>
  <c r="B76" i="17"/>
  <c r="B77" i="17"/>
  <c r="B78" i="17"/>
  <c r="B80" i="17"/>
  <c r="B82" i="17"/>
  <c r="B83" i="17"/>
  <c r="B84" i="17"/>
  <c r="B85" i="17"/>
  <c r="B86" i="17"/>
  <c r="B87" i="17"/>
  <c r="B88" i="17"/>
  <c r="B89" i="17"/>
  <c r="AE43" i="17"/>
  <c r="P60" i="18"/>
  <c r="Z60" i="18" s="1"/>
  <c r="AA60" i="18" s="1"/>
  <c r="AD102" i="20"/>
  <c r="AE102" i="20"/>
  <c r="AD103" i="20"/>
  <c r="AD104" i="20"/>
  <c r="AE104" i="20"/>
  <c r="AG102" i="20"/>
  <c r="AH102" i="20"/>
  <c r="AK102" i="20"/>
  <c r="AG103" i="20"/>
  <c r="AH103" i="20"/>
  <c r="AK103" i="20"/>
  <c r="AG104" i="20"/>
  <c r="AH104" i="20"/>
  <c r="AM104" i="20" s="1"/>
  <c r="AK104" i="20"/>
  <c r="Z46" i="19"/>
  <c r="AA46" i="19" s="1"/>
  <c r="Z48" i="19"/>
  <c r="AA48" i="19" s="1"/>
  <c r="AD45" i="19"/>
  <c r="AE45" i="19"/>
  <c r="AD46" i="19"/>
  <c r="AE46" i="19"/>
  <c r="AD47" i="19"/>
  <c r="AD48" i="19"/>
  <c r="AE48" i="19"/>
  <c r="AG45" i="19"/>
  <c r="AH45" i="19"/>
  <c r="AK45" i="19"/>
  <c r="AG46" i="19"/>
  <c r="AH46" i="19"/>
  <c r="AK46" i="19"/>
  <c r="AG47" i="19"/>
  <c r="AH47" i="19"/>
  <c r="AK47" i="19"/>
  <c r="AG48" i="19"/>
  <c r="AH48" i="19"/>
  <c r="AK48" i="19"/>
  <c r="B45" i="19"/>
  <c r="B46" i="19"/>
  <c r="B47" i="19"/>
  <c r="B48" i="19"/>
  <c r="AG87" i="17"/>
  <c r="AH87" i="17"/>
  <c r="AK87" i="17"/>
  <c r="AG88" i="17"/>
  <c r="AH88" i="17"/>
  <c r="AK88" i="17"/>
  <c r="AG89" i="17"/>
  <c r="AH89" i="17"/>
  <c r="AK89" i="17"/>
  <c r="AE42" i="17"/>
  <c r="AH42" i="17"/>
  <c r="AE41" i="17"/>
  <c r="AH41" i="17"/>
  <c r="AA46" i="17"/>
  <c r="AD42" i="17"/>
  <c r="AD43" i="17"/>
  <c r="AD44" i="17"/>
  <c r="AD45" i="17"/>
  <c r="AD46" i="17"/>
  <c r="AG42" i="17"/>
  <c r="AK42" i="17"/>
  <c r="AG43" i="17"/>
  <c r="AH43" i="17"/>
  <c r="AK43" i="17"/>
  <c r="AG44" i="17"/>
  <c r="AK44" i="17"/>
  <c r="AG45" i="17"/>
  <c r="AH45" i="17"/>
  <c r="AK45" i="17"/>
  <c r="AG46" i="17"/>
  <c r="AH46" i="17"/>
  <c r="AK46" i="17"/>
  <c r="AE18" i="17"/>
  <c r="AE20" i="17"/>
  <c r="AE22" i="17"/>
  <c r="AE23" i="17"/>
  <c r="AE24" i="17"/>
  <c r="AE26" i="17"/>
  <c r="AE27" i="17"/>
  <c r="AE29" i="17"/>
  <c r="AH32" i="17"/>
  <c r="AE33" i="17"/>
  <c r="AH33" i="17"/>
  <c r="AE34" i="17"/>
  <c r="AH34" i="17"/>
  <c r="AE35" i="17"/>
  <c r="AH35" i="17"/>
  <c r="AE36" i="17"/>
  <c r="AH36" i="17"/>
  <c r="AE37" i="17"/>
  <c r="AH37" i="17"/>
  <c r="AE38" i="17"/>
  <c r="AH38" i="17"/>
  <c r="AE39" i="17"/>
  <c r="AH39" i="17"/>
  <c r="AE40" i="17"/>
  <c r="AH40" i="17"/>
  <c r="Z16" i="17"/>
  <c r="AA36" i="17"/>
  <c r="AA40" i="17"/>
  <c r="AE262" i="20"/>
  <c r="AH262" i="20"/>
  <c r="AE263" i="20"/>
  <c r="AH263" i="20"/>
  <c r="AD262" i="20"/>
  <c r="AD263" i="20"/>
  <c r="AG262" i="20"/>
  <c r="AK262" i="20"/>
  <c r="AG263" i="20"/>
  <c r="AK263" i="20"/>
  <c r="AE235" i="20"/>
  <c r="AH235" i="20"/>
  <c r="AE239" i="20"/>
  <c r="AH239" i="20"/>
  <c r="AE241" i="20"/>
  <c r="AH241" i="20"/>
  <c r="AE249" i="20"/>
  <c r="AE253" i="20"/>
  <c r="AH254" i="20"/>
  <c r="AH255" i="20"/>
  <c r="AE256" i="20"/>
  <c r="AH256" i="20"/>
  <c r="AE257" i="20"/>
  <c r="AH257" i="20"/>
  <c r="AE258" i="20"/>
  <c r="AH258" i="20"/>
  <c r="AE259" i="20"/>
  <c r="AH259" i="20"/>
  <c r="AE260" i="20"/>
  <c r="AH260" i="20"/>
  <c r="AE261" i="20"/>
  <c r="AH261" i="20"/>
  <c r="Z235" i="20"/>
  <c r="AA235" i="20" s="1"/>
  <c r="O236" i="20"/>
  <c r="Z236" i="20" s="1"/>
  <c r="AA236" i="20" s="1"/>
  <c r="B236" i="20"/>
  <c r="O289" i="20"/>
  <c r="B97" i="20"/>
  <c r="AD26" i="4"/>
  <c r="AE26" i="4"/>
  <c r="AD27" i="4"/>
  <c r="AE27" i="4"/>
  <c r="AD28" i="4"/>
  <c r="AE28" i="4"/>
  <c r="AG26" i="4"/>
  <c r="AH26" i="4"/>
  <c r="AK26" i="4"/>
  <c r="AG27" i="4"/>
  <c r="AH27" i="4"/>
  <c r="AH28" i="4"/>
  <c r="AK28" i="4"/>
  <c r="O30" i="4"/>
  <c r="N30" i="4"/>
  <c r="Z47" i="18"/>
  <c r="AA47" i="18" s="1"/>
  <c r="Z99" i="18"/>
  <c r="AA99" i="18" s="1"/>
  <c r="Z16" i="18"/>
  <c r="AA16" i="18" s="1"/>
  <c r="Z21" i="18"/>
  <c r="AA21" i="18" s="1"/>
  <c r="Z24" i="18"/>
  <c r="AA24" i="18" s="1"/>
  <c r="Z25" i="18"/>
  <c r="AA25" i="18" s="1"/>
  <c r="Z34" i="18"/>
  <c r="AA34" i="18" s="1"/>
  <c r="Z40" i="18"/>
  <c r="AA40" i="18" s="1"/>
  <c r="Z51" i="18"/>
  <c r="AA51" i="18" s="1"/>
  <c r="Z57" i="18"/>
  <c r="AA57" i="18" s="1"/>
  <c r="Z59" i="18"/>
  <c r="AA59" i="18" s="1"/>
  <c r="Z93" i="18"/>
  <c r="AA93" i="18" s="1"/>
  <c r="Z96" i="18"/>
  <c r="AA96" i="18" s="1"/>
  <c r="Z97" i="18"/>
  <c r="AA97" i="18" s="1"/>
  <c r="Z100" i="18"/>
  <c r="AA100" i="18" s="1"/>
  <c r="Z104" i="18"/>
  <c r="AA104" i="18" s="1"/>
  <c r="Z105" i="18"/>
  <c r="AA105" i="18" s="1"/>
  <c r="Z107" i="18"/>
  <c r="AA107" i="18" s="1"/>
  <c r="Z108" i="18"/>
  <c r="AA108" i="18" s="1"/>
  <c r="Z111" i="18"/>
  <c r="AA111" i="18" s="1"/>
  <c r="Z116" i="18"/>
  <c r="AA116" i="18" s="1"/>
  <c r="B117" i="18"/>
  <c r="B100" i="18"/>
  <c r="Z104" i="17"/>
  <c r="AA45" i="4"/>
  <c r="AA121" i="17"/>
  <c r="Z124" i="18"/>
  <c r="AA124" i="18" s="1"/>
  <c r="Z86" i="19"/>
  <c r="AA86" i="19" s="1"/>
  <c r="AH17" i="17"/>
  <c r="AH24" i="17"/>
  <c r="AH26" i="17"/>
  <c r="AH28" i="17"/>
  <c r="L40" i="4"/>
  <c r="B42" i="4"/>
  <c r="Z65" i="17"/>
  <c r="J81" i="17"/>
  <c r="AE81" i="17" s="1"/>
  <c r="Z31" i="4"/>
  <c r="AA31" i="4" s="1"/>
  <c r="Z32" i="4"/>
  <c r="AA32" i="4" s="1"/>
  <c r="Z35" i="4"/>
  <c r="AA35" i="4" s="1"/>
  <c r="Z33" i="4"/>
  <c r="AA33" i="4" s="1"/>
  <c r="AE61" i="18"/>
  <c r="AH61" i="18"/>
  <c r="AE62" i="18"/>
  <c r="AH62" i="18"/>
  <c r="AE63" i="18"/>
  <c r="AH63" i="18"/>
  <c r="AG61" i="18"/>
  <c r="AK61" i="18"/>
  <c r="AG62" i="18"/>
  <c r="AK62" i="18"/>
  <c r="AG63" i="18"/>
  <c r="AK63" i="18"/>
  <c r="AD61" i="18"/>
  <c r="AD62" i="18"/>
  <c r="AD63" i="18"/>
  <c r="AK44" i="19"/>
  <c r="AE43" i="19"/>
  <c r="AH43" i="19"/>
  <c r="AE44" i="19"/>
  <c r="AH44" i="19"/>
  <c r="AH42" i="19"/>
  <c r="AH41" i="19"/>
  <c r="AH40" i="19"/>
  <c r="AH39" i="19"/>
  <c r="AH38" i="19"/>
  <c r="AG77" i="19"/>
  <c r="AH77" i="19"/>
  <c r="AK77" i="19"/>
  <c r="AG78" i="19"/>
  <c r="AH78" i="19"/>
  <c r="AK78" i="19"/>
  <c r="AD77" i="19"/>
  <c r="AE77" i="19"/>
  <c r="AM77" i="19" s="1"/>
  <c r="AD78" i="19"/>
  <c r="AE78" i="19"/>
  <c r="AG84" i="17"/>
  <c r="AH84" i="17"/>
  <c r="AK84" i="17"/>
  <c r="AG85" i="17"/>
  <c r="AH85" i="17"/>
  <c r="AK85" i="17"/>
  <c r="AG86" i="17"/>
  <c r="AH86" i="17"/>
  <c r="AK86" i="17"/>
  <c r="AK37" i="17"/>
  <c r="AK38" i="17"/>
  <c r="AK39" i="17"/>
  <c r="AK40" i="17"/>
  <c r="AK41" i="17"/>
  <c r="AG37" i="17"/>
  <c r="AG38" i="17"/>
  <c r="AG39" i="17"/>
  <c r="AG40" i="17"/>
  <c r="AG41" i="17"/>
  <c r="AD37" i="17"/>
  <c r="AD38" i="17"/>
  <c r="AD39" i="17"/>
  <c r="AD40" i="17"/>
  <c r="AD41" i="17"/>
  <c r="AE42" i="19"/>
  <c r="AK38" i="19"/>
  <c r="AK39" i="19"/>
  <c r="AK40" i="19"/>
  <c r="AK41" i="19"/>
  <c r="AK42" i="19"/>
  <c r="AK43" i="19"/>
  <c r="AG38" i="19"/>
  <c r="AG39" i="19"/>
  <c r="AG40" i="19"/>
  <c r="AG41" i="19"/>
  <c r="AG42" i="19"/>
  <c r="AG43" i="19"/>
  <c r="AG44" i="19"/>
  <c r="AD42" i="19"/>
  <c r="AD43" i="19"/>
  <c r="AD44" i="19"/>
  <c r="AH22" i="19"/>
  <c r="AH26" i="19"/>
  <c r="AH35" i="19"/>
  <c r="J39" i="19"/>
  <c r="B39" i="19" s="1"/>
  <c r="B42" i="19"/>
  <c r="B43" i="19"/>
  <c r="B44" i="19"/>
  <c r="AK67" i="17"/>
  <c r="AK68" i="17"/>
  <c r="AK69" i="17"/>
  <c r="AG67" i="17"/>
  <c r="AH67" i="17"/>
  <c r="AG68" i="17"/>
  <c r="AH68" i="17"/>
  <c r="AG69" i="17"/>
  <c r="AH69" i="17"/>
  <c r="AD67" i="17"/>
  <c r="AD68" i="17"/>
  <c r="AD69" i="17"/>
  <c r="AE67" i="17"/>
  <c r="AM67" i="17" s="1"/>
  <c r="AE68" i="17"/>
  <c r="B67" i="17"/>
  <c r="B68" i="17"/>
  <c r="AA77" i="19"/>
  <c r="B77" i="19"/>
  <c r="B78" i="19"/>
  <c r="AE16" i="4"/>
  <c r="AH16" i="4"/>
  <c r="AE17" i="4"/>
  <c r="AH17" i="4"/>
  <c r="AE18" i="4"/>
  <c r="AH18" i="4"/>
  <c r="AE19" i="4"/>
  <c r="AH19" i="4"/>
  <c r="AH20" i="4"/>
  <c r="AE21" i="4"/>
  <c r="AH21" i="4"/>
  <c r="AH22" i="4"/>
  <c r="AE23" i="4"/>
  <c r="AH23" i="4"/>
  <c r="AH33" i="4"/>
  <c r="AE24" i="4"/>
  <c r="AH24" i="4"/>
  <c r="AE25" i="4"/>
  <c r="AH25" i="4"/>
  <c r="AE31" i="4"/>
  <c r="AH31" i="4"/>
  <c r="AE32" i="4"/>
  <c r="AH32" i="4"/>
  <c r="AE35" i="4"/>
  <c r="AH35" i="4"/>
  <c r="O36" i="4"/>
  <c r="N36" i="4"/>
  <c r="AE40" i="19"/>
  <c r="AE41" i="19"/>
  <c r="AD38" i="19"/>
  <c r="AD39" i="19"/>
  <c r="AD40" i="19"/>
  <c r="AD41" i="19"/>
  <c r="AE39" i="19"/>
  <c r="AE38" i="19"/>
  <c r="B41" i="19"/>
  <c r="B38" i="19"/>
  <c r="B40" i="19"/>
  <c r="B71" i="19"/>
  <c r="B69" i="19"/>
  <c r="B37" i="19"/>
  <c r="N117" i="18"/>
  <c r="N98" i="18"/>
  <c r="N106" i="18"/>
  <c r="X98" i="18"/>
  <c r="W98" i="18"/>
  <c r="V98" i="18"/>
  <c r="T98" i="18"/>
  <c r="P98" i="18"/>
  <c r="S117" i="18"/>
  <c r="S22" i="20"/>
  <c r="R22" i="20"/>
  <c r="Q22" i="20"/>
  <c r="P22" i="20"/>
  <c r="O22" i="20"/>
  <c r="N22" i="20"/>
  <c r="AG17" i="20"/>
  <c r="AG18" i="20"/>
  <c r="AG19" i="20"/>
  <c r="AG20" i="20"/>
  <c r="AG21" i="20"/>
  <c r="AG23" i="20"/>
  <c r="AG24" i="20"/>
  <c r="AG30" i="20"/>
  <c r="AG31" i="20"/>
  <c r="AG33" i="20"/>
  <c r="AG34" i="20"/>
  <c r="AG36" i="20"/>
  <c r="AG37" i="20"/>
  <c r="AG27" i="20"/>
  <c r="AG28" i="20"/>
  <c r="AG67" i="20"/>
  <c r="AG90" i="20"/>
  <c r="AG91" i="20"/>
  <c r="AG92" i="20"/>
  <c r="AG93" i="20"/>
  <c r="AG94" i="20"/>
  <c r="AG95" i="20"/>
  <c r="AG96" i="20"/>
  <c r="AG97" i="20"/>
  <c r="AG98" i="20"/>
  <c r="AG99" i="20"/>
  <c r="AG100" i="20"/>
  <c r="AG101" i="20"/>
  <c r="AG136" i="20"/>
  <c r="AG137" i="20"/>
  <c r="AG140" i="20"/>
  <c r="AG141" i="20"/>
  <c r="AG142" i="20"/>
  <c r="AG143" i="20"/>
  <c r="AG144" i="20"/>
  <c r="AG145" i="20"/>
  <c r="AG146" i="20"/>
  <c r="AG209" i="20"/>
  <c r="AG210" i="20"/>
  <c r="AG211" i="20"/>
  <c r="AG212" i="20"/>
  <c r="AG213" i="20"/>
  <c r="AG214" i="20"/>
  <c r="AG215" i="20"/>
  <c r="AG216" i="20"/>
  <c r="AG217" i="20"/>
  <c r="AG218" i="20"/>
  <c r="AG235" i="20"/>
  <c r="AG236" i="20"/>
  <c r="AG237" i="20"/>
  <c r="AG238" i="20"/>
  <c r="AG239" i="20"/>
  <c r="AG240" i="20"/>
  <c r="AG241" i="20"/>
  <c r="AG242" i="20"/>
  <c r="AG243" i="20"/>
  <c r="AG244" i="20"/>
  <c r="AG245" i="20"/>
  <c r="AG246" i="20"/>
  <c r="AG247" i="20"/>
  <c r="AG248" i="20"/>
  <c r="AG249" i="20"/>
  <c r="AG250" i="20"/>
  <c r="AG251" i="20"/>
  <c r="AG252" i="20"/>
  <c r="AG253" i="20"/>
  <c r="AG254" i="20"/>
  <c r="AG255" i="20"/>
  <c r="AG256" i="20"/>
  <c r="AG257" i="20"/>
  <c r="AG258" i="20"/>
  <c r="AG259" i="20"/>
  <c r="AG260" i="20"/>
  <c r="AG261" i="20"/>
  <c r="AG288" i="20"/>
  <c r="AG289" i="20"/>
  <c r="AG291" i="20"/>
  <c r="AG292" i="20"/>
  <c r="AG293" i="20"/>
  <c r="AG294" i="20"/>
  <c r="AG295" i="20"/>
  <c r="AG300" i="20"/>
  <c r="AG301" i="20"/>
  <c r="AG303" i="20"/>
  <c r="AG304" i="20"/>
  <c r="AG16" i="20"/>
  <c r="AK289" i="20"/>
  <c r="AG17" i="19"/>
  <c r="AG18" i="19"/>
  <c r="AG19" i="19"/>
  <c r="AG20" i="19"/>
  <c r="AG21" i="19"/>
  <c r="AG22" i="19"/>
  <c r="AG23" i="19"/>
  <c r="AG24" i="19"/>
  <c r="AG25" i="19"/>
  <c r="AG26" i="19"/>
  <c r="AG27" i="19"/>
  <c r="AG28" i="19"/>
  <c r="AG29" i="19"/>
  <c r="AG30" i="19"/>
  <c r="AG31" i="19"/>
  <c r="AG32" i="19"/>
  <c r="AG33" i="19"/>
  <c r="AG34" i="19"/>
  <c r="AG35" i="19"/>
  <c r="AG36" i="19"/>
  <c r="AG37" i="19"/>
  <c r="AG68" i="19"/>
  <c r="AG69" i="19"/>
  <c r="AG70" i="19"/>
  <c r="AG71" i="19"/>
  <c r="AG75" i="19"/>
  <c r="AG76" i="19"/>
  <c r="AG16" i="19"/>
  <c r="AK17" i="20"/>
  <c r="AK18" i="20"/>
  <c r="AK19" i="20"/>
  <c r="AK20" i="20"/>
  <c r="AK21" i="20"/>
  <c r="AK23" i="20"/>
  <c r="AK24" i="20"/>
  <c r="AK30" i="20"/>
  <c r="AK31" i="20"/>
  <c r="AK33" i="20"/>
  <c r="AK34" i="20"/>
  <c r="AK36" i="20"/>
  <c r="AK37" i="20"/>
  <c r="AK27" i="20"/>
  <c r="AK28" i="20"/>
  <c r="AK67" i="20"/>
  <c r="AK90" i="20"/>
  <c r="AK91" i="20"/>
  <c r="AK92" i="20"/>
  <c r="AK93" i="20"/>
  <c r="AK94" i="20"/>
  <c r="AK95" i="20"/>
  <c r="AK96" i="20"/>
  <c r="AK97" i="20"/>
  <c r="AK98" i="20"/>
  <c r="AK99" i="20"/>
  <c r="AK100" i="20"/>
  <c r="AK101" i="20"/>
  <c r="AK136" i="20"/>
  <c r="AK137" i="20"/>
  <c r="AK140" i="20"/>
  <c r="AK141" i="20"/>
  <c r="AK142" i="20"/>
  <c r="AK143" i="20"/>
  <c r="AK144" i="20"/>
  <c r="AK145" i="20"/>
  <c r="AK146" i="20"/>
  <c r="AK209" i="20"/>
  <c r="AK210" i="20"/>
  <c r="AK211" i="20"/>
  <c r="AK212" i="20"/>
  <c r="AK213" i="20"/>
  <c r="AK214" i="20"/>
  <c r="AK215" i="20"/>
  <c r="AK216" i="20"/>
  <c r="AK217" i="20"/>
  <c r="AK218" i="20"/>
  <c r="AK234" i="20"/>
  <c r="AK235" i="20"/>
  <c r="AK236" i="20"/>
  <c r="AK237" i="20"/>
  <c r="AK238" i="20"/>
  <c r="AK239" i="20"/>
  <c r="AK240" i="20"/>
  <c r="AK241" i="20"/>
  <c r="AK242" i="20"/>
  <c r="AK243" i="20"/>
  <c r="AK244" i="20"/>
  <c r="AK245" i="20"/>
  <c r="AK246" i="20"/>
  <c r="AK247" i="20"/>
  <c r="AK248" i="20"/>
  <c r="AK249" i="20"/>
  <c r="AK250" i="20"/>
  <c r="AK251" i="20"/>
  <c r="AK252" i="20"/>
  <c r="AK253" i="20"/>
  <c r="AK254" i="20"/>
  <c r="AK255" i="20"/>
  <c r="AK256" i="20"/>
  <c r="AK257" i="20"/>
  <c r="AK258" i="20"/>
  <c r="AK259" i="20"/>
  <c r="AK260" i="20"/>
  <c r="AK261" i="20"/>
  <c r="AK288" i="20"/>
  <c r="AK291" i="20"/>
  <c r="AK292" i="20"/>
  <c r="AK293" i="20"/>
  <c r="AK294" i="20"/>
  <c r="AK295" i="20"/>
  <c r="AK300" i="20"/>
  <c r="AK301" i="20"/>
  <c r="AK303" i="20"/>
  <c r="AK304" i="20"/>
  <c r="AK16" i="20"/>
  <c r="AH17" i="20"/>
  <c r="AE17" i="20"/>
  <c r="AH18" i="20"/>
  <c r="AH19" i="20"/>
  <c r="AH20" i="20"/>
  <c r="AH21" i="20"/>
  <c r="AH23" i="20"/>
  <c r="AH24" i="20"/>
  <c r="AH30" i="20"/>
  <c r="AH31" i="20"/>
  <c r="AE31" i="20"/>
  <c r="AH33" i="20"/>
  <c r="AH34" i="20"/>
  <c r="AH36" i="20"/>
  <c r="AH27" i="20"/>
  <c r="AH28" i="20"/>
  <c r="AH67" i="20"/>
  <c r="AH90" i="20"/>
  <c r="AH97" i="20"/>
  <c r="AH98" i="20"/>
  <c r="AH99" i="20"/>
  <c r="AH101" i="20"/>
  <c r="AH136" i="20"/>
  <c r="AH137" i="20"/>
  <c r="AH140" i="20"/>
  <c r="AH143" i="20"/>
  <c r="AH144" i="20"/>
  <c r="AH209" i="20"/>
  <c r="AH211" i="20"/>
  <c r="AH215" i="20"/>
  <c r="AH216" i="20"/>
  <c r="AH217" i="20"/>
  <c r="AH218" i="20"/>
  <c r="AH288" i="20"/>
  <c r="AH291" i="20"/>
  <c r="AH292" i="20"/>
  <c r="AH293" i="20"/>
  <c r="AH294" i="20"/>
  <c r="AH300" i="20"/>
  <c r="AE300" i="20"/>
  <c r="AE301" i="20"/>
  <c r="AH301" i="20"/>
  <c r="AH303" i="20"/>
  <c r="AH304" i="20"/>
  <c r="AH16" i="20"/>
  <c r="AE18" i="20"/>
  <c r="AE19" i="20"/>
  <c r="AE20" i="20"/>
  <c r="AE21" i="20"/>
  <c r="AE23" i="20"/>
  <c r="AE24" i="20"/>
  <c r="AE30" i="20"/>
  <c r="AE33" i="20"/>
  <c r="AE36" i="20"/>
  <c r="AE27" i="20"/>
  <c r="AE67" i="20"/>
  <c r="AE90" i="20"/>
  <c r="AE98" i="20"/>
  <c r="AE99" i="20"/>
  <c r="AE101" i="20"/>
  <c r="AE136" i="20"/>
  <c r="AE140" i="20"/>
  <c r="AE142" i="20"/>
  <c r="AE143" i="20"/>
  <c r="AE144" i="20"/>
  <c r="AE209" i="20"/>
  <c r="AE216" i="20"/>
  <c r="AE218" i="20"/>
  <c r="AE288" i="20"/>
  <c r="AE289" i="20"/>
  <c r="AE291" i="20"/>
  <c r="AE292" i="20"/>
  <c r="AE293" i="20"/>
  <c r="AE294" i="20"/>
  <c r="AE295" i="20"/>
  <c r="AE303" i="20"/>
  <c r="AE304" i="20"/>
  <c r="AE16" i="20"/>
  <c r="AD17" i="20"/>
  <c r="AD18" i="20"/>
  <c r="AD19" i="20"/>
  <c r="AD20" i="20"/>
  <c r="AD21" i="20"/>
  <c r="AD23" i="20"/>
  <c r="AD24" i="20"/>
  <c r="AD30" i="20"/>
  <c r="AD31" i="20"/>
  <c r="AD33" i="20"/>
  <c r="AD34" i="20"/>
  <c r="AD36" i="20"/>
  <c r="AD37" i="20"/>
  <c r="AD27" i="20"/>
  <c r="AD28" i="20"/>
  <c r="AD67" i="20"/>
  <c r="AD90" i="20"/>
  <c r="AD91" i="20"/>
  <c r="AD92" i="20"/>
  <c r="AD93" i="20"/>
  <c r="AD94" i="20"/>
  <c r="AD95" i="20"/>
  <c r="AD96" i="20"/>
  <c r="AD97" i="20"/>
  <c r="AD98" i="20"/>
  <c r="AD99" i="20"/>
  <c r="AD100" i="20"/>
  <c r="AD101" i="20"/>
  <c r="AD136" i="20"/>
  <c r="AD137" i="20"/>
  <c r="AD140" i="20"/>
  <c r="AD141" i="20"/>
  <c r="AD142" i="20"/>
  <c r="AD143" i="20"/>
  <c r="AD144" i="20"/>
  <c r="AD145" i="20"/>
  <c r="AD146" i="20"/>
  <c r="AD209" i="20"/>
  <c r="AD210" i="20"/>
  <c r="AD211" i="20"/>
  <c r="AD212" i="20"/>
  <c r="AD213" i="20"/>
  <c r="AD214" i="20"/>
  <c r="AD215" i="20"/>
  <c r="AD216" i="20"/>
  <c r="AD217" i="20"/>
  <c r="AD218" i="20"/>
  <c r="AD235" i="20"/>
  <c r="AD236" i="20"/>
  <c r="AD237" i="20"/>
  <c r="AD238" i="20"/>
  <c r="AD239" i="20"/>
  <c r="AD240" i="20"/>
  <c r="AD241" i="20"/>
  <c r="AD242" i="20"/>
  <c r="AD243" i="20"/>
  <c r="AD244" i="20"/>
  <c r="AD245" i="20"/>
  <c r="AD246" i="20"/>
  <c r="AD247" i="20"/>
  <c r="AD248" i="20"/>
  <c r="AD249" i="20"/>
  <c r="AD250" i="20"/>
  <c r="AD251" i="20"/>
  <c r="AD252" i="20"/>
  <c r="AD253" i="20"/>
  <c r="AD254" i="20"/>
  <c r="AD255" i="20"/>
  <c r="AD256" i="20"/>
  <c r="AD257" i="20"/>
  <c r="AD258" i="20"/>
  <c r="AD259" i="20"/>
  <c r="AD260" i="20"/>
  <c r="AD261" i="20"/>
  <c r="AD288" i="20"/>
  <c r="AD289" i="20"/>
  <c r="AD290" i="20"/>
  <c r="AD291" i="20"/>
  <c r="AD292" i="20"/>
  <c r="AD293" i="20"/>
  <c r="AD294" i="20"/>
  <c r="AD295" i="20"/>
  <c r="AD300" i="20"/>
  <c r="AD301" i="20"/>
  <c r="AD303" i="20"/>
  <c r="AD304" i="20"/>
  <c r="AD308" i="20"/>
  <c r="AD309" i="20"/>
  <c r="AD16" i="20"/>
  <c r="AD17" i="19"/>
  <c r="AD18" i="19"/>
  <c r="AD19" i="19"/>
  <c r="AD20" i="19"/>
  <c r="AD21" i="19"/>
  <c r="AD22" i="19"/>
  <c r="AD23" i="19"/>
  <c r="AD24" i="19"/>
  <c r="AD25" i="19"/>
  <c r="AD26" i="19"/>
  <c r="AD27" i="19"/>
  <c r="AD28" i="19"/>
  <c r="AD29" i="19"/>
  <c r="AD30" i="19"/>
  <c r="AD31" i="19"/>
  <c r="AD32" i="19"/>
  <c r="AD33" i="19"/>
  <c r="AD34" i="19"/>
  <c r="AD35" i="19"/>
  <c r="AD36" i="19"/>
  <c r="AD37" i="19"/>
  <c r="AD68" i="19"/>
  <c r="AD69" i="19"/>
  <c r="AD70" i="19"/>
  <c r="AD71" i="19"/>
  <c r="AD75" i="19"/>
  <c r="AD76" i="19"/>
  <c r="AD16" i="19"/>
  <c r="AE18" i="19"/>
  <c r="AE19" i="19"/>
  <c r="AE20" i="19"/>
  <c r="AE21" i="19"/>
  <c r="AE22" i="19"/>
  <c r="AE23" i="19"/>
  <c r="AE24" i="19"/>
  <c r="AE25" i="19"/>
  <c r="AE26" i="19"/>
  <c r="AE28" i="19"/>
  <c r="AM28" i="19" s="1"/>
  <c r="AE30" i="19"/>
  <c r="AH33" i="19"/>
  <c r="AE36" i="19"/>
  <c r="AH36" i="19"/>
  <c r="AE37" i="19"/>
  <c r="AH37" i="19"/>
  <c r="AE68" i="19"/>
  <c r="AH69" i="19"/>
  <c r="AH70" i="19"/>
  <c r="AE71" i="19"/>
  <c r="AE75" i="19"/>
  <c r="AE76" i="19"/>
  <c r="AE16" i="19"/>
  <c r="AK17" i="19"/>
  <c r="AK18" i="19"/>
  <c r="AK19" i="19"/>
  <c r="AK20" i="19"/>
  <c r="AK21" i="19"/>
  <c r="AK22" i="19"/>
  <c r="AK23" i="19"/>
  <c r="AK24" i="19"/>
  <c r="AK25" i="19"/>
  <c r="AK26" i="19"/>
  <c r="AK27" i="19"/>
  <c r="AK28" i="19"/>
  <c r="AK29" i="19"/>
  <c r="AK30" i="19"/>
  <c r="AK31" i="19"/>
  <c r="AK32" i="19"/>
  <c r="AK33" i="19"/>
  <c r="AK34" i="19"/>
  <c r="AK35" i="19"/>
  <c r="AK36" i="19"/>
  <c r="AK37" i="19"/>
  <c r="AK67" i="19"/>
  <c r="AK68" i="19"/>
  <c r="AK69" i="19"/>
  <c r="AK70" i="19"/>
  <c r="AK71" i="19"/>
  <c r="AK74" i="19"/>
  <c r="AK75" i="19"/>
  <c r="AK76" i="19"/>
  <c r="AK16" i="19"/>
  <c r="AH17" i="19"/>
  <c r="AH18" i="19"/>
  <c r="AH20" i="19"/>
  <c r="AM20" i="19" s="1"/>
  <c r="AH21" i="19"/>
  <c r="AH23" i="19"/>
  <c r="AH27" i="19"/>
  <c r="AH30" i="19"/>
  <c r="AH31" i="19"/>
  <c r="AH32" i="19"/>
  <c r="AH68" i="19"/>
  <c r="AH71" i="19"/>
  <c r="AH75" i="19"/>
  <c r="AH76" i="19"/>
  <c r="AH16" i="19"/>
  <c r="AM80" i="19"/>
  <c r="AE41" i="18"/>
  <c r="AK17" i="18"/>
  <c r="AK18" i="18"/>
  <c r="AK19" i="18"/>
  <c r="AK20" i="18"/>
  <c r="AK21" i="18"/>
  <c r="AK22" i="18"/>
  <c r="AK23" i="18"/>
  <c r="AK24" i="18"/>
  <c r="AK25" i="18"/>
  <c r="AK34" i="18"/>
  <c r="AK35" i="18"/>
  <c r="AK36" i="18"/>
  <c r="AK37" i="18"/>
  <c r="AK38" i="18"/>
  <c r="AK39" i="18"/>
  <c r="AK40" i="18"/>
  <c r="AK41" i="18"/>
  <c r="AK42" i="18"/>
  <c r="AK43" i="18"/>
  <c r="AK44" i="18"/>
  <c r="AK45" i="18"/>
  <c r="AK46" i="18"/>
  <c r="AK47" i="18"/>
  <c r="AK48" i="18"/>
  <c r="AK49" i="18"/>
  <c r="AK50" i="18"/>
  <c r="AK51" i="18"/>
  <c r="AK52" i="18"/>
  <c r="AK53" i="18"/>
  <c r="AK54" i="18"/>
  <c r="AK55" i="18"/>
  <c r="AK56" i="18"/>
  <c r="AK57" i="18"/>
  <c r="AK58" i="18"/>
  <c r="AK59" i="18"/>
  <c r="AK60" i="18"/>
  <c r="AK93" i="18"/>
  <c r="AK94" i="18"/>
  <c r="AK95" i="18"/>
  <c r="AK96" i="18"/>
  <c r="AK97" i="18"/>
  <c r="AK99" i="18"/>
  <c r="AK100" i="18"/>
  <c r="AK101" i="18"/>
  <c r="AK102" i="18"/>
  <c r="AK103" i="18"/>
  <c r="AK104" i="18"/>
  <c r="AK105" i="18"/>
  <c r="AK107" i="18"/>
  <c r="AK108" i="18"/>
  <c r="AK110" i="18"/>
  <c r="AK111" i="18"/>
  <c r="AK116" i="18"/>
  <c r="AK117" i="18"/>
  <c r="AK16" i="18"/>
  <c r="AE19" i="18"/>
  <c r="AH21" i="18"/>
  <c r="AH23" i="18"/>
  <c r="AH24" i="18"/>
  <c r="AH25" i="18"/>
  <c r="AE25" i="18"/>
  <c r="AH34" i="18"/>
  <c r="AH36" i="18"/>
  <c r="AE39" i="18"/>
  <c r="AH41" i="18"/>
  <c r="AH42" i="18"/>
  <c r="AH43" i="18"/>
  <c r="AH45" i="18"/>
  <c r="AH47" i="18"/>
  <c r="AE49" i="18"/>
  <c r="AH51" i="18"/>
  <c r="AE51" i="18"/>
  <c r="AH53" i="18"/>
  <c r="AH57" i="18"/>
  <c r="AH59" i="18"/>
  <c r="AH60" i="18"/>
  <c r="AH93" i="18"/>
  <c r="AH94" i="18"/>
  <c r="AH95" i="18"/>
  <c r="AH96" i="18"/>
  <c r="AH97" i="18"/>
  <c r="AH99" i="18"/>
  <c r="AH100" i="18"/>
  <c r="AH101" i="18"/>
  <c r="AH102" i="18"/>
  <c r="AH103" i="18"/>
  <c r="AH104" i="18"/>
  <c r="AH105" i="18"/>
  <c r="AH107" i="18"/>
  <c r="AH108" i="18"/>
  <c r="AH111" i="18"/>
  <c r="AH116" i="18"/>
  <c r="AH16" i="18"/>
  <c r="AG17" i="18"/>
  <c r="AG18" i="18"/>
  <c r="AG19" i="18"/>
  <c r="AG20" i="18"/>
  <c r="AG21" i="18"/>
  <c r="AG22" i="18"/>
  <c r="AG23" i="18"/>
  <c r="AG24" i="18"/>
  <c r="AG25" i="18"/>
  <c r="AG34" i="18"/>
  <c r="AG35" i="18"/>
  <c r="AG36" i="18"/>
  <c r="AG37" i="18"/>
  <c r="AG38" i="18"/>
  <c r="AG39" i="18"/>
  <c r="AG40" i="18"/>
  <c r="AG41" i="18"/>
  <c r="AG42" i="18"/>
  <c r="AG43" i="18"/>
  <c r="AG44" i="18"/>
  <c r="AG45" i="18"/>
  <c r="AG46" i="18"/>
  <c r="AG47" i="18"/>
  <c r="AG48" i="18"/>
  <c r="AG49" i="18"/>
  <c r="AG50" i="18"/>
  <c r="AG51" i="18"/>
  <c r="AG52" i="18"/>
  <c r="AG53" i="18"/>
  <c r="AG54" i="18"/>
  <c r="AG55" i="18"/>
  <c r="AG56" i="18"/>
  <c r="AG57" i="18"/>
  <c r="AG58" i="18"/>
  <c r="AG59" i="18"/>
  <c r="AG60" i="18"/>
  <c r="AG93" i="18"/>
  <c r="AG94" i="18"/>
  <c r="AG95" i="18"/>
  <c r="AG96" i="18"/>
  <c r="AG97" i="18"/>
  <c r="AG98" i="18"/>
  <c r="AG99" i="18"/>
  <c r="AG100" i="18"/>
  <c r="AG101" i="18"/>
  <c r="AG102" i="18"/>
  <c r="AG103" i="18"/>
  <c r="AG104" i="18"/>
  <c r="AG105" i="18"/>
  <c r="AG106" i="18"/>
  <c r="AG107" i="18"/>
  <c r="AG108" i="18"/>
  <c r="AG110" i="18"/>
  <c r="AG111" i="18"/>
  <c r="AG116" i="18"/>
  <c r="AG117" i="18"/>
  <c r="AG16" i="18"/>
  <c r="AE18" i="18"/>
  <c r="AE21" i="18"/>
  <c r="AE24" i="18"/>
  <c r="AE34" i="18"/>
  <c r="AE36" i="18"/>
  <c r="AM36" i="18" s="1"/>
  <c r="AE38" i="18"/>
  <c r="AE40" i="18"/>
  <c r="AE42" i="18"/>
  <c r="AE43" i="18"/>
  <c r="AE44" i="18"/>
  <c r="AE45" i="18"/>
  <c r="AE46" i="18"/>
  <c r="AE48" i="18"/>
  <c r="AE50" i="18"/>
  <c r="AE52" i="18"/>
  <c r="AE56" i="18"/>
  <c r="AE57" i="18"/>
  <c r="AE58" i="18"/>
  <c r="AE60" i="18"/>
  <c r="AE93" i="18"/>
  <c r="AE94" i="18"/>
  <c r="AE95" i="18"/>
  <c r="AE97" i="18"/>
  <c r="AE99" i="18"/>
  <c r="AE100" i="18"/>
  <c r="AE103" i="18"/>
  <c r="AE104" i="18"/>
  <c r="AE105" i="18"/>
  <c r="AE107" i="18"/>
  <c r="AE108" i="18"/>
  <c r="AE111" i="18"/>
  <c r="AE116" i="18"/>
  <c r="AE16" i="18"/>
  <c r="AD17" i="18"/>
  <c r="AD18" i="18"/>
  <c r="AD19" i="18"/>
  <c r="AD20" i="18"/>
  <c r="AD21" i="18"/>
  <c r="AD22" i="18"/>
  <c r="AD23" i="18"/>
  <c r="AD24" i="18"/>
  <c r="AD25" i="18"/>
  <c r="AD34" i="18"/>
  <c r="AD35" i="18"/>
  <c r="AD36" i="18"/>
  <c r="AD37" i="18"/>
  <c r="AD38" i="18"/>
  <c r="AD39" i="18"/>
  <c r="AD40" i="18"/>
  <c r="AD41" i="18"/>
  <c r="AD42" i="18"/>
  <c r="AD43" i="18"/>
  <c r="AD44" i="18"/>
  <c r="AD45" i="18"/>
  <c r="AD46" i="18"/>
  <c r="AD47" i="18"/>
  <c r="AD48" i="18"/>
  <c r="AD49" i="18"/>
  <c r="AD50" i="18"/>
  <c r="AD51" i="18"/>
  <c r="AD52" i="18"/>
  <c r="AD53" i="18"/>
  <c r="AD54" i="18"/>
  <c r="AD55" i="18"/>
  <c r="AD56" i="18"/>
  <c r="AD57" i="18"/>
  <c r="AD58" i="18"/>
  <c r="AD59" i="18"/>
  <c r="AD60" i="18"/>
  <c r="AD93" i="18"/>
  <c r="AD94" i="18"/>
  <c r="AD95" i="18"/>
  <c r="AD96" i="18"/>
  <c r="AD97" i="18"/>
  <c r="AD99" i="18"/>
  <c r="AD100" i="18"/>
  <c r="AD101" i="18"/>
  <c r="AD102" i="18"/>
  <c r="AD103" i="18"/>
  <c r="AD104" i="18"/>
  <c r="AD105" i="18"/>
  <c r="AD107" i="18"/>
  <c r="AD108" i="18"/>
  <c r="AD110" i="18"/>
  <c r="AD111" i="18"/>
  <c r="AD116" i="18"/>
  <c r="AD117" i="18"/>
  <c r="AD16" i="18"/>
  <c r="AK17" i="17"/>
  <c r="AK18" i="17"/>
  <c r="AK19" i="17"/>
  <c r="AK20" i="17"/>
  <c r="AK21" i="17"/>
  <c r="AK22" i="17"/>
  <c r="AK23" i="17"/>
  <c r="AK24" i="17"/>
  <c r="AK25" i="17"/>
  <c r="AK26" i="17"/>
  <c r="AK27" i="17"/>
  <c r="AK28" i="17"/>
  <c r="AK29" i="17"/>
  <c r="AK30" i="17"/>
  <c r="AK31" i="17"/>
  <c r="AK32" i="17"/>
  <c r="AK33" i="17"/>
  <c r="AK34" i="17"/>
  <c r="AK35" i="17"/>
  <c r="AK36" i="17"/>
  <c r="AK65" i="17"/>
  <c r="AK66" i="17"/>
  <c r="AK72" i="17"/>
  <c r="AK73" i="17"/>
  <c r="AK74" i="17"/>
  <c r="AK75" i="17"/>
  <c r="AK76" i="17"/>
  <c r="AK77" i="17"/>
  <c r="AK78" i="17"/>
  <c r="AK79" i="17"/>
  <c r="AK80" i="17"/>
  <c r="AK81" i="17"/>
  <c r="AK82" i="17"/>
  <c r="AK83" i="17"/>
  <c r="AK103" i="17"/>
  <c r="AK104" i="17"/>
  <c r="AK105" i="17"/>
  <c r="AK114" i="17"/>
  <c r="AK16" i="17"/>
  <c r="AH65" i="17"/>
  <c r="AH72" i="17"/>
  <c r="AH74" i="17"/>
  <c r="AH78" i="17"/>
  <c r="AH81" i="17"/>
  <c r="AH82" i="17"/>
  <c r="AH83" i="17"/>
  <c r="AH104" i="17"/>
  <c r="AH16" i="17"/>
  <c r="AG17" i="17"/>
  <c r="AG18" i="17"/>
  <c r="AG19" i="17"/>
  <c r="AG20" i="17"/>
  <c r="AG21" i="17"/>
  <c r="AG22" i="17"/>
  <c r="AG23" i="17"/>
  <c r="AG24" i="17"/>
  <c r="AG25" i="17"/>
  <c r="AG26" i="17"/>
  <c r="AG27" i="17"/>
  <c r="AG28" i="17"/>
  <c r="AG29" i="17"/>
  <c r="AG30" i="17"/>
  <c r="AG31" i="17"/>
  <c r="AG32" i="17"/>
  <c r="AG33" i="17"/>
  <c r="AG34" i="17"/>
  <c r="AG35" i="17"/>
  <c r="AG36" i="17"/>
  <c r="AG65" i="17"/>
  <c r="AG66" i="17"/>
  <c r="AG72" i="17"/>
  <c r="AG73" i="17"/>
  <c r="AG74" i="17"/>
  <c r="AG75" i="17"/>
  <c r="AG76" i="17"/>
  <c r="AG77" i="17"/>
  <c r="AG78" i="17"/>
  <c r="AG79" i="17"/>
  <c r="AG80" i="17"/>
  <c r="AG81" i="17"/>
  <c r="AG82" i="17"/>
  <c r="AG83" i="17"/>
  <c r="AG103" i="17"/>
  <c r="AG104" i="17"/>
  <c r="AG105" i="17"/>
  <c r="AG114" i="17"/>
  <c r="AG16" i="17"/>
  <c r="AE65" i="17"/>
  <c r="AE66" i="17"/>
  <c r="AE104" i="17"/>
  <c r="AE105" i="17"/>
  <c r="AE16" i="17"/>
  <c r="AM16" i="17" s="1"/>
  <c r="AD17" i="17"/>
  <c r="AD18" i="17"/>
  <c r="AD19" i="17"/>
  <c r="AD20" i="17"/>
  <c r="AD21" i="17"/>
  <c r="AD22" i="17"/>
  <c r="AD23" i="17"/>
  <c r="AD24" i="17"/>
  <c r="AD25" i="17"/>
  <c r="AD26" i="17"/>
  <c r="AD27" i="17"/>
  <c r="AD28" i="17"/>
  <c r="AD29" i="17"/>
  <c r="AD30" i="17"/>
  <c r="AD31" i="17"/>
  <c r="AD32" i="17"/>
  <c r="AD33" i="17"/>
  <c r="AD34" i="17"/>
  <c r="AD35" i="17"/>
  <c r="AD36" i="17"/>
  <c r="AD65" i="17"/>
  <c r="AD66" i="17"/>
  <c r="AD104" i="17"/>
  <c r="AD105" i="17"/>
  <c r="AD114" i="17"/>
  <c r="AD16" i="17"/>
  <c r="AK17" i="4"/>
  <c r="AK18" i="4"/>
  <c r="AK20" i="4"/>
  <c r="AK21" i="4"/>
  <c r="AK22" i="4"/>
  <c r="AK23" i="4"/>
  <c r="AK33" i="4"/>
  <c r="AK24" i="4"/>
  <c r="AK25" i="4"/>
  <c r="AK30" i="4"/>
  <c r="AK31" i="4"/>
  <c r="AK32" i="4"/>
  <c r="AK35" i="4"/>
  <c r="AK36" i="4"/>
  <c r="AK37" i="4"/>
  <c r="AK38" i="4"/>
  <c r="AK40" i="4"/>
  <c r="AK16" i="4"/>
  <c r="AH37" i="4"/>
  <c r="AE37" i="4"/>
  <c r="AH38" i="4"/>
  <c r="AG17" i="4"/>
  <c r="AG18" i="4"/>
  <c r="AG19" i="4"/>
  <c r="AG20" i="4"/>
  <c r="AG21" i="4"/>
  <c r="AG22" i="4"/>
  <c r="AG23" i="4"/>
  <c r="AG33" i="4"/>
  <c r="AG24" i="4"/>
  <c r="AG25" i="4"/>
  <c r="AG30" i="4"/>
  <c r="AG31" i="4"/>
  <c r="AG32" i="4"/>
  <c r="AG35" i="4"/>
  <c r="AG36" i="4"/>
  <c r="AG37" i="4"/>
  <c r="AG38" i="4"/>
  <c r="AG40" i="4"/>
  <c r="AG16" i="4"/>
  <c r="AE38" i="4"/>
  <c r="AM38" i="4" s="1"/>
  <c r="AD17" i="4"/>
  <c r="AD18" i="4"/>
  <c r="AD19" i="4"/>
  <c r="AD20" i="4"/>
  <c r="AD21" i="4"/>
  <c r="AD22" i="4"/>
  <c r="AD23" i="4"/>
  <c r="AD33" i="4"/>
  <c r="AD24" i="4"/>
  <c r="AD25" i="4"/>
  <c r="AD30" i="4"/>
  <c r="AD31" i="4"/>
  <c r="AD32" i="4"/>
  <c r="AD35" i="4"/>
  <c r="AD36" i="4"/>
  <c r="AD37" i="4"/>
  <c r="AD38" i="4"/>
  <c r="AD40" i="4"/>
  <c r="AD16" i="4"/>
  <c r="AA71" i="19"/>
  <c r="Z19" i="19"/>
  <c r="AA19" i="19" s="1"/>
  <c r="Z21" i="19"/>
  <c r="AA21" i="19" s="1"/>
  <c r="Z22" i="19"/>
  <c r="AA22" i="19" s="1"/>
  <c r="Z23" i="19"/>
  <c r="Z24" i="19"/>
  <c r="Z29" i="19"/>
  <c r="AA29" i="19" s="1"/>
  <c r="Z33" i="19"/>
  <c r="AA33" i="19" s="1"/>
  <c r="Z37" i="19"/>
  <c r="AA37" i="19" s="1"/>
  <c r="B295" i="20"/>
  <c r="B293" i="20"/>
  <c r="B294" i="20"/>
  <c r="B35" i="4"/>
  <c r="B143" i="20"/>
  <c r="B144" i="20"/>
  <c r="B36" i="19"/>
  <c r="B35" i="19"/>
  <c r="B31" i="19"/>
  <c r="B33" i="19"/>
  <c r="B19" i="20"/>
  <c r="B28" i="19"/>
  <c r="B27" i="19"/>
  <c r="B25" i="19"/>
  <c r="B21" i="19"/>
  <c r="B20" i="19"/>
  <c r="B142" i="20"/>
  <c r="B18" i="19"/>
  <c r="B216" i="20"/>
  <c r="X117" i="18"/>
  <c r="W117" i="18"/>
  <c r="V117" i="18"/>
  <c r="U117" i="18"/>
  <c r="T117" i="18"/>
  <c r="R117" i="18"/>
  <c r="Q117" i="18"/>
  <c r="P117" i="18"/>
  <c r="AE110" i="18"/>
  <c r="Z304" i="20"/>
  <c r="AA304" i="20" s="1"/>
  <c r="Z303" i="20"/>
  <c r="Z301" i="20"/>
  <c r="AA301" i="20" s="1"/>
  <c r="Z300" i="20"/>
  <c r="Z288" i="20"/>
  <c r="Z209" i="20"/>
  <c r="AA209" i="20" s="1"/>
  <c r="Z140" i="20"/>
  <c r="Z136" i="20"/>
  <c r="Z42" i="20"/>
  <c r="Z35" i="20"/>
  <c r="AA31" i="20"/>
  <c r="X32" i="20"/>
  <c r="X35" i="20"/>
  <c r="X29" i="20"/>
  <c r="S32" i="20"/>
  <c r="S35" i="20"/>
  <c r="S29" i="20"/>
  <c r="S305" i="20"/>
  <c r="R32" i="20"/>
  <c r="R35" i="20"/>
  <c r="R29" i="20"/>
  <c r="R305" i="20"/>
  <c r="Q32" i="20"/>
  <c r="Q35" i="20"/>
  <c r="Q29" i="20"/>
  <c r="Q305" i="20"/>
  <c r="P32" i="20"/>
  <c r="P35" i="20"/>
  <c r="P29" i="20"/>
  <c r="P305" i="20"/>
  <c r="O32" i="20"/>
  <c r="O35" i="20"/>
  <c r="O29" i="20"/>
  <c r="O305" i="20"/>
  <c r="N32" i="20"/>
  <c r="N35" i="20"/>
  <c r="N29" i="20"/>
  <c r="N305" i="20"/>
  <c r="B304" i="20"/>
  <c r="B305" i="20" s="1"/>
  <c r="B301" i="20"/>
  <c r="B302" i="20" s="1"/>
  <c r="B292" i="20"/>
  <c r="B289" i="20"/>
  <c r="B290" i="20" s="1"/>
  <c r="B141" i="20"/>
  <c r="B31" i="20"/>
  <c r="B24" i="20"/>
  <c r="B26" i="20" s="1"/>
  <c r="B18" i="20"/>
  <c r="AA75" i="19"/>
  <c r="AA68" i="19"/>
  <c r="Z17" i="19"/>
  <c r="AA17" i="19" s="1"/>
  <c r="Z16" i="19"/>
  <c r="AA16" i="19" s="1"/>
  <c r="O74" i="19"/>
  <c r="N74" i="19"/>
  <c r="B76" i="19"/>
  <c r="B17" i="19"/>
  <c r="Z37" i="4"/>
  <c r="AA37" i="4" s="1"/>
  <c r="O40" i="4"/>
  <c r="N40" i="4"/>
  <c r="B38" i="4"/>
  <c r="B40" i="4" s="1"/>
  <c r="B32" i="4"/>
  <c r="B66" i="17"/>
  <c r="C3" i="16"/>
  <c r="C6" i="16" s="1"/>
  <c r="C23" i="16" s="1"/>
  <c r="C7" i="16"/>
  <c r="C9" i="16"/>
  <c r="C10" i="16"/>
  <c r="C12" i="16"/>
  <c r="C13" i="16"/>
  <c r="C15" i="16"/>
  <c r="C16" i="16"/>
  <c r="C18" i="16"/>
  <c r="C19" i="16"/>
  <c r="C20" i="16"/>
  <c r="C22" i="16"/>
  <c r="C4" i="16"/>
  <c r="C5" i="16"/>
  <c r="C8" i="16"/>
  <c r="C11" i="16"/>
  <c r="C14" i="16"/>
  <c r="C17" i="16"/>
  <c r="C6" i="15"/>
  <c r="C17" i="14"/>
  <c r="AE97" i="20"/>
  <c r="B30" i="19"/>
  <c r="AH289" i="20"/>
  <c r="AH66" i="17"/>
  <c r="AH18" i="17"/>
  <c r="AE31" i="17"/>
  <c r="AE32" i="17"/>
  <c r="AH47" i="20"/>
  <c r="U81" i="19"/>
  <c r="AE117" i="18"/>
  <c r="AH74" i="20"/>
  <c r="AH78" i="20" s="1"/>
  <c r="AH86" i="20" s="1"/>
  <c r="B48" i="20"/>
  <c r="B74" i="20"/>
  <c r="B20" i="20"/>
  <c r="AA240" i="20" l="1"/>
  <c r="S139" i="20"/>
  <c r="Z137" i="20"/>
  <c r="AA137" i="20" s="1"/>
  <c r="AA92" i="20"/>
  <c r="AA248" i="20"/>
  <c r="AA250" i="20"/>
  <c r="AA251" i="20"/>
  <c r="AA91" i="20"/>
  <c r="AA212" i="20"/>
  <c r="O290" i="20"/>
  <c r="Z289" i="20"/>
  <c r="AA246" i="20"/>
  <c r="AA242" i="20"/>
  <c r="AA245" i="20"/>
  <c r="AA287" i="20" s="1"/>
  <c r="AA95" i="20"/>
  <c r="AA145" i="20"/>
  <c r="AA213" i="20"/>
  <c r="S299" i="20"/>
  <c r="Z293" i="20"/>
  <c r="AA293" i="20" s="1"/>
  <c r="AA299" i="20" s="1"/>
  <c r="AA210" i="20"/>
  <c r="AA234" i="20" s="1"/>
  <c r="Z48" i="18"/>
  <c r="Z102" i="18"/>
  <c r="AA102" i="18" s="1"/>
  <c r="Z94" i="18"/>
  <c r="AA94" i="18" s="1"/>
  <c r="AA18" i="18"/>
  <c r="Z46" i="18"/>
  <c r="Z37" i="18"/>
  <c r="Z58" i="18"/>
  <c r="X315" i="20"/>
  <c r="X307" i="20"/>
  <c r="AM297" i="20"/>
  <c r="AM274" i="20"/>
  <c r="Z302" i="20"/>
  <c r="Z305" i="20"/>
  <c r="Z234" i="20"/>
  <c r="AM104" i="17"/>
  <c r="AA22" i="4"/>
  <c r="AA30" i="4" s="1"/>
  <c r="L234" i="20"/>
  <c r="L135" i="20"/>
  <c r="AH145" i="20"/>
  <c r="AM145" i="20" s="1"/>
  <c r="L299" i="20"/>
  <c r="AH240" i="20"/>
  <c r="AM240" i="20" s="1"/>
  <c r="AH238" i="20"/>
  <c r="AM238" i="20" s="1"/>
  <c r="AH142" i="20"/>
  <c r="AM142" i="20" s="1"/>
  <c r="AH252" i="20"/>
  <c r="AM252" i="20" s="1"/>
  <c r="J135" i="20"/>
  <c r="B92" i="20"/>
  <c r="B248" i="20"/>
  <c r="AE212" i="20"/>
  <c r="AM212" i="20" s="1"/>
  <c r="B251" i="20"/>
  <c r="B95" i="20"/>
  <c r="AE113" i="20"/>
  <c r="B100" i="20"/>
  <c r="AE266" i="20"/>
  <c r="AM266" i="20" s="1"/>
  <c r="AH247" i="20"/>
  <c r="R287" i="20"/>
  <c r="B242" i="20"/>
  <c r="J287" i="20"/>
  <c r="B93" i="20"/>
  <c r="B246" i="20"/>
  <c r="B250" i="20"/>
  <c r="AE213" i="20"/>
  <c r="AM213" i="20" s="1"/>
  <c r="J42" i="20"/>
  <c r="B146" i="20"/>
  <c r="AE211" i="20"/>
  <c r="AM211" i="20" s="1"/>
  <c r="J29" i="20"/>
  <c r="B70" i="19"/>
  <c r="B74" i="19" s="1"/>
  <c r="J74" i="19"/>
  <c r="AH19" i="19"/>
  <c r="AM19" i="19" s="1"/>
  <c r="L67" i="19"/>
  <c r="L81" i="19" s="1"/>
  <c r="L87" i="19" s="1"/>
  <c r="B19" i="19"/>
  <c r="J67" i="19"/>
  <c r="J81" i="19" s="1"/>
  <c r="Z69" i="19"/>
  <c r="AA69" i="19" s="1"/>
  <c r="S74" i="19"/>
  <c r="AA35" i="19"/>
  <c r="AE70" i="19"/>
  <c r="S79" i="19"/>
  <c r="Z76" i="19"/>
  <c r="AA76" i="19" s="1"/>
  <c r="AM46" i="19"/>
  <c r="L33" i="18"/>
  <c r="AE55" i="18"/>
  <c r="B55" i="18"/>
  <c r="AA55" i="18"/>
  <c r="AE74" i="18"/>
  <c r="AM74" i="18" s="1"/>
  <c r="B74" i="18"/>
  <c r="J92" i="18"/>
  <c r="B103" i="18"/>
  <c r="B106" i="18" s="1"/>
  <c r="J106" i="18"/>
  <c r="AE54" i="18"/>
  <c r="AM54" i="18" s="1"/>
  <c r="B54" i="18"/>
  <c r="B18" i="18"/>
  <c r="B33" i="18" s="1"/>
  <c r="J33" i="18"/>
  <c r="J119" i="18" s="1"/>
  <c r="J125" i="18" s="1"/>
  <c r="AM105" i="17"/>
  <c r="AA27" i="17"/>
  <c r="B33" i="4"/>
  <c r="J36" i="4"/>
  <c r="AE22" i="4"/>
  <c r="AE20" i="4"/>
  <c r="AE30" i="4" s="1"/>
  <c r="AM298" i="20"/>
  <c r="AM85" i="20"/>
  <c r="AM86" i="20" s="1"/>
  <c r="AE23" i="18"/>
  <c r="AM23" i="18" s="1"/>
  <c r="AA54" i="18"/>
  <c r="Z38" i="18"/>
  <c r="AA38" i="18" s="1"/>
  <c r="Z36" i="18"/>
  <c r="AA36" i="18" s="1"/>
  <c r="AA68" i="18"/>
  <c r="AM18" i="18"/>
  <c r="B69" i="17"/>
  <c r="B71" i="17" s="1"/>
  <c r="Z66" i="17"/>
  <c r="AA66" i="17" s="1"/>
  <c r="L114" i="17"/>
  <c r="J103" i="17"/>
  <c r="Q64" i="17"/>
  <c r="Q116" i="17" s="1"/>
  <c r="Q122" i="17" s="1"/>
  <c r="Z33" i="17"/>
  <c r="AA33" i="17" s="1"/>
  <c r="B28" i="17"/>
  <c r="J64" i="17"/>
  <c r="Z39" i="17"/>
  <c r="AA39" i="17" s="1"/>
  <c r="Z37" i="17"/>
  <c r="AA37" i="17" s="1"/>
  <c r="Z32" i="17"/>
  <c r="AA32" i="17" s="1"/>
  <c r="J114" i="17"/>
  <c r="B106" i="17"/>
  <c r="B114" i="17" s="1"/>
  <c r="AE51" i="17"/>
  <c r="AM51" i="17" s="1"/>
  <c r="B51" i="17"/>
  <c r="Z22" i="17"/>
  <c r="Z41" i="17"/>
  <c r="AA41" i="17" s="1"/>
  <c r="Z42" i="17"/>
  <c r="AA42" i="17" s="1"/>
  <c r="Z26" i="17"/>
  <c r="AA26" i="17" s="1"/>
  <c r="AE107" i="17"/>
  <c r="AM107" i="17" s="1"/>
  <c r="AE106" i="17"/>
  <c r="AM106" i="17" s="1"/>
  <c r="L103" i="17"/>
  <c r="B108" i="18"/>
  <c r="B110" i="18" s="1"/>
  <c r="AE96" i="18"/>
  <c r="AM96" i="18" s="1"/>
  <c r="AM38" i="18"/>
  <c r="AH17" i="18"/>
  <c r="AA58" i="18"/>
  <c r="AA56" i="18"/>
  <c r="AA46" i="18"/>
  <c r="AA22" i="18"/>
  <c r="AA20" i="18"/>
  <c r="AA65" i="18"/>
  <c r="S106" i="18"/>
  <c r="Y116" i="17"/>
  <c r="Y122" i="17" s="1"/>
  <c r="Y313" i="20"/>
  <c r="X313" i="20"/>
  <c r="Z26" i="20"/>
  <c r="Z32" i="20"/>
  <c r="Z29" i="20"/>
  <c r="Z22" i="20"/>
  <c r="AM16" i="19"/>
  <c r="V88" i="19"/>
  <c r="B79" i="19"/>
  <c r="O81" i="19"/>
  <c r="AM33" i="19"/>
  <c r="AM40" i="19"/>
  <c r="AM57" i="19"/>
  <c r="B22" i="20"/>
  <c r="N315" i="20"/>
  <c r="P315" i="20"/>
  <c r="AH237" i="20"/>
  <c r="L287" i="20"/>
  <c r="AH146" i="20"/>
  <c r="T307" i="20"/>
  <c r="T313" i="20" s="1"/>
  <c r="T315" i="20"/>
  <c r="N307" i="20"/>
  <c r="N313" i="20" s="1"/>
  <c r="P307" i="20"/>
  <c r="P313" i="20" s="1"/>
  <c r="AM83" i="20"/>
  <c r="B212" i="20"/>
  <c r="AE93" i="20"/>
  <c r="AM93" i="20" s="1"/>
  <c r="AE242" i="20"/>
  <c r="AM242" i="20" s="1"/>
  <c r="AE95" i="20"/>
  <c r="AM95" i="20" s="1"/>
  <c r="AE92" i="20"/>
  <c r="AM92" i="20" s="1"/>
  <c r="AE248" i="20"/>
  <c r="AM248" i="20" s="1"/>
  <c r="AE110" i="20"/>
  <c r="AM110" i="20" s="1"/>
  <c r="J234" i="20"/>
  <c r="J160" i="20"/>
  <c r="B78" i="20"/>
  <c r="B113" i="20"/>
  <c r="AE255" i="20"/>
  <c r="AM255" i="20" s="1"/>
  <c r="B32" i="20"/>
  <c r="B214" i="20"/>
  <c r="AE247" i="20"/>
  <c r="AE270" i="20"/>
  <c r="AA30" i="17"/>
  <c r="S103" i="17"/>
  <c r="AE69" i="17"/>
  <c r="AM69" i="17" s="1"/>
  <c r="Z105" i="17"/>
  <c r="AA105" i="17" s="1"/>
  <c r="AM22" i="17"/>
  <c r="AA31" i="17"/>
  <c r="AA28" i="17"/>
  <c r="L64" i="17"/>
  <c r="AE52" i="17"/>
  <c r="AM52" i="17" s="1"/>
  <c r="B299" i="20"/>
  <c r="B82" i="20"/>
  <c r="B86" i="20"/>
  <c r="B51" i="20"/>
  <c r="AH236" i="20"/>
  <c r="AM236" i="20" s="1"/>
  <c r="B116" i="20"/>
  <c r="Q92" i="18"/>
  <c r="Q126" i="18" s="1"/>
  <c r="Z103" i="18"/>
  <c r="AA103" i="18" s="1"/>
  <c r="AA101" i="18"/>
  <c r="S92" i="18"/>
  <c r="AA23" i="18"/>
  <c r="AA52" i="18"/>
  <c r="S98" i="18"/>
  <c r="Z35" i="18"/>
  <c r="AA35" i="18" s="1"/>
  <c r="P92" i="18"/>
  <c r="P126" i="18" s="1"/>
  <c r="R92" i="18"/>
  <c r="R119" i="18" s="1"/>
  <c r="R123" i="18" s="1"/>
  <c r="AH19" i="18"/>
  <c r="AM19" i="18" s="1"/>
  <c r="AA19" i="18"/>
  <c r="B36" i="4"/>
  <c r="J47" i="4"/>
  <c r="AM38" i="19"/>
  <c r="R88" i="19"/>
  <c r="AM70" i="19"/>
  <c r="Z74" i="19"/>
  <c r="AM35" i="19"/>
  <c r="AM78" i="19"/>
  <c r="AM40" i="18"/>
  <c r="AM24" i="18"/>
  <c r="AA84" i="20"/>
  <c r="AA86" i="20" s="1"/>
  <c r="AM21" i="18"/>
  <c r="AH91" i="20"/>
  <c r="B91" i="20"/>
  <c r="B210" i="20"/>
  <c r="AE141" i="20"/>
  <c r="B37" i="20"/>
  <c r="B42" i="20" s="1"/>
  <c r="AE215" i="20"/>
  <c r="AM215" i="20" s="1"/>
  <c r="B145" i="20"/>
  <c r="AE210" i="20"/>
  <c r="AE146" i="20"/>
  <c r="AH214" i="20"/>
  <c r="AM214" i="20" s="1"/>
  <c r="AE254" i="20"/>
  <c r="AM254" i="20" s="1"/>
  <c r="AE251" i="20"/>
  <c r="AM251" i="20" s="1"/>
  <c r="AE237" i="20"/>
  <c r="S234" i="20"/>
  <c r="B16" i="20"/>
  <c r="AM26" i="17"/>
  <c r="AE59" i="18"/>
  <c r="AM59" i="18" s="1"/>
  <c r="AE53" i="18"/>
  <c r="AM53" i="18" s="1"/>
  <c r="AE37" i="18"/>
  <c r="AM37" i="18" s="1"/>
  <c r="AE22" i="18"/>
  <c r="AM22" i="18" s="1"/>
  <c r="AE20" i="18"/>
  <c r="AM20" i="18" s="1"/>
  <c r="AE35" i="18"/>
  <c r="AM35" i="18" s="1"/>
  <c r="AE17" i="18"/>
  <c r="B35" i="18"/>
  <c r="B94" i="18"/>
  <c r="B98" i="18" s="1"/>
  <c r="AA48" i="18"/>
  <c r="AA37" i="18"/>
  <c r="AA17" i="18"/>
  <c r="L106" i="18"/>
  <c r="S33" i="18"/>
  <c r="AH73" i="17"/>
  <c r="AA20" i="17"/>
  <c r="AE30" i="17"/>
  <c r="AM30" i="17" s="1"/>
  <c r="AE28" i="17"/>
  <c r="AM28" i="17" s="1"/>
  <c r="B79" i="17"/>
  <c r="AA51" i="17"/>
  <c r="AM92" i="17"/>
  <c r="R42" i="4"/>
  <c r="R46" i="4" s="1"/>
  <c r="L47" i="4"/>
  <c r="W47" i="4"/>
  <c r="AM79" i="17"/>
  <c r="AM43" i="17"/>
  <c r="T42" i="4"/>
  <c r="T46" i="4" s="1"/>
  <c r="AM68" i="19"/>
  <c r="AM42" i="19"/>
  <c r="AM304" i="20"/>
  <c r="AM33" i="20"/>
  <c r="AM24" i="20"/>
  <c r="AM21" i="20"/>
  <c r="AM19" i="20"/>
  <c r="AM303" i="20"/>
  <c r="AM116" i="20"/>
  <c r="AM16" i="20"/>
  <c r="AH113" i="20"/>
  <c r="AE74" i="20"/>
  <c r="AE78" i="20" s="1"/>
  <c r="S135" i="20"/>
  <c r="AE37" i="20"/>
  <c r="AM37" i="20" s="1"/>
  <c r="O287" i="20"/>
  <c r="O315" i="20" s="1"/>
  <c r="B28" i="20"/>
  <c r="B29" i="20" s="1"/>
  <c r="B213" i="20"/>
  <c r="B211" i="20"/>
  <c r="AE217" i="20"/>
  <c r="AM217" i="20" s="1"/>
  <c r="AE137" i="20"/>
  <c r="AM137" i="20" s="1"/>
  <c r="AE28" i="20"/>
  <c r="AE29" i="20" s="1"/>
  <c r="AE250" i="20"/>
  <c r="AM250" i="20" s="1"/>
  <c r="AE243" i="20"/>
  <c r="AH270" i="20"/>
  <c r="AM25" i="18"/>
  <c r="AM90" i="17"/>
  <c r="B238" i="20"/>
  <c r="B137" i="20"/>
  <c r="B139" i="20" s="1"/>
  <c r="Z290" i="20"/>
  <c r="AH210" i="20"/>
  <c r="AH36" i="4"/>
  <c r="Y47" i="4"/>
  <c r="U47" i="4"/>
  <c r="S47" i="4"/>
  <c r="AM25" i="4"/>
  <c r="N47" i="4"/>
  <c r="AM27" i="4"/>
  <c r="X47" i="4"/>
  <c r="Z33" i="18"/>
  <c r="AM106" i="20"/>
  <c r="AM293" i="20"/>
  <c r="AM291" i="20"/>
  <c r="AM264" i="20"/>
  <c r="AM269" i="20"/>
  <c r="AM267" i="20"/>
  <c r="AM268" i="20"/>
  <c r="AA78" i="20"/>
  <c r="AM294" i="20"/>
  <c r="AM292" i="20"/>
  <c r="AM102" i="20"/>
  <c r="AM109" i="20"/>
  <c r="AA300" i="20"/>
  <c r="AA302" i="20" s="1"/>
  <c r="AA303" i="20"/>
  <c r="AA305" i="20" s="1"/>
  <c r="Q287" i="20"/>
  <c r="AH249" i="20"/>
  <c r="AM249" i="20" s="1"/>
  <c r="AH253" i="20"/>
  <c r="AM253" i="20" s="1"/>
  <c r="R160" i="20"/>
  <c r="AE34" i="20"/>
  <c r="AM34" i="20" s="1"/>
  <c r="AH111" i="20"/>
  <c r="B103" i="20"/>
  <c r="AE103" i="20"/>
  <c r="AM103" i="20" s="1"/>
  <c r="B240" i="20"/>
  <c r="S287" i="20"/>
  <c r="AE91" i="20"/>
  <c r="B34" i="20"/>
  <c r="B35" i="20" s="1"/>
  <c r="AA30" i="20"/>
  <c r="AA32" i="20" s="1"/>
  <c r="AA136" i="20"/>
  <c r="AA139" i="20" s="1"/>
  <c r="AA288" i="20"/>
  <c r="AE100" i="20"/>
  <c r="AM100" i="20" s="1"/>
  <c r="AH243" i="20"/>
  <c r="AE271" i="20"/>
  <c r="AM271" i="20" s="1"/>
  <c r="Q135" i="20"/>
  <c r="AH295" i="20"/>
  <c r="AM295" i="20" s="1"/>
  <c r="AH141" i="20"/>
  <c r="AE112" i="20"/>
  <c r="AM112" i="20" s="1"/>
  <c r="B245" i="20"/>
  <c r="AE245" i="20"/>
  <c r="B96" i="20"/>
  <c r="AE96" i="20"/>
  <c r="AM96" i="20" s="1"/>
  <c r="AH114" i="20"/>
  <c r="AM114" i="20" s="1"/>
  <c r="B266" i="20"/>
  <c r="B252" i="20"/>
  <c r="B244" i="20"/>
  <c r="B94" i="20"/>
  <c r="AM27" i="20"/>
  <c r="AM20" i="20"/>
  <c r="AM18" i="20"/>
  <c r="S160" i="20"/>
  <c r="B72" i="20"/>
  <c r="AM25" i="19"/>
  <c r="AM54" i="19"/>
  <c r="B32" i="19"/>
  <c r="B29" i="19"/>
  <c r="B34" i="19"/>
  <c r="AA23" i="19"/>
  <c r="AM26" i="19"/>
  <c r="AM18" i="19"/>
  <c r="AA51" i="19"/>
  <c r="AM51" i="19"/>
  <c r="AM58" i="19"/>
  <c r="V81" i="19"/>
  <c r="V85" i="19" s="1"/>
  <c r="AM56" i="19"/>
  <c r="AA28" i="19"/>
  <c r="S67" i="19"/>
  <c r="Z67" i="19" s="1"/>
  <c r="AA75" i="17"/>
  <c r="AA23" i="17"/>
  <c r="AA17" i="17"/>
  <c r="AA19" i="17"/>
  <c r="AA50" i="17"/>
  <c r="AA25" i="17"/>
  <c r="AM113" i="17"/>
  <c r="AM80" i="17"/>
  <c r="B81" i="17"/>
  <c r="AA79" i="17"/>
  <c r="Z77" i="17"/>
  <c r="AA77" i="17" s="1"/>
  <c r="AA73" i="17"/>
  <c r="S64" i="17"/>
  <c r="AA29" i="17"/>
  <c r="AA21" i="17"/>
  <c r="AM36" i="17"/>
  <c r="AE17" i="17"/>
  <c r="AA44" i="17"/>
  <c r="AA92" i="17"/>
  <c r="AA80" i="17"/>
  <c r="AA76" i="17"/>
  <c r="AA74" i="17"/>
  <c r="AM19" i="17"/>
  <c r="AM87" i="17"/>
  <c r="AM44" i="17"/>
  <c r="AM46" i="17"/>
  <c r="AM84" i="17"/>
  <c r="AM32" i="17"/>
  <c r="AM27" i="17"/>
  <c r="AM25" i="17"/>
  <c r="AM39" i="17"/>
  <c r="AM38" i="17"/>
  <c r="P123" i="17"/>
  <c r="AA65" i="17"/>
  <c r="AA16" i="17"/>
  <c r="AM24" i="17"/>
  <c r="AM76" i="17"/>
  <c r="AM83" i="17"/>
  <c r="AM77" i="17"/>
  <c r="AM108" i="17"/>
  <c r="T116" i="17"/>
  <c r="T122" i="17" s="1"/>
  <c r="U42" i="4"/>
  <c r="U46" i="4" s="1"/>
  <c r="AE36" i="4"/>
  <c r="AM26" i="4"/>
  <c r="AM19" i="4"/>
  <c r="AM17" i="4"/>
  <c r="Q47" i="4"/>
  <c r="AA82" i="20"/>
  <c r="T81" i="19"/>
  <c r="T88" i="19"/>
  <c r="T90" i="19" s="1"/>
  <c r="T91" i="19" s="1"/>
  <c r="AM259" i="20"/>
  <c r="AM262" i="20"/>
  <c r="AH35" i="20"/>
  <c r="AM265" i="20"/>
  <c r="AM107" i="20"/>
  <c r="AM105" i="20"/>
  <c r="AM44" i="20"/>
  <c r="AK72" i="20"/>
  <c r="AE72" i="20"/>
  <c r="AA27" i="20"/>
  <c r="AA29" i="20" s="1"/>
  <c r="AM261" i="20"/>
  <c r="AM260" i="20"/>
  <c r="AM258" i="20"/>
  <c r="AM257" i="20"/>
  <c r="AM256" i="20"/>
  <c r="AM246" i="20"/>
  <c r="AM244" i="20"/>
  <c r="AM241" i="20"/>
  <c r="AM239" i="20"/>
  <c r="AM263" i="20"/>
  <c r="AE305" i="20"/>
  <c r="AM218" i="20"/>
  <c r="AM98" i="20"/>
  <c r="AH305" i="20"/>
  <c r="AH42" i="20"/>
  <c r="AM147" i="20"/>
  <c r="AM277" i="20"/>
  <c r="AM279" i="20"/>
  <c r="AH29" i="20"/>
  <c r="AM278" i="20"/>
  <c r="AM280" i="20"/>
  <c r="AA23" i="20"/>
  <c r="AA26" i="20" s="1"/>
  <c r="AA33" i="20"/>
  <c r="AA35" i="20" s="1"/>
  <c r="AM289" i="20"/>
  <c r="AE290" i="20"/>
  <c r="AE302" i="20"/>
  <c r="AM301" i="20"/>
  <c r="AH302" i="20"/>
  <c r="AM300" i="20"/>
  <c r="AM302" i="20" s="1"/>
  <c r="AH290" i="20"/>
  <c r="AM288" i="20"/>
  <c r="AM80" i="20"/>
  <c r="AM82" i="20" s="1"/>
  <c r="AE82" i="20"/>
  <c r="AE299" i="20"/>
  <c r="AA42" i="20"/>
  <c r="AM47" i="20"/>
  <c r="AM51" i="20" s="1"/>
  <c r="AH51" i="20"/>
  <c r="AA140" i="20"/>
  <c r="AA160" i="20" s="1"/>
  <c r="AM97" i="20"/>
  <c r="AG42" i="20"/>
  <c r="AM235" i="20"/>
  <c r="AM69" i="20"/>
  <c r="AD42" i="20"/>
  <c r="AM99" i="20"/>
  <c r="AK42" i="20"/>
  <c r="AG72" i="20"/>
  <c r="AM36" i="20"/>
  <c r="AH72" i="20"/>
  <c r="AD72" i="20"/>
  <c r="B88" i="19"/>
  <c r="B81" i="19"/>
  <c r="AM45" i="19"/>
  <c r="AM32" i="19"/>
  <c r="AM22" i="19"/>
  <c r="AM43" i="19"/>
  <c r="AM27" i="19"/>
  <c r="AM31" i="19"/>
  <c r="N81" i="19"/>
  <c r="AM49" i="19"/>
  <c r="R81" i="19"/>
  <c r="R85" i="19" s="1"/>
  <c r="AA34" i="19"/>
  <c r="AA24" i="19"/>
  <c r="Z18" i="19"/>
  <c r="AA18" i="19" s="1"/>
  <c r="AH79" i="19"/>
  <c r="AM71" i="19"/>
  <c r="AM30" i="19"/>
  <c r="AM37" i="19"/>
  <c r="AM36" i="19"/>
  <c r="AE17" i="19"/>
  <c r="AM17" i="19" s="1"/>
  <c r="AM41" i="19"/>
  <c r="B51" i="19"/>
  <c r="AA52" i="19"/>
  <c r="AM52" i="19"/>
  <c r="AA54" i="19"/>
  <c r="B57" i="19"/>
  <c r="B58" i="19"/>
  <c r="AM29" i="19"/>
  <c r="AM23" i="19"/>
  <c r="AM21" i="19"/>
  <c r="AM39" i="19"/>
  <c r="O88" i="19"/>
  <c r="AM48" i="19"/>
  <c r="N88" i="19"/>
  <c r="W81" i="19"/>
  <c r="U88" i="19"/>
  <c r="Q81" i="19"/>
  <c r="AE79" i="19"/>
  <c r="AM75" i="19"/>
  <c r="AM34" i="19"/>
  <c r="AA78" i="19"/>
  <c r="AA79" i="19" s="1"/>
  <c r="Z79" i="19"/>
  <c r="Y88" i="19"/>
  <c r="Q88" i="19"/>
  <c r="W88" i="19"/>
  <c r="Y81" i="19"/>
  <c r="Y87" i="19" s="1"/>
  <c r="AM76" i="19"/>
  <c r="AM69" i="19"/>
  <c r="AM24" i="19"/>
  <c r="AM44" i="19"/>
  <c r="AM47" i="19"/>
  <c r="AM50" i="19"/>
  <c r="X88" i="19"/>
  <c r="X81" i="19"/>
  <c r="X84" i="19" s="1"/>
  <c r="P81" i="19"/>
  <c r="P87" i="19" s="1"/>
  <c r="P88" i="19"/>
  <c r="AH74" i="19"/>
  <c r="AM94" i="18"/>
  <c r="AM56" i="18"/>
  <c r="AM52" i="18"/>
  <c r="AM48" i="18"/>
  <c r="N119" i="18"/>
  <c r="O119" i="18"/>
  <c r="O125" i="18" s="1"/>
  <c r="AH92" i="18"/>
  <c r="AM95" i="18"/>
  <c r="AM57" i="18"/>
  <c r="AM55" i="18"/>
  <c r="AM50" i="18"/>
  <c r="AM65" i="18"/>
  <c r="Y126" i="18"/>
  <c r="W119" i="18"/>
  <c r="AM16" i="18"/>
  <c r="AM111" i="18"/>
  <c r="AM107" i="18"/>
  <c r="AM104" i="18"/>
  <c r="AM102" i="18"/>
  <c r="AM97" i="18"/>
  <c r="AM93" i="18"/>
  <c r="AM47" i="18"/>
  <c r="AM45" i="18"/>
  <c r="AM43" i="18"/>
  <c r="AG33" i="18"/>
  <c r="AM105" i="18"/>
  <c r="AM101" i="18"/>
  <c r="AM51" i="18"/>
  <c r="AM49" i="18"/>
  <c r="AM39" i="18"/>
  <c r="AK33" i="18"/>
  <c r="N126" i="18"/>
  <c r="AM63" i="18"/>
  <c r="AM62" i="18"/>
  <c r="AM61" i="18"/>
  <c r="AA117" i="18"/>
  <c r="AA110" i="18"/>
  <c r="AM67" i="18"/>
  <c r="AM66" i="18"/>
  <c r="AM64" i="18"/>
  <c r="T126" i="18"/>
  <c r="AH98" i="18"/>
  <c r="T119" i="18"/>
  <c r="O126" i="18"/>
  <c r="U126" i="18"/>
  <c r="AM58" i="18"/>
  <c r="AA98" i="18"/>
  <c r="Z98" i="18"/>
  <c r="AH110" i="18"/>
  <c r="AM110" i="18" s="1"/>
  <c r="AH117" i="18"/>
  <c r="AM117" i="18" s="1"/>
  <c r="Y119" i="18"/>
  <c r="Y125" i="18" s="1"/>
  <c r="W126" i="18"/>
  <c r="U119" i="18"/>
  <c r="U123" i="18" s="1"/>
  <c r="AM100" i="18"/>
  <c r="AE106" i="18"/>
  <c r="AH106" i="18"/>
  <c r="AM34" i="18"/>
  <c r="V126" i="18"/>
  <c r="V119" i="18"/>
  <c r="X119" i="18"/>
  <c r="X126" i="18"/>
  <c r="Z110" i="18"/>
  <c r="Z117" i="18"/>
  <c r="AM116" i="18"/>
  <c r="AM108" i="18"/>
  <c r="AM103" i="18"/>
  <c r="AM99" i="18"/>
  <c r="AM60" i="18"/>
  <c r="AM46" i="18"/>
  <c r="AM44" i="18"/>
  <c r="AM42" i="18"/>
  <c r="AM41" i="18"/>
  <c r="AD33" i="18"/>
  <c r="W116" i="17"/>
  <c r="W122" i="17" s="1"/>
  <c r="AM35" i="17"/>
  <c r="AM20" i="17"/>
  <c r="AM42" i="17"/>
  <c r="AM74" i="17"/>
  <c r="AM72" i="17"/>
  <c r="AM45" i="17"/>
  <c r="AM18" i="17"/>
  <c r="AM82" i="17"/>
  <c r="AM78" i="17"/>
  <c r="AM86" i="17"/>
  <c r="AM40" i="17"/>
  <c r="AM37" i="17"/>
  <c r="AM34" i="17"/>
  <c r="AM33" i="17"/>
  <c r="AM23" i="17"/>
  <c r="AM41" i="17"/>
  <c r="AM88" i="17"/>
  <c r="AM89" i="17"/>
  <c r="AM85" i="17"/>
  <c r="AM66" i="17"/>
  <c r="AA72" i="17"/>
  <c r="U123" i="17"/>
  <c r="V123" i="17"/>
  <c r="AM31" i="17"/>
  <c r="AH71" i="17"/>
  <c r="AH64" i="17"/>
  <c r="AM29" i="17"/>
  <c r="AM21" i="17"/>
  <c r="AM81" i="17"/>
  <c r="AM111" i="17"/>
  <c r="AD64" i="17"/>
  <c r="AM65" i="17"/>
  <c r="AH114" i="17"/>
  <c r="AM68" i="17"/>
  <c r="AM75" i="17"/>
  <c r="AM110" i="17"/>
  <c r="AM109" i="17"/>
  <c r="AD103" i="17"/>
  <c r="W123" i="17"/>
  <c r="X123" i="17"/>
  <c r="R116" i="17"/>
  <c r="R122" i="17" s="1"/>
  <c r="P116" i="17"/>
  <c r="P122" i="17" s="1"/>
  <c r="N116" i="17"/>
  <c r="O123" i="17"/>
  <c r="O116" i="17"/>
  <c r="R123" i="17"/>
  <c r="T123" i="17"/>
  <c r="AE103" i="17"/>
  <c r="Y123" i="17"/>
  <c r="N123" i="17"/>
  <c r="AA104" i="17"/>
  <c r="O42" i="4"/>
  <c r="AH30" i="4"/>
  <c r="P46" i="4"/>
  <c r="X42" i="4"/>
  <c r="X46" i="4" s="1"/>
  <c r="V47" i="4"/>
  <c r="T47" i="4"/>
  <c r="R47" i="4"/>
  <c r="V42" i="4"/>
  <c r="V46" i="4" s="1"/>
  <c r="Z38" i="4"/>
  <c r="N42" i="4"/>
  <c r="AM24" i="4"/>
  <c r="AM33" i="4"/>
  <c r="AM22" i="4"/>
  <c r="AM21" i="4"/>
  <c r="AM20" i="4"/>
  <c r="P47" i="4"/>
  <c r="B14" i="4"/>
  <c r="AM37" i="4"/>
  <c r="AM35" i="4"/>
  <c r="AM32" i="4"/>
  <c r="AM31" i="4"/>
  <c r="AM23" i="4"/>
  <c r="AM18" i="4"/>
  <c r="O47" i="4"/>
  <c r="L42" i="4"/>
  <c r="L46" i="4" s="1"/>
  <c r="Y42" i="4"/>
  <c r="W42" i="4"/>
  <c r="W46" i="4" s="1"/>
  <c r="S42" i="4"/>
  <c r="S46" i="4" s="1"/>
  <c r="AA36" i="4"/>
  <c r="Q42" i="4"/>
  <c r="Q46" i="4" s="1"/>
  <c r="AH40" i="4"/>
  <c r="Z36" i="4"/>
  <c r="Z30" i="4"/>
  <c r="AM16" i="4"/>
  <c r="B30" i="4"/>
  <c r="AD160" i="20"/>
  <c r="AM101" i="20"/>
  <c r="AM140" i="20"/>
  <c r="AH26" i="20"/>
  <c r="AK160" i="20"/>
  <c r="AG160" i="20"/>
  <c r="AE86" i="20"/>
  <c r="AM216" i="20"/>
  <c r="AH139" i="20"/>
  <c r="AM31" i="20"/>
  <c r="AM30" i="20"/>
  <c r="B14" i="18"/>
  <c r="B14" i="17"/>
  <c r="AM108" i="20"/>
  <c r="AE32" i="20"/>
  <c r="AE26" i="20"/>
  <c r="AM94" i="20"/>
  <c r="AM143" i="20"/>
  <c r="AM90" i="20"/>
  <c r="AM67" i="20"/>
  <c r="AH32" i="20"/>
  <c r="AH22" i="20"/>
  <c r="AM23" i="20"/>
  <c r="AH82" i="20"/>
  <c r="AM209" i="20"/>
  <c r="AM144" i="20"/>
  <c r="AM68" i="20"/>
  <c r="AM136" i="20"/>
  <c r="AM17" i="20"/>
  <c r="AE22" i="20"/>
  <c r="AM28" i="18"/>
  <c r="S81" i="19" l="1"/>
  <c r="AA135" i="20"/>
  <c r="AA72" i="20"/>
  <c r="S315" i="20"/>
  <c r="R315" i="20"/>
  <c r="Z135" i="20"/>
  <c r="Z299" i="20"/>
  <c r="Z160" i="20"/>
  <c r="Z139" i="20"/>
  <c r="Z287" i="20"/>
  <c r="AM113" i="20"/>
  <c r="J307" i="20"/>
  <c r="J315" i="20"/>
  <c r="L315" i="20"/>
  <c r="AM247" i="20"/>
  <c r="B160" i="20"/>
  <c r="AH67" i="19"/>
  <c r="B92" i="18"/>
  <c r="AE114" i="17"/>
  <c r="AA71" i="17"/>
  <c r="B103" i="17"/>
  <c r="Q123" i="17"/>
  <c r="J42" i="4"/>
  <c r="B135" i="20"/>
  <c r="B234" i="20"/>
  <c r="S126" i="18"/>
  <c r="B287" i="20"/>
  <c r="Z71" i="17"/>
  <c r="Z64" i="17"/>
  <c r="J116" i="17"/>
  <c r="J122" i="17" s="1"/>
  <c r="AA22" i="17"/>
  <c r="B64" i="17"/>
  <c r="AM73" i="17"/>
  <c r="S119" i="18"/>
  <c r="S123" i="18" s="1"/>
  <c r="R126" i="18"/>
  <c r="AE98" i="18"/>
  <c r="AE71" i="17"/>
  <c r="AA114" i="17"/>
  <c r="S123" i="17"/>
  <c r="Z103" i="17"/>
  <c r="AA103" i="17"/>
  <c r="AA64" i="17"/>
  <c r="Z114" i="17"/>
  <c r="J123" i="17"/>
  <c r="Q307" i="20"/>
  <c r="Q313" i="20" s="1"/>
  <c r="AM237" i="20"/>
  <c r="B67" i="19"/>
  <c r="AH160" i="20"/>
  <c r="AM146" i="20"/>
  <c r="Q315" i="20"/>
  <c r="AM305" i="20"/>
  <c r="L307" i="20"/>
  <c r="L313" i="20" s="1"/>
  <c r="S307" i="20"/>
  <c r="S313" i="20" s="1"/>
  <c r="O307" i="20"/>
  <c r="O313" i="20" s="1"/>
  <c r="R307" i="20"/>
  <c r="R313" i="20" s="1"/>
  <c r="AM270" i="20"/>
  <c r="B315" i="20"/>
  <c r="B307" i="20"/>
  <c r="Z92" i="18"/>
  <c r="AA33" i="18"/>
  <c r="AA106" i="18"/>
  <c r="P119" i="18"/>
  <c r="P125" i="18" s="1"/>
  <c r="Q119" i="18"/>
  <c r="AH33" i="18"/>
  <c r="AH119" i="18" s="1"/>
  <c r="Z106" i="18"/>
  <c r="J126" i="18"/>
  <c r="S88" i="19"/>
  <c r="AM91" i="20"/>
  <c r="AH135" i="20"/>
  <c r="AE33" i="18"/>
  <c r="L123" i="17"/>
  <c r="L116" i="17"/>
  <c r="L122" i="17" s="1"/>
  <c r="AE160" i="20"/>
  <c r="AH234" i="20"/>
  <c r="AM17" i="18"/>
  <c r="AM33" i="18" s="1"/>
  <c r="AE92" i="18"/>
  <c r="AA289" i="20"/>
  <c r="AA290" i="20" s="1"/>
  <c r="AM35" i="20"/>
  <c r="AM28" i="20"/>
  <c r="AM29" i="20" s="1"/>
  <c r="AM243" i="20"/>
  <c r="AE139" i="20"/>
  <c r="AM26" i="20"/>
  <c r="AM74" i="20"/>
  <c r="AM78" i="20" s="1"/>
  <c r="AE64" i="17"/>
  <c r="AE42" i="4"/>
  <c r="AM210" i="20"/>
  <c r="AM234" i="20" s="1"/>
  <c r="AE234" i="20"/>
  <c r="AM17" i="17"/>
  <c r="AM64" i="17" s="1"/>
  <c r="S116" i="17"/>
  <c r="S122" i="17" s="1"/>
  <c r="AE67" i="19"/>
  <c r="J88" i="19"/>
  <c r="AE42" i="20"/>
  <c r="AE287" i="20"/>
  <c r="AM111" i="20"/>
  <c r="AM141" i="20"/>
  <c r="AE135" i="20"/>
  <c r="AM245" i="20"/>
  <c r="AM299" i="20"/>
  <c r="AH299" i="20"/>
  <c r="AM22" i="20"/>
  <c r="AH287" i="20"/>
  <c r="AM290" i="20"/>
  <c r="AE35" i="20"/>
  <c r="AE81" i="19"/>
  <c r="AH42" i="4"/>
  <c r="AM36" i="4"/>
  <c r="AM139" i="20"/>
  <c r="AM42" i="20"/>
  <c r="AM32" i="20"/>
  <c r="AM72" i="20"/>
  <c r="AA70" i="19"/>
  <c r="AA74" i="19" s="1"/>
  <c r="AE74" i="19"/>
  <c r="AM74" i="19" s="1"/>
  <c r="B14" i="19"/>
  <c r="AM79" i="19"/>
  <c r="AM67" i="19"/>
  <c r="AM98" i="18"/>
  <c r="AM106" i="18"/>
  <c r="AM92" i="18"/>
  <c r="AM71" i="17"/>
  <c r="AM114" i="17"/>
  <c r="AM40" i="4"/>
  <c r="AM30" i="4"/>
  <c r="AA38" i="4"/>
  <c r="AA40" i="4" s="1"/>
  <c r="AA42" i="4" s="1"/>
  <c r="Z40" i="4"/>
  <c r="Z315" i="20" l="1"/>
  <c r="AA307" i="20"/>
  <c r="AA313" i="20" s="1"/>
  <c r="AA315" i="20"/>
  <c r="Z307" i="20"/>
  <c r="Z313" i="20" s="1"/>
  <c r="J46" i="4"/>
  <c r="J313" i="20"/>
  <c r="K313" i="20" s="1"/>
  <c r="J127" i="18"/>
  <c r="AE116" i="17"/>
  <c r="Z126" i="18"/>
  <c r="Z116" i="17"/>
  <c r="AA116" i="17"/>
  <c r="Z123" i="17"/>
  <c r="AM42" i="4"/>
  <c r="Z119" i="18"/>
  <c r="AM160" i="20"/>
  <c r="AE307" i="20"/>
  <c r="AH307" i="20"/>
  <c r="AM287" i="20"/>
  <c r="AM135" i="20"/>
  <c r="AE119" i="18"/>
  <c r="AA123" i="17"/>
  <c r="J87" i="19"/>
  <c r="Z47" i="4"/>
  <c r="G121" i="17"/>
  <c r="B14" i="20"/>
  <c r="AA47" i="4"/>
  <c r="Z42" i="4"/>
  <c r="Z81" i="19"/>
  <c r="Z88" i="19"/>
  <c r="AM119" i="18"/>
  <c r="G312" i="20" l="1"/>
  <c r="G124" i="18"/>
  <c r="AM307" i="20"/>
  <c r="AH66" i="19" l="1"/>
  <c r="AM66" i="19" s="1"/>
  <c r="AA66" i="19"/>
  <c r="AA67" i="19" s="1"/>
  <c r="AA88" i="19" s="1"/>
  <c r="L88" i="19"/>
  <c r="AH81" i="19" l="1"/>
  <c r="AM81" i="19" s="1"/>
  <c r="AA81" i="19"/>
  <c r="AA92" i="18" l="1"/>
  <c r="AA126" i="18" s="1"/>
  <c r="L92" i="18"/>
  <c r="L126" i="18" l="1"/>
  <c r="AA119" i="18"/>
  <c r="L119" i="18"/>
  <c r="L125" i="18" l="1"/>
  <c r="AM116" i="17"/>
  <c r="AM103" i="17"/>
  <c r="AH103" i="17"/>
  <c r="AH116" i="17"/>
</calcChain>
</file>

<file path=xl/comments1.xml><?xml version="1.0" encoding="utf-8"?>
<comments xmlns="http://schemas.openxmlformats.org/spreadsheetml/2006/main">
  <authors>
    <author>Orlando Arias</author>
    <author>Johanna Lucia Bustos Criales</author>
  </authors>
  <commentList>
    <comment ref="B16" authorId="0" shapeId="0">
      <text>
        <r>
          <rPr>
            <b/>
            <sz val="9"/>
            <color indexed="81"/>
            <rFont val="Tahoma"/>
            <family val="2"/>
          </rPr>
          <t>Orlando Arias:</t>
        </r>
        <r>
          <rPr>
            <sz val="9"/>
            <color indexed="81"/>
            <rFont val="Tahoma"/>
            <family val="2"/>
          </rPr>
          <t xml:space="preserve">
Traslado entre proyectos de Inversión $29.833.148</t>
        </r>
      </text>
    </comment>
    <comment ref="J25" authorId="0" shapeId="0">
      <text>
        <r>
          <rPr>
            <b/>
            <sz val="9"/>
            <color indexed="81"/>
            <rFont val="Tahoma"/>
            <family val="2"/>
          </rPr>
          <t>Orlando Arias:</t>
        </r>
        <r>
          <rPr>
            <sz val="9"/>
            <color indexed="81"/>
            <rFont val="Tahoma"/>
            <family val="2"/>
          </rPr>
          <t xml:space="preserve">
Se anulo CDP $ 32.288396
20-06-2017 Lo taen nuevamente para viabilidad.</t>
        </r>
      </text>
    </comment>
    <comment ref="J34" authorId="1" shapeId="0">
      <text>
        <r>
          <rPr>
            <b/>
            <sz val="9"/>
            <color indexed="81"/>
            <rFont val="Tahoma"/>
            <family val="2"/>
          </rPr>
          <t>Johanna Lucia Bustos Criales:</t>
        </r>
        <r>
          <rPr>
            <sz val="9"/>
            <color indexed="81"/>
            <rFont val="Tahoma"/>
            <family val="2"/>
          </rPr>
          <t xml:space="preserve">
14-12-2017 Adición $ 2.047.646</t>
        </r>
      </text>
    </comment>
    <comment ref="B37" authorId="1" shapeId="0">
      <text>
        <r>
          <rPr>
            <b/>
            <sz val="9"/>
            <color indexed="81"/>
            <rFont val="Tahoma"/>
            <family val="2"/>
          </rPr>
          <t>Johanna Lucia Bustos Criales:</t>
        </r>
        <r>
          <rPr>
            <sz val="9"/>
            <color indexed="81"/>
            <rFont val="Tahoma"/>
            <family val="2"/>
          </rPr>
          <t xml:space="preserve">
14-12-2014 se trasladan recursos al componente  Formación a Docentes.</t>
        </r>
      </text>
    </comment>
  </commentList>
</comments>
</file>

<file path=xl/comments2.xml><?xml version="1.0" encoding="utf-8"?>
<comments xmlns="http://schemas.openxmlformats.org/spreadsheetml/2006/main">
  <authors>
    <author>Orlando Arias</author>
    <author>Johanna Lucia Bustos Criales</author>
  </authors>
  <commentList>
    <comment ref="B16" authorId="0" shapeId="0">
      <text>
        <r>
          <rPr>
            <b/>
            <sz val="9"/>
            <color indexed="81"/>
            <rFont val="Tahoma"/>
            <family val="2"/>
          </rPr>
          <t>Orlando Arias:</t>
        </r>
        <r>
          <rPr>
            <sz val="9"/>
            <color indexed="81"/>
            <rFont val="Tahoma"/>
            <family val="2"/>
          </rPr>
          <t xml:space="preserve">
Traslado entre proyectos de Inversión $ 32.699.392
17-08-2017 se solicita traslado a Pasivo Exigible por $ 5.199.998</t>
        </r>
      </text>
    </comment>
    <comment ref="J21" authorId="0" shapeId="0">
      <text>
        <r>
          <rPr>
            <b/>
            <sz val="9"/>
            <color indexed="81"/>
            <rFont val="Tahoma"/>
            <family val="2"/>
          </rPr>
          <t>Orlando Arias:</t>
        </r>
        <r>
          <rPr>
            <sz val="9"/>
            <color indexed="81"/>
            <rFont val="Tahoma"/>
            <family val="2"/>
          </rPr>
          <t xml:space="preserve">
En esta subdireccion se tramitó por 32,205,556 se redujo en $2, pero en PREDIS aparece por $2 más 32,205,558 y estan pendientes por comprometer $2.
16-11-2017 Adición $ 1,361,441</t>
        </r>
      </text>
    </comment>
    <comment ref="J24" authorId="0" shapeId="0">
      <text>
        <r>
          <rPr>
            <b/>
            <sz val="9"/>
            <color indexed="81"/>
            <rFont val="Tahoma"/>
            <family val="2"/>
          </rPr>
          <t>Orlando Arias:</t>
        </r>
        <r>
          <rPr>
            <sz val="9"/>
            <color indexed="81"/>
            <rFont val="Tahoma"/>
            <family val="2"/>
          </rPr>
          <t xml:space="preserve">
11-10-2017 Adicicón $ 1.000.000</t>
        </r>
      </text>
    </comment>
    <comment ref="J25" authorId="0" shapeId="0">
      <text>
        <r>
          <rPr>
            <b/>
            <sz val="9"/>
            <color indexed="81"/>
            <rFont val="Tahoma"/>
            <family val="2"/>
          </rPr>
          <t>Orlando Arias:</t>
        </r>
        <r>
          <rPr>
            <sz val="9"/>
            <color indexed="81"/>
            <rFont val="Tahoma"/>
            <family val="2"/>
          </rPr>
          <t xml:space="preserve">
11-10-2017 Adición $ 2.600.000</t>
        </r>
      </text>
    </comment>
    <comment ref="J29" authorId="0" shapeId="0">
      <text>
        <r>
          <rPr>
            <b/>
            <sz val="9"/>
            <color indexed="81"/>
            <rFont val="Tahoma"/>
            <family val="2"/>
          </rPr>
          <t>Orlando Arias:</t>
        </r>
        <r>
          <rPr>
            <sz val="9"/>
            <color indexed="81"/>
            <rFont val="Tahoma"/>
            <family val="2"/>
          </rPr>
          <t xml:space="preserve">
11-10-2017 Adición $ 3.090.000</t>
        </r>
      </text>
    </comment>
    <comment ref="J30" authorId="0" shapeId="0">
      <text>
        <r>
          <rPr>
            <b/>
            <sz val="9"/>
            <color indexed="81"/>
            <rFont val="Tahoma"/>
            <family val="2"/>
          </rPr>
          <t>Orlando Arias:</t>
        </r>
        <r>
          <rPr>
            <sz val="9"/>
            <color indexed="81"/>
            <rFont val="Tahoma"/>
            <family val="2"/>
          </rPr>
          <t xml:space="preserve">
11-10-2017 Adición $ 1.733.333</t>
        </r>
      </text>
    </comment>
    <comment ref="L31" authorId="0" shapeId="0">
      <text>
        <r>
          <rPr>
            <b/>
            <sz val="9"/>
            <color indexed="81"/>
            <rFont val="Tahoma"/>
            <family val="2"/>
          </rPr>
          <t>Orlando Arias:</t>
        </r>
        <r>
          <rPr>
            <sz val="9"/>
            <color indexed="81"/>
            <rFont val="Tahoma"/>
            <family val="2"/>
          </rPr>
          <t xml:space="preserve">
10/05/2017 Se anula $ 41.243.167 del CRP</t>
        </r>
      </text>
    </comment>
    <comment ref="J32" authorId="0" shapeId="0">
      <text>
        <r>
          <rPr>
            <b/>
            <sz val="9"/>
            <color indexed="81"/>
            <rFont val="Tahoma"/>
            <family val="2"/>
          </rPr>
          <t>Orlando Arias:</t>
        </r>
        <r>
          <rPr>
            <sz val="9"/>
            <color indexed="81"/>
            <rFont val="Tahoma"/>
            <family val="2"/>
          </rPr>
          <t xml:space="preserve">
13/02/2017 Se reduce el valor debido al IVA asumido, no se ha hecho en presupuesto</t>
        </r>
      </text>
    </comment>
    <comment ref="J33" authorId="0" shapeId="0">
      <text>
        <r>
          <rPr>
            <b/>
            <sz val="9"/>
            <color indexed="81"/>
            <rFont val="Tahoma"/>
            <family val="2"/>
          </rPr>
          <t>Orlando Arias:</t>
        </r>
        <r>
          <rPr>
            <sz val="9"/>
            <color indexed="81"/>
            <rFont val="Tahoma"/>
            <family val="2"/>
          </rPr>
          <t xml:space="preserve">
10/02/2017 Se modifica valor IVA asumido, pendiente liberar saldo.</t>
        </r>
      </text>
    </comment>
    <comment ref="J38" authorId="0" shapeId="0">
      <text>
        <r>
          <rPr>
            <b/>
            <sz val="9"/>
            <color indexed="81"/>
            <rFont val="Tahoma"/>
            <family val="2"/>
          </rPr>
          <t>Orlando Arias:</t>
        </r>
        <r>
          <rPr>
            <sz val="9"/>
            <color indexed="81"/>
            <rFont val="Tahoma"/>
            <family val="2"/>
          </rPr>
          <t xml:space="preserve">
24-08-2017 Adición $ 7.786.800</t>
        </r>
      </text>
    </comment>
    <comment ref="J39" authorId="0" shapeId="0">
      <text>
        <r>
          <rPr>
            <b/>
            <sz val="9"/>
            <color indexed="81"/>
            <rFont val="Tahoma"/>
            <family val="2"/>
          </rPr>
          <t>Orlando Arias:</t>
        </r>
        <r>
          <rPr>
            <sz val="9"/>
            <color indexed="81"/>
            <rFont val="Tahoma"/>
            <family val="2"/>
          </rPr>
          <t xml:space="preserve">
25-08-2017 Adición $ 13.230.000</t>
        </r>
      </text>
    </comment>
    <comment ref="J40" authorId="0" shapeId="0">
      <text>
        <r>
          <rPr>
            <b/>
            <sz val="9"/>
            <color indexed="81"/>
            <rFont val="Tahoma"/>
            <family val="2"/>
          </rPr>
          <t>Orlando Arias:</t>
        </r>
        <r>
          <rPr>
            <sz val="9"/>
            <color indexed="81"/>
            <rFont val="Tahoma"/>
            <family val="2"/>
          </rPr>
          <t xml:space="preserve">
31-08-2017 Adición $ 5.409.000</t>
        </r>
      </text>
    </comment>
    <comment ref="J43" authorId="0" shapeId="0">
      <text>
        <r>
          <rPr>
            <b/>
            <sz val="9"/>
            <color indexed="81"/>
            <rFont val="Tahoma"/>
            <family val="2"/>
          </rPr>
          <t>Orlando Arias:</t>
        </r>
        <r>
          <rPr>
            <sz val="9"/>
            <color indexed="81"/>
            <rFont val="Tahoma"/>
            <family val="2"/>
          </rPr>
          <t xml:space="preserve">
La viabilidad se tramito el 13 de marzo por $15,921,301, 17/03/17 En predis aparece por $16,000,000
24/08/2017: Adición $ 6.498.490</t>
        </r>
      </text>
    </comment>
    <comment ref="J44" authorId="0" shapeId="0">
      <text>
        <r>
          <rPr>
            <b/>
            <sz val="9"/>
            <color indexed="81"/>
            <rFont val="Tahoma"/>
            <family val="2"/>
          </rPr>
          <t>Orlando Arias:</t>
        </r>
        <r>
          <rPr>
            <sz val="9"/>
            <color indexed="81"/>
            <rFont val="Tahoma"/>
            <family val="2"/>
          </rPr>
          <t xml:space="preserve">
21/04/2017 Se reduce le valor.
02/05/2017 Se reduce valor $29,610,000
31-08-2017 Adición $ 3.780.000</t>
        </r>
      </text>
    </comment>
    <comment ref="J51" authorId="1" shapeId="0">
      <text>
        <r>
          <rPr>
            <b/>
            <sz val="9"/>
            <color indexed="81"/>
            <rFont val="Tahoma"/>
            <family val="2"/>
          </rPr>
          <t>Johanna Lucia Bustos Criales:</t>
        </r>
        <r>
          <rPr>
            <sz val="9"/>
            <color indexed="81"/>
            <rFont val="Tahoma"/>
            <family val="2"/>
          </rPr>
          <t xml:space="preserve">
14-12-2017 Adición $ 362.433.700</t>
        </r>
      </text>
    </comment>
    <comment ref="J56" authorId="0" shapeId="0">
      <text>
        <r>
          <rPr>
            <b/>
            <sz val="9"/>
            <color indexed="81"/>
            <rFont val="Tahoma"/>
            <family val="2"/>
          </rPr>
          <t>Johanna Bustos:</t>
        </r>
        <r>
          <rPr>
            <sz val="9"/>
            <color indexed="81"/>
            <rFont val="Tahoma"/>
            <family val="2"/>
          </rPr>
          <t xml:space="preserve">
Canbia el valor 14 09-2017 a $ 16.466.667</t>
        </r>
      </text>
    </comment>
    <comment ref="J57" authorId="0" shapeId="0">
      <text>
        <r>
          <rPr>
            <b/>
            <sz val="9"/>
            <color indexed="81"/>
            <rFont val="Tahoma"/>
            <family val="2"/>
          </rPr>
          <t>Orlando Arias:</t>
        </r>
        <r>
          <rPr>
            <sz val="9"/>
            <color indexed="81"/>
            <rFont val="Tahoma"/>
            <family val="2"/>
          </rPr>
          <t xml:space="preserve">
25-09-2017 se cambia valor y plazo. $ 12.500.000</t>
        </r>
      </text>
    </comment>
    <comment ref="J60" authorId="1" shapeId="0">
      <text>
        <r>
          <rPr>
            <b/>
            <sz val="9"/>
            <color indexed="81"/>
            <rFont val="Tahoma"/>
            <family val="2"/>
          </rPr>
          <t>Johanna Lucia Bustos Criales:</t>
        </r>
        <r>
          <rPr>
            <sz val="9"/>
            <color indexed="81"/>
            <rFont val="Tahoma"/>
            <family val="2"/>
          </rPr>
          <t xml:space="preserve">
22-11-2017 Adición $ 5.250.000</t>
        </r>
      </text>
    </comment>
    <comment ref="B65" authorId="0" shapeId="0">
      <text>
        <r>
          <rPr>
            <b/>
            <sz val="9"/>
            <color indexed="81"/>
            <rFont val="Tahoma"/>
            <family val="2"/>
          </rPr>
          <t>Orlando Arias:</t>
        </r>
        <r>
          <rPr>
            <sz val="9"/>
            <color indexed="81"/>
            <rFont val="Tahoma"/>
            <family val="2"/>
          </rPr>
          <t xml:space="preserve">
Traslado entre proyecto $ 1.704.300</t>
        </r>
      </text>
    </comment>
    <comment ref="B72" authorId="1" shapeId="0">
      <text>
        <r>
          <rPr>
            <b/>
            <sz val="9"/>
            <color indexed="81"/>
            <rFont val="Tahoma"/>
            <family val="2"/>
          </rPr>
          <t>Johanna Lucia Bustos Criales:</t>
        </r>
        <r>
          <rPr>
            <sz val="9"/>
            <color indexed="81"/>
            <rFont val="Tahoma"/>
            <family val="2"/>
          </rPr>
          <t xml:space="preserve">
14-13-2017 Traslado entre conceptos de gasto $ 57.808.916</t>
        </r>
      </text>
    </comment>
    <comment ref="J73" authorId="1" shapeId="0">
      <text>
        <r>
          <rPr>
            <b/>
            <sz val="9"/>
            <color indexed="81"/>
            <rFont val="Tahoma"/>
            <family val="2"/>
          </rPr>
          <t>Johanna Lucia Bustos Criales:</t>
        </r>
        <r>
          <rPr>
            <sz val="9"/>
            <color indexed="81"/>
            <rFont val="Tahoma"/>
            <family val="2"/>
          </rPr>
          <t xml:space="preserve">
13-12-2017 Adicvión $ 1,733,333</t>
        </r>
      </text>
    </comment>
    <comment ref="J75" authorId="0" shapeId="0">
      <text>
        <r>
          <rPr>
            <b/>
            <sz val="9"/>
            <color indexed="81"/>
            <rFont val="Tahoma"/>
            <family val="2"/>
          </rPr>
          <t>Orlando Arias:</t>
        </r>
        <r>
          <rPr>
            <sz val="9"/>
            <color indexed="81"/>
            <rFont val="Tahoma"/>
            <family val="2"/>
          </rPr>
          <t xml:space="preserve">
01/03/2017 Se modifica valor $62,923,687, 13/03/2017 NO LO HAN EHCHO EN CORPORATIVA</t>
        </r>
      </text>
    </comment>
    <comment ref="J77" authorId="0" shapeId="0">
      <text>
        <r>
          <rPr>
            <b/>
            <sz val="9"/>
            <color indexed="81"/>
            <rFont val="Tahoma"/>
            <family val="2"/>
          </rPr>
          <t>Orlando Arias:</t>
        </r>
        <r>
          <rPr>
            <sz val="9"/>
            <color indexed="81"/>
            <rFont val="Tahoma"/>
            <family val="2"/>
          </rPr>
          <t xml:space="preserve">
16-11-2017 Adición $ 1.877.961
22-11-2017 Adición $ 3.192.534</t>
        </r>
      </text>
    </comment>
    <comment ref="J78" authorId="0" shapeId="0">
      <text>
        <r>
          <rPr>
            <b/>
            <sz val="9"/>
            <color indexed="81"/>
            <rFont val="Tahoma"/>
            <family val="2"/>
          </rPr>
          <t>Orlando Arias:</t>
        </r>
        <r>
          <rPr>
            <sz val="9"/>
            <color indexed="81"/>
            <rFont val="Tahoma"/>
            <family val="2"/>
          </rPr>
          <t xml:space="preserve">
16-11-2017 Adición $ 2.188.710</t>
        </r>
      </text>
    </comment>
    <comment ref="J81" authorId="0" shapeId="0">
      <text>
        <r>
          <rPr>
            <b/>
            <sz val="9"/>
            <color indexed="81"/>
            <rFont val="Tahoma"/>
            <family val="2"/>
          </rPr>
          <t>Orlando Arias:</t>
        </r>
        <r>
          <rPr>
            <sz val="9"/>
            <color indexed="81"/>
            <rFont val="Tahoma"/>
            <family val="2"/>
          </rPr>
          <t xml:space="preserve">
120/02/2017 Se modifica valor IVA asumido, pendiente liberar recursos
</t>
        </r>
      </text>
    </comment>
    <comment ref="J82" authorId="0" shapeId="0">
      <text>
        <r>
          <rPr>
            <b/>
            <sz val="9"/>
            <color indexed="81"/>
            <rFont val="Tahoma"/>
            <family val="2"/>
          </rPr>
          <t>Orlando Arias:</t>
        </r>
        <r>
          <rPr>
            <sz val="9"/>
            <color indexed="81"/>
            <rFont val="Tahoma"/>
            <family val="2"/>
          </rPr>
          <t xml:space="preserve">
11-10-2017 Adición $ 3.000.000</t>
        </r>
      </text>
    </comment>
    <comment ref="J85" authorId="0" shapeId="0">
      <text>
        <r>
          <rPr>
            <b/>
            <sz val="9"/>
            <color indexed="81"/>
            <rFont val="Tahoma"/>
            <family val="2"/>
          </rPr>
          <t>Orlando Arias:</t>
        </r>
        <r>
          <rPr>
            <sz val="9"/>
            <color indexed="81"/>
            <rFont val="Tahoma"/>
            <family val="2"/>
          </rPr>
          <t xml:space="preserve">
13/03/2017 Se reduce el valor $46,800,000
16-11-2017 Adición $ 1.733.333</t>
        </r>
      </text>
    </comment>
    <comment ref="J94" authorId="0" shapeId="0">
      <text>
        <r>
          <rPr>
            <b/>
            <sz val="9"/>
            <color indexed="81"/>
            <rFont val="Tahoma"/>
            <family val="2"/>
          </rPr>
          <t>Orlando Arias:</t>
        </r>
        <r>
          <rPr>
            <sz val="9"/>
            <color indexed="81"/>
            <rFont val="Tahoma"/>
            <family val="2"/>
          </rPr>
          <t xml:space="preserve">
Convenio con la Universidad nacional que no involucra aportes en dinero, se expide viabilidad porque le aporta al proyecto.</t>
        </r>
      </text>
    </comment>
    <comment ref="J95" authorId="0" shapeId="0">
      <text>
        <r>
          <rPr>
            <b/>
            <sz val="9"/>
            <color indexed="81"/>
            <rFont val="Tahoma"/>
            <family val="2"/>
          </rPr>
          <t>Orlando Arias:</t>
        </r>
        <r>
          <rPr>
            <sz val="9"/>
            <color indexed="81"/>
            <rFont val="Tahoma"/>
            <family val="2"/>
          </rPr>
          <t xml:space="preserve">
25-09-2017 se modfifica valor $ 8.571.250, por cambio en el plazo.
13-12-2017 Adición $ 2,226,667
</t>
        </r>
      </text>
    </comment>
    <comment ref="J96" authorId="1" shapeId="0">
      <text>
        <r>
          <rPr>
            <b/>
            <sz val="9"/>
            <color indexed="81"/>
            <rFont val="Tahoma"/>
            <family val="2"/>
          </rPr>
          <t>Johanna Lucia Bustos Criales:</t>
        </r>
        <r>
          <rPr>
            <sz val="9"/>
            <color indexed="81"/>
            <rFont val="Tahoma"/>
            <family val="2"/>
          </rPr>
          <t xml:space="preserve">
13-12-2017 Adición $ 5,250,000</t>
        </r>
      </text>
    </comment>
    <comment ref="J97" authorId="1" shapeId="0">
      <text>
        <r>
          <rPr>
            <b/>
            <sz val="9"/>
            <color indexed="81"/>
            <rFont val="Tahoma"/>
            <family val="2"/>
          </rPr>
          <t>Johanna Lucia Bustos Criales:</t>
        </r>
        <r>
          <rPr>
            <sz val="9"/>
            <color indexed="81"/>
            <rFont val="Tahoma"/>
            <family val="2"/>
          </rPr>
          <t xml:space="preserve">
22-11-2017 Adición $ 3.100.000</t>
        </r>
      </text>
    </comment>
    <comment ref="B104" authorId="0" shapeId="0">
      <text>
        <r>
          <rPr>
            <b/>
            <sz val="9"/>
            <color indexed="81"/>
            <rFont val="Tahoma"/>
            <family val="2"/>
          </rPr>
          <t>Orlando Arias:</t>
        </r>
        <r>
          <rPr>
            <sz val="9"/>
            <color indexed="81"/>
            <rFont val="Tahoma"/>
            <family val="2"/>
          </rPr>
          <t xml:space="preserve">
Traslado entre proyectos de Inversión $39.974.476
14-12-2017 Traslado entre conceptos de gasto $ 48,349,540  a Museo de Bta en Operación</t>
        </r>
      </text>
    </comment>
    <comment ref="X109" authorId="0" shapeId="0">
      <text>
        <r>
          <rPr>
            <b/>
            <sz val="9"/>
            <color indexed="81"/>
            <rFont val="Tahoma"/>
            <family val="2"/>
          </rPr>
          <t>Orlando Arias:</t>
        </r>
        <r>
          <rPr>
            <sz val="9"/>
            <color indexed="81"/>
            <rFont val="Tahoma"/>
            <family val="2"/>
          </rPr>
          <t xml:space="preserve">
31-01-2018 Se corrige registro</t>
        </r>
      </text>
    </comment>
    <comment ref="Y109" authorId="0" shapeId="0">
      <text>
        <r>
          <rPr>
            <b/>
            <sz val="9"/>
            <color indexed="81"/>
            <rFont val="Tahoma"/>
            <family val="2"/>
          </rPr>
          <t>Orlando Arias:</t>
        </r>
        <r>
          <rPr>
            <sz val="9"/>
            <color indexed="81"/>
            <rFont val="Tahoma"/>
            <family val="2"/>
          </rPr>
          <t xml:space="preserve">
31-01-2018 Se corrige registro</t>
        </r>
      </text>
    </comment>
    <comment ref="Z109" authorId="0" shapeId="0">
      <text>
        <r>
          <rPr>
            <b/>
            <sz val="9"/>
            <color indexed="81"/>
            <rFont val="Tahoma"/>
            <family val="2"/>
          </rPr>
          <t>Orlando Arias:</t>
        </r>
        <r>
          <rPr>
            <sz val="9"/>
            <color indexed="81"/>
            <rFont val="Tahoma"/>
            <family val="2"/>
          </rPr>
          <t xml:space="preserve">
31-01-2018 Se corrige valor porque se registró más de lo comprometido</t>
        </r>
      </text>
    </comment>
    <comment ref="J112" authorId="0" shapeId="0">
      <text>
        <r>
          <rPr>
            <b/>
            <sz val="9"/>
            <color indexed="81"/>
            <rFont val="Tahoma"/>
            <family val="2"/>
          </rPr>
          <t>Orlando Arias:</t>
        </r>
        <r>
          <rPr>
            <sz val="9"/>
            <color indexed="81"/>
            <rFont val="Tahoma"/>
            <family val="2"/>
          </rPr>
          <t xml:space="preserve">
Pago ARL</t>
        </r>
      </text>
    </comment>
  </commentList>
</comments>
</file>

<file path=xl/comments3.xml><?xml version="1.0" encoding="utf-8"?>
<comments xmlns="http://schemas.openxmlformats.org/spreadsheetml/2006/main">
  <authors>
    <author>Nubia S Zubieta</author>
    <author>Orlando Arias</author>
    <author>Johanna Lucia Bustos Criales</author>
  </authors>
  <commentList>
    <comment ref="A16" authorId="0" shapeId="0">
      <text>
        <r>
          <rPr>
            <b/>
            <sz val="9"/>
            <color indexed="81"/>
            <rFont val="Tahoma"/>
            <family val="2"/>
          </rPr>
          <t>Nubia S Zubieta:</t>
        </r>
        <r>
          <rPr>
            <sz val="9"/>
            <color indexed="81"/>
            <rFont val="Tahoma"/>
            <family val="2"/>
          </rPr>
          <t xml:space="preserve">
Se solicita adicionar recursos por $92.435.659, como resultado de la disminución de recursos del componente aadquisición de equipos. Ver solicitud 19/01/17
</t>
        </r>
      </text>
    </comment>
    <comment ref="B16" authorId="1" shapeId="0">
      <text>
        <r>
          <rPr>
            <b/>
            <sz val="9"/>
            <color indexed="81"/>
            <rFont val="Tahoma"/>
            <family val="2"/>
          </rPr>
          <t>Orlando Arias:</t>
        </r>
        <r>
          <rPr>
            <sz val="9"/>
            <color indexed="81"/>
            <rFont val="Tahoma"/>
            <family val="2"/>
          </rPr>
          <t xml:space="preserve">
11-02-2017 se reducen $6.814.167 que van para  para desarrollar actividades de comunicación e información 
26-10-2017 Traslado a componente de Apoyo transversal $ 112.379.085
14-12-2017 se trasladan recursos $ 10.731.667 a Apoyo Trasversal</t>
        </r>
      </text>
    </comment>
    <comment ref="J18" authorId="1" shapeId="0">
      <text>
        <r>
          <rPr>
            <b/>
            <sz val="9"/>
            <color indexed="81"/>
            <rFont val="Tahoma"/>
            <family val="2"/>
          </rPr>
          <t>Orlando Arias:</t>
        </r>
        <r>
          <rPr>
            <sz val="9"/>
            <color indexed="81"/>
            <rFont val="Tahoma"/>
            <family val="2"/>
          </rPr>
          <t xml:space="preserve">
13/02/2017 al actualizar la ejecucion el CDP esta por $i más.</t>
        </r>
      </text>
    </comment>
    <comment ref="J21" authorId="1" shapeId="0">
      <text>
        <r>
          <rPr>
            <b/>
            <sz val="9"/>
            <color indexed="81"/>
            <rFont val="Tahoma"/>
            <family val="2"/>
          </rPr>
          <t>Orlando Arias:</t>
        </r>
        <r>
          <rPr>
            <sz val="9"/>
            <color indexed="81"/>
            <rFont val="Tahoma"/>
            <family val="2"/>
          </rPr>
          <t xml:space="preserve">
03/03/2017 Se modifica valor.
09/03/2017 Modifican nuevamente el valor y corresponde al plan de adquisiciones. 15/03/2017 Se reduce el valor nuevamente $39,200,000
21-11-2017 Adición $ 2.520.000</t>
        </r>
      </text>
    </comment>
    <comment ref="J24" authorId="2" shapeId="0">
      <text>
        <r>
          <rPr>
            <b/>
            <sz val="9"/>
            <color indexed="81"/>
            <rFont val="Tahoma"/>
            <family val="2"/>
          </rPr>
          <t>Johanna Lucia Bustos Criales:</t>
        </r>
        <r>
          <rPr>
            <sz val="9"/>
            <color indexed="81"/>
            <rFont val="Tahoma"/>
            <family val="2"/>
          </rPr>
          <t xml:space="preserve">
21-11-2017 adición $ 3.266.667</t>
        </r>
      </text>
    </comment>
    <comment ref="J26" authorId="2" shapeId="0">
      <text>
        <r>
          <rPr>
            <b/>
            <sz val="9"/>
            <color indexed="81"/>
            <rFont val="Tahoma"/>
            <family val="2"/>
          </rPr>
          <t>Johanna Lucia Bustos Criales:</t>
        </r>
        <r>
          <rPr>
            <sz val="9"/>
            <color indexed="81"/>
            <rFont val="Tahoma"/>
            <family val="2"/>
          </rPr>
          <t xml:space="preserve">
21-11-2017 Adición $ 3.943.333</t>
        </r>
      </text>
    </comment>
    <comment ref="J27" authorId="2" shapeId="0">
      <text>
        <r>
          <rPr>
            <b/>
            <sz val="9"/>
            <color indexed="81"/>
            <rFont val="Tahoma"/>
            <family val="2"/>
          </rPr>
          <t>Johanna Lucia Bustos Criales:</t>
        </r>
        <r>
          <rPr>
            <sz val="9"/>
            <color indexed="81"/>
            <rFont val="Tahoma"/>
            <family val="2"/>
          </rPr>
          <t xml:space="preserve">
21-11-2017 Adición $ 4.291.667
</t>
        </r>
      </text>
    </comment>
    <comment ref="J28" authorId="2" shapeId="0">
      <text>
        <r>
          <rPr>
            <b/>
            <sz val="9"/>
            <color indexed="81"/>
            <rFont val="Tahoma"/>
            <family val="2"/>
          </rPr>
          <t>Johanna Lucia Bustos Criales:</t>
        </r>
        <r>
          <rPr>
            <sz val="9"/>
            <color indexed="81"/>
            <rFont val="Tahoma"/>
            <family val="2"/>
          </rPr>
          <t xml:space="preserve">
21-11-2017 Adición $ 1.991.333</t>
        </r>
      </text>
    </comment>
    <comment ref="J29" authorId="2" shapeId="0">
      <text>
        <r>
          <rPr>
            <b/>
            <sz val="9"/>
            <color indexed="81"/>
            <rFont val="Tahoma"/>
            <family val="2"/>
          </rPr>
          <t>Johanna Lucia Bustos Criales:</t>
        </r>
        <r>
          <rPr>
            <sz val="9"/>
            <color indexed="81"/>
            <rFont val="Tahoma"/>
            <family val="2"/>
          </rPr>
          <t xml:space="preserve">
21-11-2017 Adición $2.000.000</t>
        </r>
      </text>
    </comment>
    <comment ref="J30" authorId="2" shapeId="0">
      <text>
        <r>
          <rPr>
            <b/>
            <sz val="9"/>
            <color indexed="81"/>
            <rFont val="Tahoma"/>
            <family val="2"/>
          </rPr>
          <t>Johanna Lucia Bustos Criales:</t>
        </r>
        <r>
          <rPr>
            <sz val="9"/>
            <color indexed="81"/>
            <rFont val="Tahoma"/>
            <family val="2"/>
          </rPr>
          <t xml:space="preserve">
21-11-2017 Adición $ 1.991.333</t>
        </r>
      </text>
    </comment>
    <comment ref="J31" authorId="1" shapeId="0">
      <text>
        <r>
          <rPr>
            <b/>
            <sz val="9"/>
            <color indexed="81"/>
            <rFont val="Tahoma"/>
            <family val="2"/>
          </rPr>
          <t>Orlando Arias:</t>
        </r>
        <r>
          <rPr>
            <sz val="9"/>
            <color indexed="81"/>
            <rFont val="Tahoma"/>
            <family val="2"/>
          </rPr>
          <t xml:space="preserve">
Se solicito modificar el valor a $ 14.700.000 para estudio previo pero CDP se expidio por $ $ 17.150.000
21-11-2017 Adición $ 4.900.000
</t>
        </r>
      </text>
    </comment>
    <comment ref="A34" authorId="0" shapeId="0">
      <text>
        <r>
          <rPr>
            <b/>
            <sz val="9"/>
            <color indexed="81"/>
            <rFont val="Tahoma"/>
            <family val="2"/>
          </rPr>
          <t>Nubia S Zubieta:</t>
        </r>
        <r>
          <rPr>
            <sz val="9"/>
            <color indexed="81"/>
            <rFont val="Tahoma"/>
            <family val="2"/>
          </rPr>
          <t xml:space="preserve">
Se solicita adicionar recursos por $132.861.644, producto de traslaado de  $ entre componentes adquisicion de equipos y actividades de comunicación. Ver solicitud 19/01/17 </t>
        </r>
      </text>
    </comment>
    <comment ref="B34" authorId="1" shapeId="0">
      <text>
        <r>
          <rPr>
            <b/>
            <sz val="9"/>
            <color indexed="81"/>
            <rFont val="Tahoma"/>
            <family val="2"/>
          </rPr>
          <t>Orlando Arias:</t>
        </r>
        <r>
          <rPr>
            <sz val="9"/>
            <color indexed="81"/>
            <rFont val="Tahoma"/>
            <family val="2"/>
          </rPr>
          <t xml:space="preserve">
31/03/2017 Se adicionan recursos de adquisición de bienes $70.000.000=
11-05-2017 Se reducen $3.542.582  van para desarrollar actividades de comunicación e información
20-06-2017 se adicionan recursos por $49.000.000 de adquisición de Bienes
26-10-2017 llegan resuroso del componente Fortalecimiento del SIG por $ 112.379.085
Transparencia $ 11.267.
530
Desarrollar actividades de Comunicación e información $ 6.712.210
Adquisición de equipos y materiales $ 7.200.000</t>
        </r>
      </text>
    </comment>
    <comment ref="J37" authorId="2" shapeId="0">
      <text>
        <r>
          <rPr>
            <b/>
            <sz val="9"/>
            <color indexed="81"/>
            <rFont val="Tahoma"/>
            <family val="2"/>
          </rPr>
          <t>Johanna Lucia Bustos Criales:</t>
        </r>
        <r>
          <rPr>
            <sz val="9"/>
            <color indexed="81"/>
            <rFont val="Tahoma"/>
            <family val="2"/>
          </rPr>
          <t xml:space="preserve">
05-12-2017 Adición $ 4.944.000</t>
        </r>
      </text>
    </comment>
    <comment ref="J38" authorId="2" shapeId="0">
      <text>
        <r>
          <rPr>
            <b/>
            <sz val="9"/>
            <color indexed="81"/>
            <rFont val="Tahoma"/>
            <family val="2"/>
          </rPr>
          <t>Johanna Lucia Bustos Criales:</t>
        </r>
        <r>
          <rPr>
            <sz val="9"/>
            <color indexed="81"/>
            <rFont val="Tahoma"/>
            <family val="2"/>
          </rPr>
          <t xml:space="preserve">
05-12-2017  Adición $ 2.892.000</t>
        </r>
      </text>
    </comment>
    <comment ref="J39" authorId="2" shapeId="0">
      <text>
        <r>
          <rPr>
            <b/>
            <sz val="9"/>
            <color indexed="81"/>
            <rFont val="Tahoma"/>
            <family val="2"/>
          </rPr>
          <t>Johanna Lucia Bustos Criales:</t>
        </r>
        <r>
          <rPr>
            <sz val="9"/>
            <color indexed="81"/>
            <rFont val="Tahoma"/>
            <family val="2"/>
          </rPr>
          <t xml:space="preserve">
05-12-2017  Adición $ 2.849.000</t>
        </r>
      </text>
    </comment>
    <comment ref="J40" authorId="2" shapeId="0">
      <text>
        <r>
          <rPr>
            <b/>
            <sz val="9"/>
            <color indexed="81"/>
            <rFont val="Tahoma"/>
            <family val="2"/>
          </rPr>
          <t>Johanna Lucia Bustos Criales:</t>
        </r>
        <r>
          <rPr>
            <sz val="9"/>
            <color indexed="81"/>
            <rFont val="Tahoma"/>
            <family val="2"/>
          </rPr>
          <t xml:space="preserve">
05-12-2017 Adición $ 4.944.000</t>
        </r>
      </text>
    </comment>
    <comment ref="H42" authorId="1" shapeId="0">
      <text>
        <r>
          <rPr>
            <b/>
            <sz val="9"/>
            <color indexed="81"/>
            <rFont val="Tahoma"/>
            <family val="2"/>
          </rPr>
          <t>Orlando Arias:</t>
        </r>
        <r>
          <rPr>
            <sz val="9"/>
            <color indexed="81"/>
            <rFont val="Tahoma"/>
            <family val="2"/>
          </rPr>
          <t xml:space="preserve">
Contrato No. 18, se terminó anticipadmente y se elaboró uno nuevo con la viabilidad 200. El valor se mantiene</t>
        </r>
      </text>
    </comment>
    <comment ref="J42" authorId="1" shapeId="0">
      <text>
        <r>
          <rPr>
            <b/>
            <sz val="9"/>
            <color indexed="81"/>
            <rFont val="Tahoma"/>
            <family val="2"/>
          </rPr>
          <t>Orlando Arias:</t>
        </r>
        <r>
          <rPr>
            <sz val="9"/>
            <color indexed="81"/>
            <rFont val="Tahoma"/>
            <family val="2"/>
          </rPr>
          <t xml:space="preserve">
16-11-2017 Adición $ 5.191.200</t>
        </r>
      </text>
    </comment>
    <comment ref="L42" authorId="1" shapeId="0">
      <text>
        <r>
          <rPr>
            <b/>
            <sz val="9"/>
            <color indexed="81"/>
            <rFont val="Tahoma"/>
            <family val="2"/>
          </rPr>
          <t>Orlando Arias:</t>
        </r>
        <r>
          <rPr>
            <sz val="9"/>
            <color indexed="81"/>
            <rFont val="Tahoma"/>
            <family val="2"/>
          </rPr>
          <t xml:space="preserve">
Se anularon del CRP 52 $58.586.400
Del CRP 53 $ 1.669.712
y del CRP 272 $ 1.664.429</t>
        </r>
      </text>
    </comment>
    <comment ref="J43" authorId="1" shapeId="0">
      <text>
        <r>
          <rPr>
            <b/>
            <sz val="9"/>
            <color indexed="81"/>
            <rFont val="Tahoma"/>
            <family val="2"/>
          </rPr>
          <t>Orlando Arias:</t>
        </r>
        <r>
          <rPr>
            <sz val="9"/>
            <color indexed="81"/>
            <rFont val="Tahoma"/>
            <family val="2"/>
          </rPr>
          <t xml:space="preserve">
16-11-2017 Adición $ 3.090.000</t>
        </r>
      </text>
    </comment>
    <comment ref="J44" authorId="2" shapeId="0">
      <text>
        <r>
          <rPr>
            <b/>
            <sz val="9"/>
            <color indexed="81"/>
            <rFont val="Tahoma"/>
            <family val="2"/>
          </rPr>
          <t>Johanna Lucia Bustos Criales:</t>
        </r>
        <r>
          <rPr>
            <sz val="9"/>
            <color indexed="81"/>
            <rFont val="Tahoma"/>
            <family val="2"/>
          </rPr>
          <t xml:space="preserve">
11-12-2017 Adición $ 2.652.250</t>
        </r>
      </text>
    </comment>
    <comment ref="J45" authorId="2" shapeId="0">
      <text>
        <r>
          <rPr>
            <b/>
            <sz val="9"/>
            <color indexed="81"/>
            <rFont val="Tahoma"/>
            <family val="2"/>
          </rPr>
          <t>Johanna Lucia Bustos Criales:</t>
        </r>
        <r>
          <rPr>
            <sz val="9"/>
            <color indexed="81"/>
            <rFont val="Tahoma"/>
            <family val="2"/>
          </rPr>
          <t xml:space="preserve">
12-12-2017 Adición $ 6,180,000</t>
        </r>
      </text>
    </comment>
    <comment ref="J46" authorId="2" shapeId="0">
      <text>
        <r>
          <rPr>
            <b/>
            <sz val="9"/>
            <color indexed="81"/>
            <rFont val="Tahoma"/>
            <family val="2"/>
          </rPr>
          <t>Johanna Lucia Bustos Criales:</t>
        </r>
        <r>
          <rPr>
            <sz val="9"/>
            <color indexed="81"/>
            <rFont val="Tahoma"/>
            <family val="2"/>
          </rPr>
          <t xml:space="preserve">
12-12-2017 Adición $ 6,180,000</t>
        </r>
      </text>
    </comment>
    <comment ref="J47" authorId="1" shapeId="0">
      <text>
        <r>
          <rPr>
            <b/>
            <sz val="9"/>
            <color indexed="81"/>
            <rFont val="Tahoma"/>
            <family val="2"/>
          </rPr>
          <t>Orlando Arias:</t>
        </r>
        <r>
          <rPr>
            <sz val="9"/>
            <color indexed="81"/>
            <rFont val="Tahoma"/>
            <family val="2"/>
          </rPr>
          <t xml:space="preserve">
16-11-2017 Adición $ 8.046.193</t>
        </r>
      </text>
    </comment>
    <comment ref="J48" authorId="1" shapeId="0">
      <text>
        <r>
          <rPr>
            <b/>
            <sz val="9"/>
            <color indexed="81"/>
            <rFont val="Tahoma"/>
            <family val="2"/>
          </rPr>
          <t>Orlando Arias:</t>
        </r>
        <r>
          <rPr>
            <sz val="9"/>
            <color indexed="81"/>
            <rFont val="Tahoma"/>
            <family val="2"/>
          </rPr>
          <t xml:space="preserve">
Se tramitó ante esta subdirecdcion por 36,760,333 el CDP sale por 33,760,336
16-11-2017 Adición $ 3.249.245</t>
        </r>
      </text>
    </comment>
    <comment ref="J50" authorId="2" shapeId="0">
      <text>
        <r>
          <rPr>
            <b/>
            <sz val="9"/>
            <color indexed="81"/>
            <rFont val="Tahoma"/>
            <family val="2"/>
          </rPr>
          <t>Johanna Lucia Bustos Criales:</t>
        </r>
        <r>
          <rPr>
            <sz val="9"/>
            <color indexed="81"/>
            <rFont val="Tahoma"/>
            <family val="2"/>
          </rPr>
          <t xml:space="preserve">
21-11-2017 Adición $ 3.483.333</t>
        </r>
      </text>
    </comment>
    <comment ref="J51" authorId="2" shapeId="0">
      <text>
        <r>
          <rPr>
            <b/>
            <sz val="9"/>
            <color indexed="81"/>
            <rFont val="Tahoma"/>
            <family val="2"/>
          </rPr>
          <t>Johanna Lucia Bustos Criales:</t>
        </r>
        <r>
          <rPr>
            <sz val="9"/>
            <color indexed="81"/>
            <rFont val="Tahoma"/>
            <family val="2"/>
          </rPr>
          <t xml:space="preserve">
05-12-2017 Adición $ 7.210.000</t>
        </r>
      </text>
    </comment>
    <comment ref="J53" authorId="1" shapeId="0">
      <text>
        <r>
          <rPr>
            <b/>
            <sz val="9"/>
            <color indexed="81"/>
            <rFont val="Tahoma"/>
            <family val="2"/>
          </rPr>
          <t>Orlando Arias:</t>
        </r>
        <r>
          <rPr>
            <sz val="9"/>
            <color indexed="81"/>
            <rFont val="Tahoma"/>
            <family val="2"/>
          </rPr>
          <t xml:space="preserve">
16-11-2017 Adición $ 4.873.668
</t>
        </r>
      </text>
    </comment>
    <comment ref="J56" authorId="2" shapeId="0">
      <text>
        <r>
          <rPr>
            <b/>
            <sz val="9"/>
            <color indexed="81"/>
            <rFont val="Tahoma"/>
            <family val="2"/>
          </rPr>
          <t>Johanna Lucia Bustos Criales:</t>
        </r>
        <r>
          <rPr>
            <sz val="9"/>
            <color indexed="81"/>
            <rFont val="Tahoma"/>
            <family val="2"/>
          </rPr>
          <t xml:space="preserve">
21-11-2017 Adición $ 5.493.333
</t>
        </r>
      </text>
    </comment>
    <comment ref="J57" authorId="2" shapeId="0">
      <text>
        <r>
          <rPr>
            <b/>
            <sz val="9"/>
            <color indexed="81"/>
            <rFont val="Tahoma"/>
            <family val="2"/>
          </rPr>
          <t>Johanna Lucia Bustos Criales:</t>
        </r>
        <r>
          <rPr>
            <sz val="9"/>
            <color indexed="81"/>
            <rFont val="Tahoma"/>
            <family val="2"/>
          </rPr>
          <t xml:space="preserve">
21-11-2017 Adición $ 2.884.000</t>
        </r>
      </text>
    </comment>
    <comment ref="J58" authorId="2" shapeId="0">
      <text>
        <r>
          <rPr>
            <b/>
            <sz val="9"/>
            <color indexed="81"/>
            <rFont val="Tahoma"/>
            <family val="2"/>
          </rPr>
          <t>Johanna Lucia Bustos Criales:</t>
        </r>
        <r>
          <rPr>
            <sz val="9"/>
            <color indexed="81"/>
            <rFont val="Tahoma"/>
            <family val="2"/>
          </rPr>
          <t xml:space="preserve">
 30 -06-2017 Adición $ 3.194.000
</t>
        </r>
      </text>
    </comment>
    <comment ref="J59" authorId="2" shapeId="0">
      <text>
        <r>
          <rPr>
            <b/>
            <sz val="9"/>
            <color indexed="81"/>
            <rFont val="Tahoma"/>
            <family val="2"/>
          </rPr>
          <t>Johanna Lucia Bustos Criales:</t>
        </r>
        <r>
          <rPr>
            <sz val="9"/>
            <color indexed="81"/>
            <rFont val="Tahoma"/>
            <family val="2"/>
          </rPr>
          <t xml:space="preserve">
05-12-2017 Adición $ 7.210.000</t>
        </r>
      </text>
    </comment>
    <comment ref="J60" authorId="2" shapeId="0">
      <text>
        <r>
          <rPr>
            <b/>
            <sz val="9"/>
            <color indexed="81"/>
            <rFont val="Tahoma"/>
            <family val="2"/>
          </rPr>
          <t>Johanna Lucia Bustos Criales:</t>
        </r>
        <r>
          <rPr>
            <sz val="9"/>
            <color indexed="81"/>
            <rFont val="Tahoma"/>
            <family val="2"/>
          </rPr>
          <t xml:space="preserve">
11-12-2017 Adición $ 4.944.000</t>
        </r>
      </text>
    </comment>
    <comment ref="J61" authorId="2" shapeId="0">
      <text>
        <r>
          <rPr>
            <b/>
            <sz val="9"/>
            <color indexed="81"/>
            <rFont val="Tahoma"/>
            <family val="2"/>
          </rPr>
          <t>Johanna Lucia Bustos Criales:</t>
        </r>
        <r>
          <rPr>
            <sz val="9"/>
            <color indexed="81"/>
            <rFont val="Tahoma"/>
            <family val="2"/>
          </rPr>
          <t xml:space="preserve">
21-11-20174 Adición $ 2.772.360</t>
        </r>
      </text>
    </comment>
    <comment ref="J63" authorId="1" shapeId="0">
      <text>
        <r>
          <rPr>
            <b/>
            <sz val="9"/>
            <color indexed="81"/>
            <rFont val="Tahoma"/>
            <family val="2"/>
          </rPr>
          <t>Johanna Bustos:</t>
        </r>
        <r>
          <rPr>
            <sz val="9"/>
            <color indexed="81"/>
            <rFont val="Tahoma"/>
            <family val="2"/>
          </rPr>
          <t xml:space="preserve">
23-10-2017 Adición $ 12.000.000</t>
        </r>
      </text>
    </comment>
    <comment ref="J64" authorId="1" shapeId="0">
      <text>
        <r>
          <rPr>
            <b/>
            <sz val="9"/>
            <color indexed="81"/>
            <rFont val="Tahoma"/>
            <family val="2"/>
          </rPr>
          <t>Orlando Arias:</t>
        </r>
        <r>
          <rPr>
            <sz val="9"/>
            <color indexed="81"/>
            <rFont val="Tahoma"/>
            <family val="2"/>
          </rPr>
          <t xml:space="preserve">
16-11-2017 Adición $ 7.000.000</t>
        </r>
      </text>
    </comment>
    <comment ref="J66" authorId="2" shapeId="0">
      <text>
        <r>
          <rPr>
            <b/>
            <sz val="9"/>
            <color indexed="81"/>
            <rFont val="Tahoma"/>
            <family val="2"/>
          </rPr>
          <t>Johanna Lucia Bustos Criales:</t>
        </r>
        <r>
          <rPr>
            <sz val="9"/>
            <color indexed="81"/>
            <rFont val="Tahoma"/>
            <family val="2"/>
          </rPr>
          <t xml:space="preserve">
12-12-2017 Adición $ 2,300,000</t>
        </r>
      </text>
    </comment>
    <comment ref="J67" authorId="1" shapeId="0">
      <text>
        <r>
          <rPr>
            <b/>
            <sz val="9"/>
            <color indexed="81"/>
            <rFont val="Tahoma"/>
            <family val="2"/>
          </rPr>
          <t>Orlando Arias:</t>
        </r>
        <r>
          <rPr>
            <sz val="9"/>
            <color indexed="81"/>
            <rFont val="Tahoma"/>
            <family val="2"/>
          </rPr>
          <t xml:space="preserve">
Adición $ 6,000,000
31-07-2017</t>
        </r>
      </text>
    </comment>
    <comment ref="J68" authorId="1" shapeId="0">
      <text>
        <r>
          <rPr>
            <b/>
            <sz val="9"/>
            <color indexed="81"/>
            <rFont val="Tahoma"/>
            <family val="2"/>
          </rPr>
          <t>Orlando Arias:</t>
        </r>
        <r>
          <rPr>
            <sz val="9"/>
            <color indexed="81"/>
            <rFont val="Tahoma"/>
            <family val="2"/>
          </rPr>
          <t xml:space="preserve">
08/05/2017 
SE expidio CDP por $ 23.500.000, se redujo el valor de $ 23.000.000
</t>
        </r>
      </text>
    </comment>
    <comment ref="J69" authorId="1" shapeId="0">
      <text>
        <r>
          <rPr>
            <b/>
            <sz val="9"/>
            <color indexed="81"/>
            <rFont val="Tahoma"/>
            <family val="2"/>
          </rPr>
          <t>Orlando Arias:</t>
        </r>
        <r>
          <rPr>
            <sz val="9"/>
            <color indexed="81"/>
            <rFont val="Tahoma"/>
            <family val="2"/>
          </rPr>
          <t xml:space="preserve">
Adición $ 3.252.730</t>
        </r>
      </text>
    </comment>
    <comment ref="J71" authorId="2" shapeId="0">
      <text>
        <r>
          <rPr>
            <b/>
            <sz val="9"/>
            <color indexed="81"/>
            <rFont val="Tahoma"/>
            <family val="2"/>
          </rPr>
          <t>Johanna Lucia Bustos Criales:</t>
        </r>
        <r>
          <rPr>
            <sz val="9"/>
            <color indexed="81"/>
            <rFont val="Tahoma"/>
            <family val="2"/>
          </rPr>
          <t xml:space="preserve">
12-12-2017 Adición $ 2,400,000</t>
        </r>
      </text>
    </comment>
    <comment ref="J72" authorId="2" shapeId="0">
      <text>
        <r>
          <rPr>
            <b/>
            <sz val="9"/>
            <color indexed="81"/>
            <rFont val="Tahoma"/>
            <family val="2"/>
          </rPr>
          <t>Johanna Lucia Bustos Criales:</t>
        </r>
        <r>
          <rPr>
            <sz val="9"/>
            <color indexed="81"/>
            <rFont val="Tahoma"/>
            <family val="2"/>
          </rPr>
          <t xml:space="preserve">
21-11-2017 Adición $ 1.785.333</t>
        </r>
      </text>
    </comment>
    <comment ref="J73" authorId="2" shapeId="0">
      <text>
        <r>
          <rPr>
            <b/>
            <sz val="9"/>
            <color indexed="81"/>
            <rFont val="Tahoma"/>
            <family val="2"/>
          </rPr>
          <t>Johanna Lucia Bustos Criales:</t>
        </r>
        <r>
          <rPr>
            <sz val="9"/>
            <color indexed="81"/>
            <rFont val="Tahoma"/>
            <family val="2"/>
          </rPr>
          <t xml:space="preserve">
21-11-2017 Adición $ 2.920.000</t>
        </r>
      </text>
    </comment>
    <comment ref="J77" authorId="1" shapeId="0">
      <text>
        <r>
          <rPr>
            <b/>
            <sz val="9"/>
            <color indexed="81"/>
            <rFont val="Tahoma"/>
            <family val="2"/>
          </rPr>
          <t>Orlando Arias:</t>
        </r>
        <r>
          <rPr>
            <sz val="9"/>
            <color indexed="81"/>
            <rFont val="Tahoma"/>
            <family val="2"/>
          </rPr>
          <t xml:space="preserve">
16-11-2017 Adición 3,500,000</t>
        </r>
      </text>
    </comment>
    <comment ref="J78" authorId="1" shapeId="0">
      <text>
        <r>
          <rPr>
            <b/>
            <sz val="9"/>
            <color indexed="81"/>
            <rFont val="Tahoma"/>
            <family val="2"/>
          </rPr>
          <t>Orlando Arias:</t>
        </r>
        <r>
          <rPr>
            <sz val="9"/>
            <color indexed="81"/>
            <rFont val="Tahoma"/>
            <family val="2"/>
          </rPr>
          <t xml:space="preserve">
16-11-2017 Adición $ 1.764.229</t>
        </r>
      </text>
    </comment>
    <comment ref="J81" authorId="2" shapeId="0">
      <text>
        <r>
          <rPr>
            <b/>
            <sz val="9"/>
            <color indexed="81"/>
            <rFont val="Tahoma"/>
            <family val="2"/>
          </rPr>
          <t>Johanna Lucia Bustos Criales:</t>
        </r>
        <r>
          <rPr>
            <sz val="9"/>
            <color indexed="81"/>
            <rFont val="Tahoma"/>
            <family val="2"/>
          </rPr>
          <t xml:space="preserve">
14-12-2017 Adición $ 1.583.333</t>
        </r>
      </text>
    </comment>
    <comment ref="J84" authorId="2" shapeId="0">
      <text>
        <r>
          <rPr>
            <b/>
            <sz val="9"/>
            <color indexed="81"/>
            <rFont val="Tahoma"/>
            <family val="2"/>
          </rPr>
          <t>Johanna Lucia Bustos Criales:</t>
        </r>
        <r>
          <rPr>
            <sz val="9"/>
            <color indexed="81"/>
            <rFont val="Tahoma"/>
            <family val="2"/>
          </rPr>
          <t xml:space="preserve">
21-11-2017 Adición $ 2.599-396</t>
        </r>
      </text>
    </comment>
    <comment ref="J86" authorId="1" shapeId="0">
      <text>
        <r>
          <rPr>
            <b/>
            <sz val="9"/>
            <color indexed="81"/>
            <rFont val="Tahoma"/>
            <family val="2"/>
          </rPr>
          <t>Orlando Arias:</t>
        </r>
        <r>
          <rPr>
            <sz val="9"/>
            <color indexed="81"/>
            <rFont val="Tahoma"/>
            <family val="2"/>
          </rPr>
          <t xml:space="preserve">
31-10-2017 se solicitó Viabilidad pòr $ 5.000.000 pero el CDP se expidio por $ 3.185.697. NO lo trajeron para numeración</t>
        </r>
      </text>
    </comment>
    <comment ref="J87" authorId="2" shapeId="0">
      <text>
        <r>
          <rPr>
            <b/>
            <sz val="9"/>
            <color indexed="81"/>
            <rFont val="Tahoma"/>
            <family val="2"/>
          </rPr>
          <t>Johanna Lucia Bustos Criales:</t>
        </r>
        <r>
          <rPr>
            <sz val="9"/>
            <color indexed="81"/>
            <rFont val="Tahoma"/>
            <family val="2"/>
          </rPr>
          <t xml:space="preserve">
14-12-2017 Adición $ 1.260.164</t>
        </r>
      </text>
    </comment>
    <comment ref="J88" authorId="2" shapeId="0">
      <text>
        <r>
          <rPr>
            <b/>
            <sz val="9"/>
            <color indexed="81"/>
            <rFont val="Tahoma"/>
            <family val="2"/>
          </rPr>
          <t>Johanna Lucia Bustos Criales:</t>
        </r>
        <r>
          <rPr>
            <sz val="9"/>
            <color indexed="81"/>
            <rFont val="Tahoma"/>
            <family val="2"/>
          </rPr>
          <t xml:space="preserve">
18-12-2017 Adición $ 2.000.000 Anulado CDP - 19-12-2017</t>
        </r>
      </text>
    </comment>
    <comment ref="J89" authorId="2" shapeId="0">
      <text>
        <r>
          <rPr>
            <b/>
            <sz val="9"/>
            <color indexed="81"/>
            <rFont val="Tahoma"/>
            <family val="2"/>
          </rPr>
          <t>Johanna Lucia Bustos Criales:</t>
        </r>
        <r>
          <rPr>
            <sz val="9"/>
            <color indexed="81"/>
            <rFont val="Tahoma"/>
            <family val="2"/>
          </rPr>
          <t xml:space="preserve">
15-12-2017 Adición $ 658.667</t>
        </r>
      </text>
    </comment>
    <comment ref="A93" authorId="0" shapeId="0">
      <text>
        <r>
          <rPr>
            <b/>
            <sz val="9"/>
            <color indexed="81"/>
            <rFont val="Tahoma"/>
            <family val="2"/>
          </rPr>
          <t>Nubia S Zubieta:</t>
        </r>
        <r>
          <rPr>
            <sz val="9"/>
            <color indexed="81"/>
            <rFont val="Tahoma"/>
            <family val="2"/>
          </rPr>
          <t xml:space="preserve">
Se solicita adicionar recursos por $12.140.863, como resultado de la disminución del compenete comunicación e información. Ver solicitud 19/01/17</t>
        </r>
      </text>
    </comment>
    <comment ref="J94" authorId="2" shapeId="0">
      <text>
        <r>
          <rPr>
            <b/>
            <sz val="9"/>
            <color indexed="81"/>
            <rFont val="Tahoma"/>
            <family val="2"/>
          </rPr>
          <t>Johanna Lucia Bustos Criales:</t>
        </r>
        <r>
          <rPr>
            <sz val="9"/>
            <color indexed="81"/>
            <rFont val="Tahoma"/>
            <family val="2"/>
          </rPr>
          <t xml:space="preserve">
15-12-2017 Adición $ 2.575.000</t>
        </r>
      </text>
    </comment>
    <comment ref="J95" authorId="1" shapeId="0">
      <text>
        <r>
          <rPr>
            <b/>
            <sz val="9"/>
            <color indexed="81"/>
            <rFont val="Tahoma"/>
            <family val="2"/>
          </rPr>
          <t>Orlando Arias:</t>
        </r>
        <r>
          <rPr>
            <sz val="9"/>
            <color indexed="81"/>
            <rFont val="Tahoma"/>
            <family val="2"/>
          </rPr>
          <t xml:space="preserve">
Se cambia valor debido a la retencion IVA regimen simplificvado, 39,060,000 13/02/2017 No han reducido el saldo en presupuesto
09-11-2017 Adición $ 4.918.667
20-12-2017 Adición $ 3.038.000</t>
        </r>
      </text>
    </comment>
    <comment ref="J96" authorId="1" shapeId="0">
      <text>
        <r>
          <rPr>
            <b/>
            <sz val="9"/>
            <color indexed="81"/>
            <rFont val="Tahoma"/>
            <family val="2"/>
          </rPr>
          <t>Orlando Arias:</t>
        </r>
        <r>
          <rPr>
            <sz val="9"/>
            <color indexed="81"/>
            <rFont val="Tahoma"/>
            <family val="2"/>
          </rPr>
          <t xml:space="preserve">
Se cambia valor debido a retencion IVA regimen simplificado.
06/04/2017 Se reduce valor a $68,425,000</t>
        </r>
      </text>
    </comment>
    <comment ref="A99" authorId="0" shapeId="0">
      <text>
        <r>
          <rPr>
            <b/>
            <sz val="9"/>
            <color indexed="81"/>
            <rFont val="Tahoma"/>
            <family val="2"/>
          </rPr>
          <t>Nubia S Zubieta:</t>
        </r>
        <r>
          <rPr>
            <sz val="9"/>
            <color indexed="81"/>
            <rFont val="Tahoma"/>
            <family val="2"/>
          </rPr>
          <t xml:space="preserve">
Se4 solicita adicionar recursos por $60.893.051, como resultado de las disminuciones presupuestales de los componentes : Adquisición de equipos y actividades de comunicación. Ver solicitud 19/01/17</t>
        </r>
      </text>
    </comment>
    <comment ref="J100" authorId="1" shapeId="0">
      <text>
        <r>
          <rPr>
            <b/>
            <sz val="9"/>
            <color indexed="81"/>
            <rFont val="Tahoma"/>
            <family val="2"/>
          </rPr>
          <t>Orlando Arias:</t>
        </r>
        <r>
          <rPr>
            <sz val="9"/>
            <color indexed="81"/>
            <rFont val="Tahoma"/>
            <family val="2"/>
          </rPr>
          <t xml:space="preserve">
16-11-2017 Adición $ 4.481.190
</t>
        </r>
      </text>
    </comment>
    <comment ref="J101" authorId="2" shapeId="0">
      <text>
        <r>
          <rPr>
            <b/>
            <sz val="9"/>
            <color indexed="81"/>
            <rFont val="Tahoma"/>
            <family val="2"/>
          </rPr>
          <t>Johanna Lucia Bustos Criales:</t>
        </r>
        <r>
          <rPr>
            <sz val="9"/>
            <color indexed="81"/>
            <rFont val="Tahoma"/>
            <family val="2"/>
          </rPr>
          <t xml:space="preserve">
14-12-2017 Adición $ 1.583.333 SE anulo CDP 15-Dic 2017</t>
        </r>
      </text>
    </comment>
    <comment ref="J102" authorId="1" shapeId="0">
      <text>
        <r>
          <rPr>
            <b/>
            <sz val="9"/>
            <color indexed="81"/>
            <rFont val="Tahoma"/>
            <family val="2"/>
          </rPr>
          <t>Orlando Arias:</t>
        </r>
        <r>
          <rPr>
            <sz val="9"/>
            <color indexed="81"/>
            <rFont val="Tahoma"/>
            <family val="2"/>
          </rPr>
          <t xml:space="preserve">
Se tramitó ante esta subdireccion por 33,760,333 el CDP sale por 33.760.336, $3 de más.
16-11-2017 Adición $ 3.246.245</t>
        </r>
      </text>
    </comment>
    <comment ref="A107" authorId="0" shapeId="0">
      <text>
        <r>
          <rPr>
            <b/>
            <sz val="9"/>
            <color indexed="81"/>
            <rFont val="Tahoma"/>
            <family val="2"/>
          </rPr>
          <t>Nubia S Zubieta:</t>
        </r>
        <r>
          <rPr>
            <sz val="9"/>
            <color indexed="81"/>
            <rFont val="Tahoma"/>
            <family val="2"/>
          </rPr>
          <t xml:space="preserve">
Se solicitó traslado de recursos a otros componentes por la suma de $108.331.217, como se evidencia en la solicitud del 19/01/17</t>
        </r>
      </text>
    </comment>
    <comment ref="B107" authorId="1" shapeId="0">
      <text>
        <r>
          <rPr>
            <b/>
            <sz val="9"/>
            <color indexed="81"/>
            <rFont val="Tahoma"/>
            <family val="2"/>
          </rPr>
          <t>Orlando Arias:</t>
        </r>
        <r>
          <rPr>
            <sz val="9"/>
            <color indexed="81"/>
            <rFont val="Tahoma"/>
            <family val="2"/>
          </rPr>
          <t xml:space="preserve">
11-05-2017 Se adicionan recursos de Personal de apoyo transversal y Fortalecimiento del SIG por $ 10.356.749</t>
        </r>
      </text>
    </comment>
    <comment ref="J108" authorId="2" shapeId="0">
      <text>
        <r>
          <rPr>
            <b/>
            <sz val="9"/>
            <color indexed="81"/>
            <rFont val="Tahoma"/>
            <family val="2"/>
          </rPr>
          <t>Johanna Lucia Bustos Criales:</t>
        </r>
        <r>
          <rPr>
            <sz val="9"/>
            <color indexed="81"/>
            <rFont val="Tahoma"/>
            <family val="2"/>
          </rPr>
          <t xml:space="preserve">
20-12-2017 adición $ 6.668.783</t>
        </r>
      </text>
    </comment>
    <comment ref="A111" authorId="0" shapeId="0">
      <text>
        <r>
          <rPr>
            <b/>
            <sz val="9"/>
            <color indexed="81"/>
            <rFont val="Tahoma"/>
            <family val="2"/>
          </rPr>
          <t>Nubia S Zubieta:</t>
        </r>
        <r>
          <rPr>
            <sz val="9"/>
            <color indexed="81"/>
            <rFont val="Tahoma"/>
            <family val="2"/>
          </rPr>
          <t xml:space="preserve">
Se solicito modificacion para trasladar recursos a otros componentes por $190.000.000
Solicitud de Corporativa 19/01/17</t>
        </r>
      </text>
    </comment>
    <comment ref="B111" authorId="1" shapeId="0">
      <text>
        <r>
          <rPr>
            <b/>
            <sz val="9"/>
            <color indexed="81"/>
            <rFont val="Tahoma"/>
            <family val="2"/>
          </rPr>
          <t>Orlando Arias:</t>
        </r>
        <r>
          <rPr>
            <sz val="9"/>
            <color indexed="81"/>
            <rFont val="Tahoma"/>
            <family val="2"/>
          </rPr>
          <t xml:space="preserve">
31/03/2017 Se reducen recursos $70.000.000= van a Apoyo transversal
20-06-2017 Se reduce valor por $49,000,000 van para Apoyo Transversal</t>
        </r>
      </text>
    </comment>
  </commentList>
</comments>
</file>

<file path=xl/comments4.xml><?xml version="1.0" encoding="utf-8"?>
<comments xmlns="http://schemas.openxmlformats.org/spreadsheetml/2006/main">
  <authors>
    <author>Orlando Arias</author>
    <author>Johanna Lucia Bustos Criales</author>
  </authors>
  <commentList>
    <comment ref="B16" authorId="0" shapeId="0">
      <text>
        <r>
          <rPr>
            <b/>
            <sz val="9"/>
            <color indexed="81"/>
            <rFont val="Tahoma"/>
            <family val="2"/>
          </rPr>
          <t>Orlando Arias:</t>
        </r>
        <r>
          <rPr>
            <sz val="9"/>
            <color indexed="81"/>
            <rFont val="Tahoma"/>
            <family val="2"/>
          </rPr>
          <t xml:space="preserve">
27/02/2017: Llegan recursos así: De planes urbanos$61,437922 y de instrumentos $28,005,000
22-11-2017 pasan del componente de planes $ 16.039.745
30-11-2017 Se trasladaron 2.228.333 de los compnentes Planes ( 1.233.333) y de Instrumentos (995.000)</t>
        </r>
      </text>
    </comment>
    <comment ref="J17" authorId="1" shapeId="0">
      <text>
        <r>
          <rPr>
            <b/>
            <sz val="9"/>
            <color indexed="81"/>
            <rFont val="Tahoma"/>
            <family val="2"/>
          </rPr>
          <t>Johanna Lucia Bustos Criales:</t>
        </r>
        <r>
          <rPr>
            <sz val="9"/>
            <color indexed="81"/>
            <rFont val="Tahoma"/>
            <family val="2"/>
          </rPr>
          <t xml:space="preserve">
27-11-2017 Adición $ 2.996.400</t>
        </r>
      </text>
    </comment>
    <comment ref="J21" authorId="0" shapeId="0">
      <text>
        <r>
          <rPr>
            <b/>
            <sz val="9"/>
            <color indexed="81"/>
            <rFont val="Tahoma"/>
            <family val="2"/>
          </rPr>
          <t>Orlando Arias:</t>
        </r>
        <r>
          <rPr>
            <sz val="9"/>
            <color indexed="81"/>
            <rFont val="Tahoma"/>
            <family val="2"/>
          </rPr>
          <t xml:space="preserve">
18-09-2017 Adición $ 9.668.267</t>
        </r>
      </text>
    </comment>
    <comment ref="J22" authorId="0" shapeId="0">
      <text>
        <r>
          <rPr>
            <b/>
            <sz val="9"/>
            <color indexed="81"/>
            <rFont val="Tahoma"/>
            <family val="2"/>
          </rPr>
          <t>Orlando Arias:</t>
        </r>
        <r>
          <rPr>
            <sz val="9"/>
            <color indexed="81"/>
            <rFont val="Tahoma"/>
            <family val="2"/>
          </rPr>
          <t xml:space="preserve">
18-09-2017 Adición $ 9.888.000</t>
        </r>
      </text>
    </comment>
    <comment ref="J23" authorId="0" shapeId="0">
      <text>
        <r>
          <rPr>
            <b/>
            <sz val="9"/>
            <color indexed="81"/>
            <rFont val="Tahoma"/>
            <family val="2"/>
          </rPr>
          <t>Orlando Arias:</t>
        </r>
        <r>
          <rPr>
            <sz val="9"/>
            <color indexed="81"/>
            <rFont val="Tahoma"/>
            <family val="2"/>
          </rPr>
          <t xml:space="preserve">
18-09-2017Adición $ 9.668.267</t>
        </r>
      </text>
    </comment>
    <comment ref="J24" authorId="0" shapeId="0">
      <text>
        <r>
          <rPr>
            <b/>
            <sz val="9"/>
            <color indexed="81"/>
            <rFont val="Tahoma"/>
            <family val="2"/>
          </rPr>
          <t>Orlando Arias:</t>
        </r>
        <r>
          <rPr>
            <sz val="9"/>
            <color indexed="81"/>
            <rFont val="Tahoma"/>
            <family val="2"/>
          </rPr>
          <t xml:space="preserve">
19-08-2017 Adición $9.118.933</t>
        </r>
      </text>
    </comment>
    <comment ref="J25" authorId="0" shapeId="0">
      <text>
        <r>
          <rPr>
            <b/>
            <sz val="9"/>
            <color indexed="81"/>
            <rFont val="Tahoma"/>
            <family val="2"/>
          </rPr>
          <t>Orlando Arias:</t>
        </r>
        <r>
          <rPr>
            <sz val="9"/>
            <color indexed="81"/>
            <rFont val="Tahoma"/>
            <family val="2"/>
          </rPr>
          <t xml:space="preserve">
Adición $ 9.888.000</t>
        </r>
      </text>
    </comment>
    <comment ref="J26" authorId="0" shapeId="0">
      <text>
        <r>
          <rPr>
            <b/>
            <sz val="9"/>
            <color indexed="81"/>
            <rFont val="Tahoma"/>
            <family val="2"/>
          </rPr>
          <t>Orlando Arias:</t>
        </r>
        <r>
          <rPr>
            <sz val="9"/>
            <color indexed="81"/>
            <rFont val="Tahoma"/>
            <family val="2"/>
          </rPr>
          <t xml:space="preserve">
19-08-2017 adición $ 9.338.667</t>
        </r>
      </text>
    </comment>
    <comment ref="J27" authorId="1" shapeId="0">
      <text>
        <r>
          <rPr>
            <b/>
            <sz val="9"/>
            <color indexed="81"/>
            <rFont val="Tahoma"/>
            <family val="2"/>
          </rPr>
          <t>Johanna Lucia Bustos Criales:</t>
        </r>
        <r>
          <rPr>
            <sz val="9"/>
            <color indexed="81"/>
            <rFont val="Tahoma"/>
            <family val="2"/>
          </rPr>
          <t xml:space="preserve">
27-11-2017 Adición $ 2.666.667</t>
        </r>
      </text>
    </comment>
    <comment ref="J28" authorId="0" shapeId="0">
      <text>
        <r>
          <rPr>
            <b/>
            <sz val="9"/>
            <color indexed="81"/>
            <rFont val="Tahoma"/>
            <family val="2"/>
          </rPr>
          <t>Orlando Arias:</t>
        </r>
        <r>
          <rPr>
            <sz val="9"/>
            <color indexed="81"/>
            <rFont val="Tahoma"/>
            <family val="2"/>
          </rPr>
          <t xml:space="preserve">
19-09-2017 Adición $ 9.888.888</t>
        </r>
      </text>
    </comment>
    <comment ref="J30" authorId="0" shapeId="0">
      <text>
        <r>
          <rPr>
            <b/>
            <sz val="9"/>
            <color indexed="81"/>
            <rFont val="Tahoma"/>
            <family val="2"/>
          </rPr>
          <t>Orlando Arias:</t>
        </r>
        <r>
          <rPr>
            <sz val="9"/>
            <color indexed="81"/>
            <rFont val="Tahoma"/>
            <family val="2"/>
          </rPr>
          <t xml:space="preserve">
14/02/2017 Se reduce valor IVA asumido, no se ha hecho en presupuesto
27-11-2017 Adición $ 1.648.000</t>
        </r>
      </text>
    </comment>
    <comment ref="J31" authorId="0" shapeId="0">
      <text>
        <r>
          <rPr>
            <b/>
            <sz val="9"/>
            <color indexed="81"/>
            <rFont val="Tahoma"/>
            <family val="2"/>
          </rPr>
          <t>Orlando Arias:</t>
        </r>
        <r>
          <rPr>
            <sz val="9"/>
            <color indexed="81"/>
            <rFont val="Tahoma"/>
            <family val="2"/>
          </rPr>
          <t xml:space="preserve">
19-09-2017 Adición $ 9.888.000</t>
        </r>
      </text>
    </comment>
    <comment ref="J32" authorId="0" shapeId="0">
      <text>
        <r>
          <rPr>
            <b/>
            <sz val="9"/>
            <color indexed="81"/>
            <rFont val="Tahoma"/>
            <family val="2"/>
          </rPr>
          <t>Orlando Arias:</t>
        </r>
        <r>
          <rPr>
            <sz val="9"/>
            <color indexed="81"/>
            <rFont val="Tahoma"/>
            <family val="2"/>
          </rPr>
          <t xml:space="preserve">
19-09-2017 Adición $7.580.800</t>
        </r>
      </text>
    </comment>
    <comment ref="J33" authorId="0" shapeId="0">
      <text>
        <r>
          <rPr>
            <b/>
            <sz val="9"/>
            <color indexed="81"/>
            <rFont val="Tahoma"/>
            <family val="2"/>
          </rPr>
          <t>Orlando Arias:</t>
        </r>
        <r>
          <rPr>
            <sz val="9"/>
            <color indexed="81"/>
            <rFont val="Tahoma"/>
            <family val="2"/>
          </rPr>
          <t xml:space="preserve">
18-09-2017 Adiciónm $ 8.459.733</t>
        </r>
      </text>
    </comment>
    <comment ref="J36" authorId="0" shapeId="0">
      <text>
        <r>
          <rPr>
            <b/>
            <sz val="9"/>
            <color indexed="81"/>
            <rFont val="Tahoma"/>
            <family val="2"/>
          </rPr>
          <t>Orlando Arias:</t>
        </r>
        <r>
          <rPr>
            <sz val="9"/>
            <color indexed="81"/>
            <rFont val="Tahoma"/>
            <family val="2"/>
          </rPr>
          <t xml:space="preserve">
14/02/2017 Se reduce valor IVA asumido, no se ha hecho en presupuesto
27-11-2017 Adición $ 2,800,000</t>
        </r>
      </text>
    </comment>
    <comment ref="J38" authorId="0" shapeId="0">
      <text>
        <r>
          <rPr>
            <b/>
            <sz val="9"/>
            <color indexed="81"/>
            <rFont val="Tahoma"/>
            <family val="2"/>
          </rPr>
          <t>Orlando Arias:</t>
        </r>
        <r>
          <rPr>
            <sz val="9"/>
            <color indexed="81"/>
            <rFont val="Tahoma"/>
            <family val="2"/>
          </rPr>
          <t xml:space="preserve">
13/02/2017 Se reduce valor debido al IVA asumido
25-08-2017  Adición $ 5.974.000</t>
        </r>
      </text>
    </comment>
    <comment ref="J39" authorId="0" shapeId="0">
      <text>
        <r>
          <rPr>
            <b/>
            <sz val="9"/>
            <color indexed="81"/>
            <rFont val="Tahoma"/>
            <family val="2"/>
          </rPr>
          <t>Orlando Arias:</t>
        </r>
        <r>
          <rPr>
            <sz val="9"/>
            <color indexed="81"/>
            <rFont val="Tahoma"/>
            <family val="2"/>
          </rPr>
          <t xml:space="preserve">
13/02/2017 Se reduce debido al IVA asumido</t>
        </r>
      </text>
    </comment>
    <comment ref="J44" authorId="0" shapeId="0">
      <text>
        <r>
          <rPr>
            <b/>
            <sz val="9"/>
            <color indexed="81"/>
            <rFont val="Tahoma"/>
            <family val="2"/>
          </rPr>
          <t>Orlando Arias:</t>
        </r>
        <r>
          <rPr>
            <sz val="9"/>
            <color indexed="81"/>
            <rFont val="Tahoma"/>
            <family val="2"/>
          </rPr>
          <t xml:space="preserve">
05-09-2017 Adición $ 6,500,000
03-11-2017 Adición $ 7.800.000</t>
        </r>
      </text>
    </comment>
    <comment ref="J47" authorId="0" shapeId="0">
      <text>
        <r>
          <rPr>
            <b/>
            <sz val="9"/>
            <color indexed="81"/>
            <rFont val="Tahoma"/>
            <family val="2"/>
          </rPr>
          <t>Orlando Arias:</t>
        </r>
        <r>
          <rPr>
            <sz val="9"/>
            <color indexed="81"/>
            <rFont val="Tahoma"/>
            <family val="2"/>
          </rPr>
          <t xml:space="preserve">
31/03/2017 Se reduce valor $45,933,333
30-11-2017 Adición $ 3.533.333</t>
        </r>
      </text>
    </comment>
    <comment ref="J48" authorId="0" shapeId="0">
      <text>
        <r>
          <rPr>
            <b/>
            <sz val="9"/>
            <color indexed="81"/>
            <rFont val="Tahoma"/>
            <family val="2"/>
          </rPr>
          <t>Orlando Arias:</t>
        </r>
        <r>
          <rPr>
            <sz val="9"/>
            <color indexed="81"/>
            <rFont val="Tahoma"/>
            <family val="2"/>
          </rPr>
          <t xml:space="preserve">
02/05/2017. Se reduce el valor $23,100,000= Falta reducir el CDP 
05-09-2017 Adición $ 8.250.000</t>
        </r>
      </text>
    </comment>
    <comment ref="J49" authorId="0" shapeId="0">
      <text>
        <r>
          <rPr>
            <b/>
            <sz val="9"/>
            <color indexed="81"/>
            <rFont val="Tahoma"/>
            <family val="2"/>
          </rPr>
          <t>Orlando Arias:</t>
        </r>
        <r>
          <rPr>
            <sz val="9"/>
            <color indexed="81"/>
            <rFont val="Tahoma"/>
            <family val="2"/>
          </rPr>
          <t xml:space="preserve">
01-11-2017 Adición $ 11.050.000</t>
        </r>
      </text>
    </comment>
    <comment ref="J50" authorId="0" shapeId="0">
      <text>
        <r>
          <rPr>
            <b/>
            <sz val="9"/>
            <color indexed="81"/>
            <rFont val="Tahoma"/>
            <family val="2"/>
          </rPr>
          <t>Orlando Arias:</t>
        </r>
        <r>
          <rPr>
            <sz val="9"/>
            <color indexed="81"/>
            <rFont val="Tahoma"/>
            <family val="2"/>
          </rPr>
          <t xml:space="preserve">
27-04-17 Se solicita reducir el valor a $56.000.000</t>
        </r>
      </text>
    </comment>
    <comment ref="J52" authorId="0" shapeId="0">
      <text>
        <r>
          <rPr>
            <b/>
            <sz val="9"/>
            <color indexed="81"/>
            <rFont val="Tahoma"/>
            <family val="2"/>
          </rPr>
          <t>Orlando Arias:</t>
        </r>
        <r>
          <rPr>
            <sz val="9"/>
            <color indexed="81"/>
            <rFont val="Tahoma"/>
            <family val="2"/>
          </rPr>
          <t xml:space="preserve">
SE cambia el valor de la viabilidad de $26.250.000 a 25.666.667</t>
        </r>
      </text>
    </comment>
    <comment ref="J53" authorId="0" shapeId="0">
      <text>
        <r>
          <rPr>
            <b/>
            <sz val="9"/>
            <color indexed="81"/>
            <rFont val="Tahoma"/>
            <family val="2"/>
          </rPr>
          <t>Orlando Arias:</t>
        </r>
        <r>
          <rPr>
            <sz val="9"/>
            <color indexed="81"/>
            <rFont val="Tahoma"/>
            <family val="2"/>
          </rPr>
          <t xml:space="preserve">
19-09-2017 Adición $ 4.284.800</t>
        </r>
      </text>
    </comment>
    <comment ref="J54" authorId="0" shapeId="0">
      <text>
        <r>
          <rPr>
            <b/>
            <sz val="9"/>
            <color indexed="81"/>
            <rFont val="Tahoma"/>
            <family val="2"/>
          </rPr>
          <t>Orlando Arias:</t>
        </r>
        <r>
          <rPr>
            <sz val="9"/>
            <color indexed="81"/>
            <rFont val="Tahoma"/>
            <family val="2"/>
          </rPr>
          <t xml:space="preserve">
19-09-2017 Adición $ 4.284.800</t>
        </r>
      </text>
    </comment>
    <comment ref="J55" authorId="0" shapeId="0">
      <text>
        <r>
          <rPr>
            <b/>
            <sz val="9"/>
            <color indexed="81"/>
            <rFont val="Tahoma"/>
            <family val="2"/>
          </rPr>
          <t>Orlando Arias:</t>
        </r>
        <r>
          <rPr>
            <sz val="9"/>
            <color indexed="81"/>
            <rFont val="Tahoma"/>
            <family val="2"/>
          </rPr>
          <t xml:space="preserve">
18-09-2017 Adicicón $ 3.296.000
</t>
        </r>
      </text>
    </comment>
    <comment ref="J56" authorId="1" shapeId="0">
      <text>
        <r>
          <rPr>
            <b/>
            <sz val="9"/>
            <color indexed="81"/>
            <rFont val="Tahoma"/>
            <family val="2"/>
          </rPr>
          <t>Johanna Lucia Bustos Criales:</t>
        </r>
        <r>
          <rPr>
            <sz val="9"/>
            <color indexed="81"/>
            <rFont val="Tahoma"/>
            <family val="2"/>
          </rPr>
          <t xml:space="preserve">
27-11-2017 Adición $ 1.445.658</t>
        </r>
      </text>
    </comment>
    <comment ref="B68" authorId="0" shapeId="0">
      <text>
        <r>
          <rPr>
            <b/>
            <sz val="9"/>
            <color indexed="81"/>
            <rFont val="Tahoma"/>
            <family val="2"/>
          </rPr>
          <t>Orlando Arias:</t>
        </r>
        <r>
          <rPr>
            <sz val="9"/>
            <color indexed="81"/>
            <rFont val="Tahoma"/>
            <family val="2"/>
          </rPr>
          <t xml:space="preserve">
27/02/2017: Se reduce en $61,437,922, van al PEMP
22-11-2017 $ 16.039.745 van al componente PEMP, ya se cumplio meta de planes.
30-11-2017 se trasladan $ 1.233.333 al componente PEMP</t>
        </r>
      </text>
    </comment>
    <comment ref="J69" authorId="0" shapeId="0">
      <text>
        <r>
          <rPr>
            <b/>
            <sz val="9"/>
            <color indexed="81"/>
            <rFont val="Tahoma"/>
            <family val="2"/>
          </rPr>
          <t>Orlando Arias:</t>
        </r>
        <r>
          <rPr>
            <sz val="9"/>
            <color indexed="81"/>
            <rFont val="Tahoma"/>
            <family val="2"/>
          </rPr>
          <t xml:space="preserve">
13/02/2017 Se reduce valor IVA asumido, no se ha hecho en presupuesto</t>
        </r>
      </text>
    </comment>
    <comment ref="J70" authorId="0" shapeId="0">
      <text>
        <r>
          <rPr>
            <b/>
            <sz val="9"/>
            <color indexed="81"/>
            <rFont val="Tahoma"/>
            <family val="2"/>
          </rPr>
          <t>Orlando Arias:</t>
        </r>
        <r>
          <rPr>
            <sz val="9"/>
            <color indexed="81"/>
            <rFont val="Tahoma"/>
            <family val="2"/>
          </rPr>
          <t xml:space="preserve">
14/02/2017 Se reduce valor IVA asumido, no se ha hecho en presupuesto</t>
        </r>
      </text>
    </comment>
    <comment ref="B75" authorId="0" shapeId="0">
      <text>
        <r>
          <rPr>
            <b/>
            <sz val="9"/>
            <color indexed="81"/>
            <rFont val="Tahoma"/>
            <family val="2"/>
          </rPr>
          <t>Orlando Arias:</t>
        </r>
        <r>
          <rPr>
            <sz val="9"/>
            <color indexed="81"/>
            <rFont val="Tahoma"/>
            <family val="2"/>
          </rPr>
          <t xml:space="preserve">
27/02/2017 Se reduce en $28,005,000, van a PEMP
30-11-2017 se trasladan $ 995.000 al componente PEMP</t>
        </r>
      </text>
    </comment>
  </commentList>
</comments>
</file>

<file path=xl/comments5.xml><?xml version="1.0" encoding="utf-8"?>
<comments xmlns="http://schemas.openxmlformats.org/spreadsheetml/2006/main">
  <authors>
    <author>Johanna Lucia Bustos Criales</author>
    <author>Orlando Arias</author>
  </authors>
  <commentList>
    <comment ref="B17" authorId="0" shapeId="0">
      <text>
        <r>
          <rPr>
            <b/>
            <sz val="9"/>
            <color indexed="81"/>
            <rFont val="Tahoma"/>
            <family val="2"/>
          </rPr>
          <t>Johanna Lucia Bustos Criales:</t>
        </r>
        <r>
          <rPr>
            <sz val="9"/>
            <color indexed="81"/>
            <rFont val="Tahoma"/>
            <family val="2"/>
          </rPr>
          <t xml:space="preserve">
30-11-2017 Solicitud de modificación componentes $ 10,242,809, pasan al componente BIC Voto Nacional</t>
        </r>
      </text>
    </comment>
    <comment ref="B23" authorId="1" shapeId="0">
      <text>
        <r>
          <rPr>
            <b/>
            <sz val="9"/>
            <color indexed="81"/>
            <rFont val="Tahoma"/>
            <family val="2"/>
          </rPr>
          <t>Orlando Arias:</t>
        </r>
        <r>
          <rPr>
            <sz val="9"/>
            <color indexed="81"/>
            <rFont val="Tahoma"/>
            <family val="2"/>
          </rPr>
          <t xml:space="preserve">
 Mincultura distribución preliminar descontando el 3%, sería de $1.435.263.507 Correo Pacho 07/12/2016aproximadamente.</t>
        </r>
      </text>
    </comment>
    <comment ref="J25" authorId="0" shapeId="0">
      <text>
        <r>
          <rPr>
            <b/>
            <sz val="9"/>
            <color indexed="81"/>
            <rFont val="Tahoma"/>
            <family val="2"/>
          </rPr>
          <t>Johanna Lucia Bustos Criales:</t>
        </r>
        <r>
          <rPr>
            <sz val="9"/>
            <color indexed="81"/>
            <rFont val="Tahoma"/>
            <family val="2"/>
          </rPr>
          <t xml:space="preserve">
El valor del CDP se expedira por el valor de la diferencia entre lo solicitado para la obra ($1,437,633,365)  y lo aprobado por el Ministerio ($1.437.633.635).</t>
        </r>
      </text>
    </comment>
    <comment ref="B27" authorId="1" shapeId="0">
      <text>
        <r>
          <rPr>
            <b/>
            <sz val="9"/>
            <color indexed="81"/>
            <rFont val="Tahoma"/>
            <family val="2"/>
          </rPr>
          <t>Orlando Arias:</t>
        </r>
        <r>
          <rPr>
            <sz val="9"/>
            <color indexed="81"/>
            <rFont val="Tahoma"/>
            <family val="2"/>
          </rPr>
          <t xml:space="preserve">
01/03/2017 Se tren estos recurso de Catedral Primada</t>
        </r>
      </text>
    </comment>
    <comment ref="B30" authorId="1" shapeId="0">
      <text>
        <r>
          <rPr>
            <b/>
            <sz val="9"/>
            <color indexed="81"/>
            <rFont val="Tahoma"/>
            <family val="2"/>
          </rPr>
          <t>Orlando Arias:</t>
        </r>
        <r>
          <rPr>
            <sz val="9"/>
            <color indexed="81"/>
            <rFont val="Tahoma"/>
            <family val="2"/>
          </rPr>
          <t xml:space="preserve">
01/03/2017 Se reduce $520839026, van al programa fachadas.
07/04/2017 Se reduce $11,116,148= Pasan a Chorro de Quevedo
30-06-2017: se rewduce el valor en $ 52.480.771 y pasan al componente Asesoría Técnica.
10-07-2017. Se reduce en $107.675.055 y estos recursos van para el componente BIC - Apoyo Transversal)
</t>
        </r>
      </text>
    </comment>
    <comment ref="B33" authorId="1" shapeId="0">
      <text>
        <r>
          <rPr>
            <b/>
            <sz val="9"/>
            <color indexed="81"/>
            <rFont val="Tahoma"/>
            <family val="2"/>
          </rPr>
          <t>Orlando Arias:</t>
        </r>
        <r>
          <rPr>
            <sz val="9"/>
            <color indexed="81"/>
            <rFont val="Tahoma"/>
            <family val="2"/>
          </rPr>
          <t xml:space="preserve">
30-06-2017: Se reduce valor en $ 381.742.303 van para el componente Voto Nacional.</t>
        </r>
      </text>
    </comment>
    <comment ref="B36" authorId="1" shapeId="0">
      <text>
        <r>
          <rPr>
            <b/>
            <sz val="9"/>
            <color indexed="81"/>
            <rFont val="Tahoma"/>
            <family val="2"/>
          </rPr>
          <t>Orlando Arias:</t>
        </r>
        <r>
          <rPr>
            <sz val="9"/>
            <color indexed="81"/>
            <rFont val="Tahoma"/>
            <family val="2"/>
          </rPr>
          <t xml:space="preserve">
30-06-2017: se reduce el valor en $ 321.000.000 y se trasladan a compnente de Asesoría Técnica para la Protección
0-11-2017 traslado entre componentes $ 362.000 pasan de apoyo transversal</t>
        </r>
      </text>
    </comment>
    <comment ref="J39" authorId="1" shapeId="0">
      <text>
        <r>
          <rPr>
            <b/>
            <sz val="9"/>
            <color indexed="81"/>
            <rFont val="Tahoma"/>
            <family val="2"/>
          </rPr>
          <t>Orlando Arias:</t>
        </r>
        <r>
          <rPr>
            <sz val="9"/>
            <color indexed="81"/>
            <rFont val="Tahoma"/>
            <family val="2"/>
          </rPr>
          <t xml:space="preserve">
28-09-2017 Adición $ 2.000.000</t>
        </r>
      </text>
    </comment>
    <comment ref="A46" authorId="1" shapeId="0">
      <text>
        <r>
          <rPr>
            <b/>
            <sz val="9"/>
            <color indexed="81"/>
            <rFont val="Tahoma"/>
            <family val="2"/>
          </rPr>
          <t>Orlando Arias:</t>
        </r>
        <r>
          <rPr>
            <sz val="9"/>
            <color indexed="81"/>
            <rFont val="Tahoma"/>
            <family val="2"/>
          </rPr>
          <t xml:space="preserve">
IDARTES: $2.287.222.806
IPES $ 1.300.000.000</t>
        </r>
      </text>
    </comment>
    <comment ref="I47" authorId="1" shapeId="0">
      <text>
        <r>
          <rPr>
            <b/>
            <sz val="12"/>
            <color indexed="81"/>
            <rFont val="Tahoma"/>
            <family val="2"/>
          </rPr>
          <t>Orlando Arias:</t>
        </r>
        <r>
          <rPr>
            <sz val="12"/>
            <color indexed="81"/>
            <rFont val="Tahoma"/>
            <family val="2"/>
          </rPr>
          <t xml:space="preserve">
Se anula CDP 327 mediante Resolución 0539 de 10 de agosto de 2017 Modificación</t>
        </r>
      </text>
    </comment>
    <comment ref="K47" authorId="1" shapeId="0">
      <text>
        <r>
          <rPr>
            <b/>
            <sz val="9"/>
            <color indexed="81"/>
            <rFont val="Tahoma"/>
            <family val="2"/>
          </rPr>
          <t>Orlando Arias:</t>
        </r>
        <r>
          <rPr>
            <sz val="9"/>
            <color indexed="81"/>
            <rFont val="Tahoma"/>
            <family val="2"/>
          </rPr>
          <t xml:space="preserve">
Se anula CRP 525 mediante Resolución 0539 de 10 de agosto de 2017 Modificación</t>
        </r>
      </text>
    </comment>
    <comment ref="I48" authorId="1" shapeId="0">
      <text>
        <r>
          <rPr>
            <b/>
            <sz val="9"/>
            <color indexed="81"/>
            <rFont val="Tahoma"/>
            <family val="2"/>
          </rPr>
          <t>Orlando Arias:</t>
        </r>
        <r>
          <rPr>
            <sz val="9"/>
            <color indexed="81"/>
            <rFont val="Tahoma"/>
            <family val="2"/>
          </rPr>
          <t xml:space="preserve">
Se anula CDP 328 mediante Resolución 0539 de 10 de agosto de 2017 Modificación</t>
        </r>
      </text>
    </comment>
    <comment ref="K48" authorId="1" shapeId="0">
      <text>
        <r>
          <rPr>
            <b/>
            <sz val="9"/>
            <color indexed="81"/>
            <rFont val="Tahoma"/>
            <family val="2"/>
          </rPr>
          <t>Orlando Arias:</t>
        </r>
        <r>
          <rPr>
            <sz val="9"/>
            <color indexed="81"/>
            <rFont val="Tahoma"/>
            <family val="2"/>
          </rPr>
          <t xml:space="preserve">
Se anula CRP 529 mediante Resolución 0539 de 10 de agosto de 2017 Modificación</t>
        </r>
      </text>
    </comment>
    <comment ref="H49" authorId="0" shapeId="0">
      <text>
        <r>
          <rPr>
            <b/>
            <sz val="9"/>
            <color indexed="81"/>
            <rFont val="Tahoma"/>
            <family val="2"/>
          </rPr>
          <t>Johanna Lucia Bustos Criales:</t>
        </r>
        <r>
          <rPr>
            <sz val="9"/>
            <color indexed="81"/>
            <rFont val="Tahoma"/>
            <family val="2"/>
          </rPr>
          <t xml:space="preserve">
La licitación del proceso 509 quedó desierto, por lo que fue necesario subir un nuevo proceso, quedó el mismo objeto y cambió la modalidad de selección, se dejo el mismo CDP</t>
        </r>
      </text>
    </comment>
    <comment ref="J49" authorId="1" shapeId="0">
      <text>
        <r>
          <rPr>
            <b/>
            <sz val="9"/>
            <color indexed="81"/>
            <rFont val="Tahoma"/>
            <family val="2"/>
          </rPr>
          <t>Orlando Arias:</t>
        </r>
        <r>
          <rPr>
            <sz val="9"/>
            <color indexed="81"/>
            <rFont val="Tahoma"/>
            <family val="2"/>
          </rPr>
          <t xml:space="preserve">
Convenio 409 de 2016 $ 1,155,038,109</t>
        </r>
      </text>
    </comment>
    <comment ref="B50" authorId="1" shapeId="0">
      <text>
        <r>
          <rPr>
            <b/>
            <sz val="9"/>
            <color indexed="81"/>
            <rFont val="Tahoma"/>
            <family val="2"/>
          </rPr>
          <t>Orlando Arias:</t>
        </r>
        <r>
          <rPr>
            <sz val="9"/>
            <color indexed="81"/>
            <rFont val="Tahoma"/>
            <family val="2"/>
          </rPr>
          <t xml:space="preserve">
IPES $ 144.955.633</t>
        </r>
      </text>
    </comment>
    <comment ref="B52" authorId="1" shapeId="0">
      <text>
        <r>
          <rPr>
            <b/>
            <sz val="9"/>
            <color indexed="81"/>
            <rFont val="Tahoma"/>
            <family val="2"/>
          </rPr>
          <t>Orlando Arias:</t>
        </r>
        <r>
          <rPr>
            <sz val="9"/>
            <color indexed="81"/>
            <rFont val="Tahoma"/>
            <family val="2"/>
          </rPr>
          <t xml:space="preserve">
Adicoión convenio 1048 de 2017</t>
        </r>
      </text>
    </comment>
    <comment ref="H53" authorId="0" shapeId="0">
      <text>
        <r>
          <rPr>
            <b/>
            <sz val="9"/>
            <color indexed="81"/>
            <rFont val="Tahoma"/>
            <family val="2"/>
          </rPr>
          <t>Johanna Lucia Bustos Criales:</t>
        </r>
        <r>
          <rPr>
            <sz val="9"/>
            <color indexed="81"/>
            <rFont val="Tahoma"/>
            <family val="2"/>
          </rPr>
          <t xml:space="preserve">
La licitación del proceso 509 quedó desierto, por lo que fue necesario subir un nuevo proceso, quedó el mismo objeto y cambió la modalidad de selección, se dejo el mismo CDP</t>
        </r>
      </text>
    </comment>
    <comment ref="J53" authorId="1" shapeId="0">
      <text>
        <r>
          <rPr>
            <b/>
            <sz val="9"/>
            <color indexed="81"/>
            <rFont val="Tahoma"/>
            <family val="2"/>
          </rPr>
          <t>Orlando Arias:</t>
        </r>
        <r>
          <rPr>
            <sz val="9"/>
            <color indexed="81"/>
            <rFont val="Tahoma"/>
            <family val="2"/>
          </rPr>
          <t xml:space="preserve">
Convenio 1048 de 2017</t>
        </r>
      </text>
    </comment>
    <comment ref="B57" authorId="1" shapeId="0">
      <text>
        <r>
          <rPr>
            <b/>
            <sz val="9"/>
            <color indexed="81"/>
            <rFont val="Tahoma"/>
            <family val="2"/>
          </rPr>
          <t>Orlando Arias:</t>
        </r>
        <r>
          <rPr>
            <sz val="9"/>
            <color indexed="81"/>
            <rFont val="Tahoma"/>
            <family val="2"/>
          </rPr>
          <t xml:space="preserve">
$ 35,750,548 Contrato OPS Adriana Gonzalez
$ 130,000,000 Adición Obra Convenio $ 518-2012</t>
        </r>
      </text>
    </comment>
    <comment ref="B60" authorId="1" shapeId="0">
      <text>
        <r>
          <rPr>
            <b/>
            <sz val="9"/>
            <color indexed="81"/>
            <rFont val="Tahoma"/>
            <family val="2"/>
          </rPr>
          <t>Orlando Arias:</t>
        </r>
        <r>
          <rPr>
            <sz val="9"/>
            <color indexed="81"/>
            <rFont val="Tahoma"/>
            <family val="2"/>
          </rPr>
          <t xml:space="preserve">
Adición contrato Adriana Gonzalez</t>
        </r>
      </text>
    </comment>
    <comment ref="J60" authorId="1" shapeId="0">
      <text>
        <r>
          <rPr>
            <b/>
            <sz val="9"/>
            <color indexed="81"/>
            <rFont val="Tahoma"/>
            <family val="2"/>
          </rPr>
          <t xml:space="preserve">Johanna Bustos:
</t>
        </r>
        <r>
          <rPr>
            <sz val="9"/>
            <color indexed="81"/>
            <rFont val="Tahoma"/>
            <family val="2"/>
          </rPr>
          <t>26-09-2017 Adición contrato Nº 252 de 2017</t>
        </r>
      </text>
    </comment>
    <comment ref="A67" authorId="1" shapeId="0">
      <text>
        <r>
          <rPr>
            <b/>
            <sz val="9"/>
            <color indexed="81"/>
            <rFont val="Tahoma"/>
            <family val="2"/>
          </rPr>
          <t>Orlando Arias:</t>
        </r>
        <r>
          <rPr>
            <sz val="9"/>
            <color indexed="81"/>
            <rFont val="Tahoma"/>
            <family val="2"/>
          </rPr>
          <t xml:space="preserve">
Secretaria de Gobierno $ 5.451.862
IDT $ 23.563
IPES $234.008
IDARTES $65
FDL Candelaria $ 214.677.973</t>
        </r>
      </text>
    </comment>
    <comment ref="B68" authorId="1" shapeId="0">
      <text>
        <r>
          <rPr>
            <b/>
            <sz val="9"/>
            <color indexed="81"/>
            <rFont val="Tahoma"/>
            <family val="2"/>
          </rPr>
          <t>Orlando Arias:</t>
        </r>
        <r>
          <rPr>
            <sz val="9"/>
            <color indexed="81"/>
            <rFont val="Tahoma"/>
            <family val="2"/>
          </rPr>
          <t xml:space="preserve">
FDL $ 17,313,220
IPES $ 234.008
IDARTES $ 65</t>
        </r>
      </text>
    </comment>
    <comment ref="J68" authorId="1" shapeId="0">
      <text>
        <r>
          <rPr>
            <b/>
            <sz val="9"/>
            <color indexed="81"/>
            <rFont val="Tahoma"/>
            <family val="2"/>
          </rPr>
          <t>Orlando Arias:</t>
        </r>
        <r>
          <rPr>
            <sz val="9"/>
            <color indexed="81"/>
            <rFont val="Tahoma"/>
            <family val="2"/>
          </rPr>
          <t xml:space="preserve">
La viabilidad se expidió por $ 17.545.293 y cambiaron el valor
</t>
        </r>
      </text>
    </comment>
    <comment ref="J69" authorId="1" shapeId="0">
      <text>
        <r>
          <rPr>
            <b/>
            <sz val="9"/>
            <color indexed="81"/>
            <rFont val="Tahoma"/>
            <family val="2"/>
          </rPr>
          <t>Orlando Arias:</t>
        </r>
      </text>
    </comment>
    <comment ref="J71" authorId="1" shapeId="0">
      <text>
        <r>
          <rPr>
            <b/>
            <sz val="9"/>
            <color indexed="81"/>
            <rFont val="Tahoma"/>
            <family val="2"/>
          </rPr>
          <t>Orlando Arias:</t>
        </r>
        <r>
          <rPr>
            <sz val="9"/>
            <color indexed="81"/>
            <rFont val="Tahoma"/>
            <family val="2"/>
          </rPr>
          <t xml:space="preserve">
Pago ARL Adriana Gozalez</t>
        </r>
      </text>
    </comment>
    <comment ref="A73" authorId="1" shapeId="0">
      <text>
        <r>
          <rPr>
            <b/>
            <sz val="9"/>
            <color indexed="81"/>
            <rFont val="Tahoma"/>
            <family val="2"/>
          </rPr>
          <t>Orlando Arias:</t>
        </r>
        <r>
          <rPr>
            <sz val="9"/>
            <color indexed="81"/>
            <rFont val="Tahoma"/>
            <family val="2"/>
          </rPr>
          <t xml:space="preserve">
Concejo OBRA $32.070.167 (de este valor salio el contrat de $27,000,000)
Concejo Obra Pictórica fase 3 $ 125.293.665</t>
        </r>
      </text>
    </comment>
    <comment ref="B74" authorId="1" shapeId="0">
      <text>
        <r>
          <rPr>
            <b/>
            <sz val="9"/>
            <color indexed="81"/>
            <rFont val="Tahoma"/>
            <family val="2"/>
          </rPr>
          <t>Orlando Arias:</t>
        </r>
        <r>
          <rPr>
            <sz val="9"/>
            <color indexed="81"/>
            <rFont val="Tahoma"/>
            <family val="2"/>
          </rPr>
          <t xml:space="preserve">
Contrata OPS Adriana GOnzalez</t>
        </r>
      </text>
    </comment>
    <comment ref="J74" authorId="1" shapeId="0">
      <text>
        <r>
          <rPr>
            <b/>
            <sz val="9"/>
            <color indexed="81"/>
            <rFont val="Tahoma"/>
            <family val="2"/>
          </rPr>
          <t>Orlando Arias:</t>
        </r>
        <r>
          <rPr>
            <sz val="9"/>
            <color indexed="81"/>
            <rFont val="Tahoma"/>
            <family val="2"/>
          </rPr>
          <t xml:space="preserve">
26-05-2017
Adición contrato Nº 252 de 2017</t>
        </r>
      </text>
    </comment>
    <comment ref="B79" authorId="0" shapeId="0">
      <text>
        <r>
          <rPr>
            <b/>
            <sz val="9"/>
            <color indexed="81"/>
            <rFont val="Tahoma"/>
            <family val="2"/>
          </rPr>
          <t>Johanna Lucia Bustos Criales:</t>
        </r>
        <r>
          <rPr>
            <sz val="9"/>
            <color indexed="81"/>
            <rFont val="Tahoma"/>
            <family val="2"/>
          </rPr>
          <t xml:space="preserve">
30-11-2017 Solicitud de modificación pasan $ 10.242.809 de Sede Principal.</t>
        </r>
      </text>
    </comment>
    <comment ref="J84" authorId="1" shapeId="0">
      <text>
        <r>
          <rPr>
            <b/>
            <sz val="9"/>
            <color indexed="81"/>
            <rFont val="Tahoma"/>
            <family val="2"/>
          </rPr>
          <t>Orlando Arias:</t>
        </r>
        <r>
          <rPr>
            <sz val="9"/>
            <color indexed="81"/>
            <rFont val="Tahoma"/>
            <family val="2"/>
          </rPr>
          <t xml:space="preserve">
25-09-2017 Adición contrato de obra Nº 299-2016 $ 81.000.000</t>
        </r>
      </text>
    </comment>
    <comment ref="B87" authorId="1" shapeId="0">
      <text>
        <r>
          <rPr>
            <b/>
            <sz val="9"/>
            <color indexed="81"/>
            <rFont val="Tahoma"/>
            <family val="2"/>
          </rPr>
          <t>Johanna Bustos:</t>
        </r>
        <r>
          <rPr>
            <sz val="9"/>
            <color indexed="81"/>
            <rFont val="Tahoma"/>
            <family val="2"/>
          </rPr>
          <t xml:space="preserve">
14-09-2017 Traslado de concepto de gasto - Componente asesoría Tecnica por $ 79.000.000</t>
        </r>
      </text>
    </comment>
    <comment ref="J88" authorId="1" shapeId="0">
      <text>
        <r>
          <rPr>
            <b/>
            <sz val="9"/>
            <color indexed="81"/>
            <rFont val="Tahoma"/>
            <family val="2"/>
          </rPr>
          <t>Orlando Arias:</t>
        </r>
        <r>
          <rPr>
            <sz val="9"/>
            <color indexed="81"/>
            <rFont val="Tahoma"/>
            <family val="2"/>
          </rPr>
          <t xml:space="preserve">
Adición contrato de obra Nº 299 de 2016. 25-09-2017 $ 78,000,000</t>
        </r>
      </text>
    </comment>
    <comment ref="B90" authorId="1" shapeId="0">
      <text>
        <r>
          <rPr>
            <b/>
            <sz val="9"/>
            <color indexed="81"/>
            <rFont val="Tahoma"/>
            <family val="2"/>
          </rPr>
          <t>Orlando Arias:</t>
        </r>
        <r>
          <rPr>
            <sz val="9"/>
            <color indexed="81"/>
            <rFont val="Tahoma"/>
            <family val="2"/>
          </rPr>
          <t xml:space="preserve">
01/03/2017 Se reduce en $117,102,404 van a asesoria tecnica
10-07-2017 Se trasladaron $ 107.675.055 del componente BIC Plaza santamaría
14-09-2017 Traslado de concepto de gasto - Componente asesoría Tecnica por $ 15.000.000
10-11-2017 Traslado entre conceptos de gasto % 85.000.000 viene de Asesoría
10-11-2017 traslado entre componentes $ 362.000 pasan a BIC Catedral Primada
30-11-2017 Solicitud de Modificacción por $ 6.784.029  vienen del  componente Fachadas</t>
        </r>
      </text>
    </comment>
    <comment ref="J94" authorId="0" shapeId="0">
      <text>
        <r>
          <rPr>
            <b/>
            <sz val="9"/>
            <color indexed="81"/>
            <rFont val="Tahoma"/>
            <family val="2"/>
          </rPr>
          <t>Johanna Lucia Bustos Criales:</t>
        </r>
        <r>
          <rPr>
            <sz val="9"/>
            <color indexed="81"/>
            <rFont val="Tahoma"/>
            <family val="2"/>
          </rPr>
          <t xml:space="preserve">
20-11-2017 Adición $ 8.433.333</t>
        </r>
      </text>
    </comment>
    <comment ref="J96" authorId="0" shapeId="0">
      <text>
        <r>
          <rPr>
            <b/>
            <sz val="9"/>
            <color indexed="81"/>
            <rFont val="Tahoma"/>
            <family val="2"/>
          </rPr>
          <t>Johanna Lucia Bustos Criales:</t>
        </r>
        <r>
          <rPr>
            <sz val="9"/>
            <color indexed="81"/>
            <rFont val="Tahoma"/>
            <family val="2"/>
          </rPr>
          <t xml:space="preserve">
01-12-2017 Adición $10.113.333</t>
        </r>
      </text>
    </comment>
    <comment ref="J97" authorId="1" shapeId="0">
      <text>
        <r>
          <rPr>
            <b/>
            <sz val="9"/>
            <color indexed="81"/>
            <rFont val="Tahoma"/>
            <family val="2"/>
          </rPr>
          <t>Orlando Arias:</t>
        </r>
        <r>
          <rPr>
            <sz val="9"/>
            <color indexed="81"/>
            <rFont val="Tahoma"/>
            <family val="2"/>
          </rPr>
          <t xml:space="preserve">
Se modificó debido a la retención de IVA a regimen simplificado
08-11-2017 Adición $ 18.000.000</t>
        </r>
      </text>
    </comment>
    <comment ref="J98" authorId="0" shapeId="0">
      <text>
        <r>
          <rPr>
            <b/>
            <sz val="9"/>
            <color indexed="81"/>
            <rFont val="Tahoma"/>
            <family val="2"/>
          </rPr>
          <t>Johanna Lucia Bustos Criales:</t>
        </r>
        <r>
          <rPr>
            <sz val="9"/>
            <color indexed="81"/>
            <rFont val="Tahoma"/>
            <family val="2"/>
          </rPr>
          <t xml:space="preserve">
12-12-2017 Adición $ 2,695,739</t>
        </r>
      </text>
    </comment>
    <comment ref="J100" authorId="1" shapeId="0">
      <text>
        <r>
          <rPr>
            <b/>
            <sz val="9"/>
            <color indexed="81"/>
            <rFont val="Tahoma"/>
            <family val="2"/>
          </rPr>
          <t>Orlando Arias:</t>
        </r>
        <r>
          <rPr>
            <sz val="9"/>
            <color indexed="81"/>
            <rFont val="Tahoma"/>
            <family val="2"/>
          </rPr>
          <t xml:space="preserve">
Adición $ 2.240.000 Contrato Nº 164 de 2017</t>
        </r>
      </text>
    </comment>
    <comment ref="J101" authorId="0" shapeId="0">
      <text>
        <r>
          <rPr>
            <b/>
            <sz val="9"/>
            <color indexed="81"/>
            <rFont val="Tahoma"/>
            <family val="2"/>
          </rPr>
          <t>Johanna Lucia Bustos Criales:</t>
        </r>
        <r>
          <rPr>
            <sz val="9"/>
            <color indexed="81"/>
            <rFont val="Tahoma"/>
            <family val="2"/>
          </rPr>
          <t xml:space="preserve">
22-11-2017 ADICIÓN  3.358.220</t>
        </r>
      </text>
    </comment>
    <comment ref="J103" authorId="1" shapeId="0">
      <text>
        <r>
          <rPr>
            <b/>
            <sz val="9"/>
            <color indexed="81"/>
            <rFont val="Tahoma"/>
            <family val="2"/>
          </rPr>
          <t>Orlando Arias:</t>
        </r>
        <r>
          <rPr>
            <sz val="9"/>
            <color indexed="81"/>
            <rFont val="Tahoma"/>
            <family val="2"/>
          </rPr>
          <t xml:space="preserve">
24/03/2017 Se reduce el valor a$38.624.998 cambia el plazo
22-11-2017 Adición $ 5.431.641</t>
        </r>
      </text>
    </comment>
    <comment ref="J104" authorId="0" shapeId="0">
      <text>
        <r>
          <rPr>
            <b/>
            <sz val="9"/>
            <color indexed="81"/>
            <rFont val="Tahoma"/>
            <family val="2"/>
          </rPr>
          <t>Johanna Lucia Bustos Criales:</t>
        </r>
        <r>
          <rPr>
            <sz val="9"/>
            <color indexed="81"/>
            <rFont val="Tahoma"/>
            <family val="2"/>
          </rPr>
          <t xml:space="preserve">
22-11-2017 Adición $ 3.713.150</t>
        </r>
      </text>
    </comment>
    <comment ref="J106" authorId="0" shapeId="0">
      <text>
        <r>
          <rPr>
            <b/>
            <sz val="9"/>
            <color indexed="81"/>
            <rFont val="Tahoma"/>
            <family val="2"/>
          </rPr>
          <t>Johanna Lucia Bustos Criales:</t>
        </r>
        <r>
          <rPr>
            <sz val="9"/>
            <color indexed="81"/>
            <rFont val="Tahoma"/>
            <family val="2"/>
          </rPr>
          <t xml:space="preserve">
07-12-2017 Adición $ 3,296,000</t>
        </r>
      </text>
    </comment>
    <comment ref="J109" authorId="1" shapeId="0">
      <text>
        <r>
          <rPr>
            <b/>
            <sz val="9"/>
            <color indexed="81"/>
            <rFont val="Tahoma"/>
            <family val="2"/>
          </rPr>
          <t>Orlando Arias:</t>
        </r>
        <r>
          <rPr>
            <sz val="9"/>
            <color indexed="81"/>
            <rFont val="Tahoma"/>
            <family val="2"/>
          </rPr>
          <t xml:space="preserve">
05/05/2017
Se solicito disminuir el valor de $43.506.666 a $40.200.000 ya se habia expedido CDP
20-11-2017 Adición $ 9.200.000</t>
        </r>
      </text>
    </comment>
    <comment ref="J110" authorId="1" shapeId="0">
      <text>
        <r>
          <rPr>
            <b/>
            <sz val="9"/>
            <color indexed="81"/>
            <rFont val="Tahoma"/>
            <family val="2"/>
          </rPr>
          <t>Orlando Arias:</t>
        </r>
        <r>
          <rPr>
            <sz val="9"/>
            <color indexed="81"/>
            <rFont val="Tahoma"/>
            <family val="2"/>
          </rPr>
          <t xml:space="preserve">
22/03/2017 Se reduce valor 56.833.333.
28/03/2017 Se reduce valor $55.800.000
01-12-2017 Adición $ 3.513.333</t>
        </r>
      </text>
    </comment>
    <comment ref="J112" authorId="0" shapeId="0">
      <text>
        <r>
          <rPr>
            <b/>
            <sz val="9"/>
            <color indexed="81"/>
            <rFont val="Tahoma"/>
            <family val="2"/>
          </rPr>
          <t>Johanna Lucia Bustos Criales:</t>
        </r>
        <r>
          <rPr>
            <sz val="9"/>
            <color indexed="81"/>
            <rFont val="Tahoma"/>
            <family val="2"/>
          </rPr>
          <t xml:space="preserve">
01-12-2017 Adición $ 2.052.000</t>
        </r>
      </text>
    </comment>
    <comment ref="J113" authorId="1" shapeId="0">
      <text>
        <r>
          <rPr>
            <b/>
            <sz val="9"/>
            <color indexed="81"/>
            <rFont val="Tahoma"/>
            <family val="2"/>
          </rPr>
          <t>Orlando Arias:</t>
        </r>
        <r>
          <rPr>
            <sz val="9"/>
            <color indexed="81"/>
            <rFont val="Tahoma"/>
            <family val="2"/>
          </rPr>
          <t xml:space="preserve">
ARL Mayo</t>
        </r>
      </text>
    </comment>
    <comment ref="J114" authorId="1" shapeId="0">
      <text>
        <r>
          <rPr>
            <b/>
            <sz val="9"/>
            <color indexed="81"/>
            <rFont val="Tahoma"/>
            <family val="2"/>
          </rPr>
          <t>Orlando Arias:</t>
        </r>
        <r>
          <rPr>
            <sz val="9"/>
            <color indexed="81"/>
            <rFont val="Tahoma"/>
            <family val="2"/>
          </rPr>
          <t xml:space="preserve">
ARL Junio</t>
        </r>
      </text>
    </comment>
    <comment ref="J116" authorId="0" shapeId="0">
      <text>
        <r>
          <rPr>
            <b/>
            <sz val="9"/>
            <color indexed="81"/>
            <rFont val="Tahoma"/>
            <family val="2"/>
          </rPr>
          <t>Johanna Lucia Bustos Criales:</t>
        </r>
        <r>
          <rPr>
            <sz val="9"/>
            <color indexed="81"/>
            <rFont val="Tahoma"/>
            <family val="2"/>
          </rPr>
          <t xml:space="preserve">
07-12-2017 Adición $ 3,100,000</t>
        </r>
      </text>
    </comment>
    <comment ref="J117" authorId="1" shapeId="0">
      <text>
        <r>
          <rPr>
            <b/>
            <sz val="9"/>
            <color indexed="81"/>
            <rFont val="Tahoma"/>
            <family val="2"/>
          </rPr>
          <t>Orlando Arias:</t>
        </r>
        <r>
          <rPr>
            <sz val="9"/>
            <color indexed="81"/>
            <rFont val="Tahoma"/>
            <family val="2"/>
          </rPr>
          <t xml:space="preserve">
28416667
05-12-2017  Adición  $ 2.750.000</t>
        </r>
      </text>
    </comment>
    <comment ref="J118" authorId="1" shapeId="0">
      <text>
        <r>
          <rPr>
            <b/>
            <sz val="9"/>
            <color indexed="81"/>
            <rFont val="Tahoma"/>
            <family val="2"/>
          </rPr>
          <t>Orlando Arias:</t>
        </r>
        <r>
          <rPr>
            <sz val="9"/>
            <color indexed="81"/>
            <rFont val="Tahoma"/>
            <family val="2"/>
          </rPr>
          <t xml:space="preserve">
32033333
</t>
        </r>
      </text>
    </comment>
    <comment ref="J119" authorId="1" shapeId="0">
      <text>
        <r>
          <rPr>
            <b/>
            <sz val="9"/>
            <color indexed="81"/>
            <rFont val="Tahoma"/>
            <family val="2"/>
          </rPr>
          <t>Orlando Arias:</t>
        </r>
        <r>
          <rPr>
            <sz val="9"/>
            <color indexed="81"/>
            <rFont val="Tahoma"/>
            <family val="2"/>
          </rPr>
          <t xml:space="preserve">
28416667
07-12-2017 Adición $ 2,750,000</t>
        </r>
      </text>
    </comment>
    <comment ref="J123" authorId="0" shapeId="0">
      <text>
        <r>
          <rPr>
            <b/>
            <sz val="9"/>
            <color indexed="81"/>
            <rFont val="Tahoma"/>
            <family val="2"/>
          </rPr>
          <t>Johanna Lucia Bustos Criales:</t>
        </r>
        <r>
          <rPr>
            <sz val="9"/>
            <color indexed="81"/>
            <rFont val="Tahoma"/>
            <family val="2"/>
          </rPr>
          <t xml:space="preserve">
14-12-2017 Adición $ 1,624,623</t>
        </r>
      </text>
    </comment>
    <comment ref="B136" authorId="1" shapeId="0">
      <text>
        <r>
          <rPr>
            <b/>
            <sz val="9"/>
            <color indexed="81"/>
            <rFont val="Tahoma"/>
            <family val="2"/>
          </rPr>
          <t>Orlando Arias:</t>
        </r>
        <r>
          <rPr>
            <sz val="9"/>
            <color indexed="81"/>
            <rFont val="Tahoma"/>
            <family val="2"/>
          </rPr>
          <t xml:space="preserve">
10-11-2017 Traslado entre conceptos de gasto $ 5.893.333 vienen de Programa Fachadas.</t>
        </r>
      </text>
    </comment>
    <comment ref="J137" authorId="1" shapeId="0">
      <text>
        <r>
          <rPr>
            <b/>
            <sz val="9"/>
            <color indexed="81"/>
            <rFont val="Tahoma"/>
            <family val="2"/>
          </rPr>
          <t>Orlando Arias:</t>
        </r>
        <r>
          <rPr>
            <sz val="9"/>
            <color indexed="81"/>
            <rFont val="Tahoma"/>
            <family val="2"/>
          </rPr>
          <t xml:space="preserve">
08/03/2017 Se modifica valor, contratista inicial gano concurso en planta temporal
09-11-2017 Adición $ 10.400.000</t>
        </r>
      </text>
    </comment>
    <comment ref="B140" authorId="1" shapeId="0">
      <text>
        <r>
          <rPr>
            <b/>
            <sz val="9"/>
            <color indexed="81"/>
            <rFont val="Tahoma"/>
            <family val="2"/>
          </rPr>
          <t>Orlando Arias:</t>
        </r>
        <r>
          <rPr>
            <sz val="9"/>
            <color indexed="81"/>
            <rFont val="Tahoma"/>
            <family val="2"/>
          </rPr>
          <t xml:space="preserve">
01/03/2017 Se adicionan recursos por $520,839,026 vienen de Santamaría
14-07-2017 $ 5.172.019 se trasladan recursos para Pasivos Exigibles
10-11-2017 Traslado entre conceptos de gasto % 5.893.000 van para Act. De Seguimiento Arqueológico
30-11-2017 Solicitud de Modificacción por $ 6.784.029 van para el componente Apoyo Tranasversal.</t>
        </r>
      </text>
    </comment>
    <comment ref="J141" authorId="0" shapeId="0">
      <text>
        <r>
          <rPr>
            <b/>
            <sz val="9"/>
            <color indexed="81"/>
            <rFont val="Tahoma"/>
            <family val="2"/>
          </rPr>
          <t>Johanna Lucia Bustos Criales:</t>
        </r>
        <r>
          <rPr>
            <sz val="9"/>
            <color indexed="81"/>
            <rFont val="Tahoma"/>
            <family val="2"/>
          </rPr>
          <t xml:space="preserve">
20-11-2017 Adición $ 4.384.881</t>
        </r>
      </text>
    </comment>
    <comment ref="J142" authorId="0" shapeId="0">
      <text>
        <r>
          <rPr>
            <b/>
            <sz val="9"/>
            <color indexed="81"/>
            <rFont val="Tahoma"/>
            <family val="2"/>
          </rPr>
          <t>Johanna Lucia Bustos Criales:</t>
        </r>
        <r>
          <rPr>
            <sz val="9"/>
            <color indexed="81"/>
            <rFont val="Tahoma"/>
            <family val="2"/>
          </rPr>
          <t xml:space="preserve">
20-11-2017 Adición $ 6.867.500</t>
        </r>
      </text>
    </comment>
    <comment ref="J144" authorId="0" shapeId="0">
      <text>
        <r>
          <rPr>
            <b/>
            <sz val="9"/>
            <color indexed="81"/>
            <rFont val="Tahoma"/>
            <family val="2"/>
          </rPr>
          <t>Johanna Lucia Bustos Criales:</t>
        </r>
        <r>
          <rPr>
            <sz val="9"/>
            <color indexed="81"/>
            <rFont val="Tahoma"/>
            <family val="2"/>
          </rPr>
          <t xml:space="preserve">
01-12-2017 Adición 4.650.000</t>
        </r>
      </text>
    </comment>
    <comment ref="J145" authorId="1" shapeId="0">
      <text>
        <r>
          <rPr>
            <b/>
            <sz val="9"/>
            <color indexed="81"/>
            <rFont val="Tahoma"/>
            <family val="2"/>
          </rPr>
          <t>Orlando Arias:</t>
        </r>
        <r>
          <rPr>
            <sz val="9"/>
            <color indexed="81"/>
            <rFont val="Tahoma"/>
            <family val="2"/>
          </rPr>
          <t xml:space="preserve">
22/03/2017 Se reduce 56833333
01-12-2017 Adición $ 3.513.333
</t>
        </r>
      </text>
    </comment>
    <comment ref="J147" authorId="1" shapeId="0">
      <text>
        <r>
          <rPr>
            <b/>
            <sz val="9"/>
            <color indexed="81"/>
            <rFont val="Tahoma"/>
            <family val="2"/>
          </rPr>
          <t>Orlando Arias:</t>
        </r>
        <r>
          <rPr>
            <sz val="9"/>
            <color indexed="81"/>
            <rFont val="Tahoma"/>
            <family val="2"/>
          </rPr>
          <t xml:space="preserve">
16-11-2017 Adición $ 7.056.917</t>
        </r>
      </text>
    </comment>
    <comment ref="J148" authorId="0" shapeId="0">
      <text>
        <r>
          <rPr>
            <b/>
            <sz val="9"/>
            <color indexed="81"/>
            <rFont val="Tahoma"/>
            <family val="2"/>
          </rPr>
          <t>Johanna Lucia Bustos Criales:</t>
        </r>
        <r>
          <rPr>
            <sz val="9"/>
            <color indexed="81"/>
            <rFont val="Tahoma"/>
            <family val="2"/>
          </rPr>
          <t xml:space="preserve">
01-12-2017 Adición $ 2.680.000</t>
        </r>
      </text>
    </comment>
    <comment ref="J149" authorId="1" shapeId="0">
      <text>
        <r>
          <rPr>
            <b/>
            <sz val="9"/>
            <color indexed="81"/>
            <rFont val="Tahoma"/>
            <family val="2"/>
          </rPr>
          <t>Orlando Arias:</t>
        </r>
        <r>
          <rPr>
            <sz val="9"/>
            <color indexed="81"/>
            <rFont val="Tahoma"/>
            <family val="2"/>
          </rPr>
          <t xml:space="preserve">
Cambió el valor de $ 17.894.324 a $ 15.752.046
05-12-2017 Adición $ 7.560.982</t>
        </r>
      </text>
    </comment>
    <comment ref="J150" authorId="1" shapeId="0">
      <text>
        <r>
          <rPr>
            <b/>
            <sz val="9"/>
            <color indexed="81"/>
            <rFont val="Tahoma"/>
            <family val="2"/>
          </rPr>
          <t>Orlando Arias:</t>
        </r>
        <r>
          <rPr>
            <sz val="9"/>
            <color indexed="81"/>
            <rFont val="Tahoma"/>
            <family val="2"/>
          </rPr>
          <t xml:space="preserve">
cambio el valor de $17.894.324 a 15.752.046
05-12-2017 Adición $ 2.646.344</t>
        </r>
      </text>
    </comment>
    <comment ref="J151" authorId="0" shapeId="0">
      <text>
        <r>
          <rPr>
            <b/>
            <sz val="9"/>
            <color indexed="81"/>
            <rFont val="Tahoma"/>
            <family val="2"/>
          </rPr>
          <t>Johanna Lucia Bustos Criales:</t>
        </r>
        <r>
          <rPr>
            <sz val="9"/>
            <color indexed="81"/>
            <rFont val="Tahoma"/>
            <family val="2"/>
          </rPr>
          <t xml:space="preserve">
01-12-2017 Adición $ 3.015.000</t>
        </r>
      </text>
    </comment>
    <comment ref="J152" authorId="0" shapeId="0">
      <text>
        <r>
          <rPr>
            <b/>
            <sz val="9"/>
            <color indexed="81"/>
            <rFont val="Tahoma"/>
            <family val="2"/>
          </rPr>
          <t>Johanna Lucia Bustos Criales:</t>
        </r>
        <r>
          <rPr>
            <sz val="9"/>
            <color indexed="81"/>
            <rFont val="Tahoma"/>
            <family val="2"/>
          </rPr>
          <t xml:space="preserve">
18-12-2017 Adición $ 2,673,468</t>
        </r>
      </text>
    </comment>
    <comment ref="J153" authorId="0" shapeId="0">
      <text>
        <r>
          <rPr>
            <b/>
            <sz val="9"/>
            <color indexed="81"/>
            <rFont val="Tahoma"/>
            <family val="2"/>
          </rPr>
          <t>Johanna Lucia Bustos Criales:</t>
        </r>
        <r>
          <rPr>
            <sz val="9"/>
            <color indexed="81"/>
            <rFont val="Tahoma"/>
            <family val="2"/>
          </rPr>
          <t xml:space="preserve">
01-12-2017 Adición $ 2.153.010</t>
        </r>
      </text>
    </comment>
    <comment ref="J154" authorId="1" shapeId="0">
      <text>
        <r>
          <rPr>
            <b/>
            <sz val="9"/>
            <color indexed="81"/>
            <rFont val="Tahoma"/>
            <family val="2"/>
          </rPr>
          <t>Johanna Bustos:</t>
        </r>
        <r>
          <rPr>
            <sz val="9"/>
            <color indexed="81"/>
            <rFont val="Tahoma"/>
            <family val="2"/>
          </rPr>
          <t xml:space="preserve">
11-09-2017 cambió el valor a $ 15.298.178
19-09-2017 cambió valor a $ 13.367.340
07-12-2017 Adición $ 2,673,468 Se anulo CDP 20-12-2017 Adición $ 6.683670
</t>
        </r>
      </text>
    </comment>
    <comment ref="J155" authorId="1" shapeId="0">
      <text>
        <r>
          <rPr>
            <b/>
            <sz val="9"/>
            <color indexed="81"/>
            <rFont val="Tahoma"/>
            <family val="2"/>
          </rPr>
          <t xml:space="preserve">Johanna Bustos:
</t>
        </r>
        <r>
          <rPr>
            <sz val="9"/>
            <color indexed="81"/>
            <rFont val="Tahoma"/>
            <family val="2"/>
          </rPr>
          <t>11-09-2017 cambió valor a $ 15,298,178
19-08-2017 cambió vaqlor a $ 13.367.340
07-12-2017 Adición $ 2,821,994 Se anulo adición
19-12-2017 Adición $ 5.198.410</t>
        </r>
      </text>
    </comment>
    <comment ref="J156" authorId="0" shapeId="0">
      <text>
        <r>
          <rPr>
            <b/>
            <sz val="9"/>
            <color indexed="81"/>
            <rFont val="Tahoma"/>
            <family val="2"/>
          </rPr>
          <t>Johanna Lucia Bustos Criales:</t>
        </r>
        <r>
          <rPr>
            <sz val="9"/>
            <color indexed="81"/>
            <rFont val="Tahoma"/>
            <family val="2"/>
          </rPr>
          <t xml:space="preserve">
El  CDP se expidio por menor valor al viabilizado $ 35.000.000</t>
        </r>
      </text>
    </comment>
    <comment ref="J162" authorId="0" shapeId="0">
      <text>
        <r>
          <rPr>
            <b/>
            <sz val="9"/>
            <color indexed="81"/>
            <rFont val="Tahoma"/>
            <family val="2"/>
          </rPr>
          <t>Johanna Lucia Bustos Criales:</t>
        </r>
        <r>
          <rPr>
            <sz val="9"/>
            <color indexed="81"/>
            <rFont val="Tahoma"/>
            <family val="2"/>
          </rPr>
          <t xml:space="preserve">
14-12-2017 Adición $ 7,182,933</t>
        </r>
      </text>
    </comment>
    <comment ref="J163" authorId="1" shapeId="0">
      <text>
        <r>
          <rPr>
            <b/>
            <sz val="9"/>
            <color indexed="81"/>
            <rFont val="Tahoma"/>
            <family val="2"/>
          </rPr>
          <t>Johanna Bustos:</t>
        </r>
        <r>
          <rPr>
            <sz val="9"/>
            <color indexed="81"/>
            <rFont val="Tahoma"/>
            <family val="2"/>
          </rPr>
          <t xml:space="preserve">
11-09-2017 cambió el valor a $ 9.348.558
19-09-2017 cambió valor a $ 8.168.643
07-12-2017 Adición $ 2,861,939
</t>
        </r>
      </text>
    </comment>
    <comment ref="J164" authorId="1" shapeId="0">
      <text>
        <r>
          <rPr>
            <b/>
            <sz val="9"/>
            <color indexed="81"/>
            <rFont val="Tahoma"/>
            <family val="2"/>
          </rPr>
          <t>Johanna Bustos:</t>
        </r>
        <r>
          <rPr>
            <sz val="9"/>
            <color indexed="81"/>
            <rFont val="Tahoma"/>
            <family val="2"/>
          </rPr>
          <t xml:space="preserve">
11-09-2017 cambió el valor a $ 15.385.419
19-09-2017 cambió el valor a $ 13.443.570
14-12-2017 Adición $ 2,688,714</t>
        </r>
      </text>
    </comment>
    <comment ref="J165" authorId="1" shapeId="0">
      <text>
        <r>
          <rPr>
            <b/>
            <sz val="9"/>
            <color indexed="81"/>
            <rFont val="Tahoma"/>
            <family val="2"/>
          </rPr>
          <t>Orlando Arias:</t>
        </r>
        <r>
          <rPr>
            <sz val="9"/>
            <color indexed="81"/>
            <rFont val="Tahoma"/>
            <family val="2"/>
          </rPr>
          <t xml:space="preserve">
19-09-2017 cambio valor a 13.443.570
07-12-2017 Adición $ 2,240,595</t>
        </r>
      </text>
    </comment>
    <comment ref="J166" authorId="1" shapeId="0">
      <text>
        <r>
          <rPr>
            <b/>
            <sz val="9"/>
            <color indexed="81"/>
            <rFont val="Tahoma"/>
            <family val="2"/>
          </rPr>
          <t>Johanna Bustos:</t>
        </r>
        <r>
          <rPr>
            <sz val="9"/>
            <color indexed="81"/>
            <rFont val="Tahoma"/>
            <family val="2"/>
          </rPr>
          <t xml:space="preserve">
11-09-2017 cambió valor a $ 15.385.419
19-09-2017 cambio valor a $ 13,443.570
07-12-2017 Adición $ 6,721,785</t>
        </r>
      </text>
    </comment>
    <comment ref="J167" authorId="1" shapeId="0">
      <text>
        <r>
          <rPr>
            <b/>
            <sz val="9"/>
            <color indexed="81"/>
            <rFont val="Tahoma"/>
            <family val="2"/>
          </rPr>
          <t xml:space="preserve">Johanna Bustos:
</t>
        </r>
        <r>
          <rPr>
            <sz val="9"/>
            <color indexed="81"/>
            <rFont val="Tahoma"/>
            <family val="2"/>
          </rPr>
          <t>11-09-2017 cambió valor a
$ 15.385.419
19-09-2017 cambió valor a $ 13.443570
Se anula cdp, se expide por mayor valor</t>
        </r>
      </text>
    </comment>
    <comment ref="J170" authorId="0" shapeId="0">
      <text>
        <r>
          <rPr>
            <b/>
            <sz val="9"/>
            <color indexed="81"/>
            <rFont val="Tahoma"/>
            <family val="2"/>
          </rPr>
          <t>Johanna Lucia Bustos Criales:</t>
        </r>
        <r>
          <rPr>
            <sz val="9"/>
            <color indexed="81"/>
            <rFont val="Tahoma"/>
            <family val="2"/>
          </rPr>
          <t xml:space="preserve">
15-12-2017 Adición $ 1.225.336</t>
        </r>
      </text>
    </comment>
    <comment ref="J171" authorId="0" shapeId="0">
      <text>
        <r>
          <rPr>
            <b/>
            <sz val="9"/>
            <color indexed="81"/>
            <rFont val="Tahoma"/>
            <family val="2"/>
          </rPr>
          <t>Johanna Lucia Bustos Criales:</t>
        </r>
        <r>
          <rPr>
            <sz val="9"/>
            <color indexed="81"/>
            <rFont val="Tahoma"/>
            <family val="2"/>
          </rPr>
          <t xml:space="preserve">
07-12-2017 Adición $ 2,695,739
</t>
        </r>
      </text>
    </comment>
    <comment ref="J172" authorId="0" shapeId="0">
      <text>
        <r>
          <rPr>
            <b/>
            <sz val="9"/>
            <color indexed="81"/>
            <rFont val="Tahoma"/>
            <family val="2"/>
          </rPr>
          <t>Johanna Lucia Bustos Criales:</t>
        </r>
        <r>
          <rPr>
            <sz val="9"/>
            <color indexed="81"/>
            <rFont val="Tahoma"/>
            <family val="2"/>
          </rPr>
          <t xml:space="preserve">
07-12-2017 Adición $ 2,368,893</t>
        </r>
      </text>
    </comment>
    <comment ref="J173" authorId="0" shapeId="0">
      <text>
        <r>
          <rPr>
            <b/>
            <sz val="9"/>
            <color indexed="81"/>
            <rFont val="Tahoma"/>
            <family val="2"/>
          </rPr>
          <t>Johanna Lucia Bustos Criales:</t>
        </r>
        <r>
          <rPr>
            <sz val="9"/>
            <color indexed="81"/>
            <rFont val="Tahoma"/>
            <family val="2"/>
          </rPr>
          <t xml:space="preserve">
14-12-2017 Adición $ 2,859,117</t>
        </r>
      </text>
    </comment>
    <comment ref="J176" authorId="0" shapeId="0">
      <text>
        <r>
          <rPr>
            <b/>
            <sz val="9"/>
            <color indexed="81"/>
            <rFont val="Tahoma"/>
            <family val="2"/>
          </rPr>
          <t>Johanna Lucia Bustos Criales:</t>
        </r>
        <r>
          <rPr>
            <sz val="9"/>
            <color indexed="81"/>
            <rFont val="Tahoma"/>
            <family val="2"/>
          </rPr>
          <t xml:space="preserve">
14-12-2017 Adición $ 2,450,672</t>
        </r>
      </text>
    </comment>
    <comment ref="J177" authorId="0" shapeId="0">
      <text>
        <r>
          <rPr>
            <b/>
            <sz val="9"/>
            <color indexed="81"/>
            <rFont val="Tahoma"/>
            <family val="2"/>
          </rPr>
          <t>Johanna Lucia Bustos Criales:</t>
        </r>
        <r>
          <rPr>
            <sz val="9"/>
            <color indexed="81"/>
            <rFont val="Tahoma"/>
            <family val="2"/>
          </rPr>
          <t xml:space="preserve">
14-12-2017 Adición $ 2,450,672</t>
        </r>
      </text>
    </comment>
    <comment ref="J178" authorId="0" shapeId="0">
      <text>
        <r>
          <rPr>
            <b/>
            <sz val="9"/>
            <color indexed="81"/>
            <rFont val="Tahoma"/>
            <family val="2"/>
          </rPr>
          <t>Johanna Lucia Bustos Criales:</t>
        </r>
        <r>
          <rPr>
            <sz val="9"/>
            <color indexed="81"/>
            <rFont val="Tahoma"/>
            <family val="2"/>
          </rPr>
          <t xml:space="preserve">
14-12-2017 Adición $ 918,951</t>
        </r>
      </text>
    </comment>
    <comment ref="J179" authorId="0" shapeId="0">
      <text>
        <r>
          <rPr>
            <b/>
            <sz val="9"/>
            <color indexed="81"/>
            <rFont val="Tahoma"/>
            <family val="2"/>
          </rPr>
          <t>Johanna Lucia Bustos Criales:</t>
        </r>
        <r>
          <rPr>
            <sz val="9"/>
            <color indexed="81"/>
            <rFont val="Tahoma"/>
            <family val="2"/>
          </rPr>
          <t xml:space="preserve">
14-12-2017 Adición $ 1,776,639</t>
        </r>
      </text>
    </comment>
    <comment ref="J180" authorId="0" shapeId="0">
      <text>
        <r>
          <rPr>
            <b/>
            <sz val="9"/>
            <color indexed="81"/>
            <rFont val="Tahoma"/>
            <family val="2"/>
          </rPr>
          <t>Johanna Lucia Bustos Criales:</t>
        </r>
        <r>
          <rPr>
            <sz val="9"/>
            <color indexed="81"/>
            <rFont val="Tahoma"/>
            <family val="2"/>
          </rPr>
          <t xml:space="preserve">
14-12-2017 Adición $ 1,837,902</t>
        </r>
      </text>
    </comment>
    <comment ref="J181" authorId="0" shapeId="0">
      <text>
        <r>
          <rPr>
            <b/>
            <sz val="9"/>
            <color indexed="81"/>
            <rFont val="Tahoma"/>
            <family val="2"/>
          </rPr>
          <t>Johanna Lucia Bustos Criales:</t>
        </r>
        <r>
          <rPr>
            <sz val="9"/>
            <color indexed="81"/>
            <rFont val="Tahoma"/>
            <family val="2"/>
          </rPr>
          <t xml:space="preserve">
14-12-2017 Adición $ 1,164,005</t>
        </r>
      </text>
    </comment>
    <comment ref="J182" authorId="0" shapeId="0">
      <text>
        <r>
          <rPr>
            <b/>
            <sz val="9"/>
            <color indexed="81"/>
            <rFont val="Tahoma"/>
            <family val="2"/>
          </rPr>
          <t>Johanna Lucia Bustos Criales:</t>
        </r>
        <r>
          <rPr>
            <sz val="9"/>
            <color indexed="81"/>
            <rFont val="Tahoma"/>
            <family val="2"/>
          </rPr>
          <t xml:space="preserve">
14-12-2017 Adición $ 857,688</t>
        </r>
      </text>
    </comment>
    <comment ref="J185" authorId="0" shapeId="0">
      <text>
        <r>
          <rPr>
            <b/>
            <sz val="9"/>
            <color indexed="81"/>
            <rFont val="Tahoma"/>
            <family val="2"/>
          </rPr>
          <t>Johanna Lucia Bustos Criales:</t>
        </r>
        <r>
          <rPr>
            <sz val="9"/>
            <color indexed="81"/>
            <rFont val="Tahoma"/>
            <family val="2"/>
          </rPr>
          <t xml:space="preserve">
14-12-2017 Adición $ 1,654,112</t>
        </r>
      </text>
    </comment>
    <comment ref="B209" authorId="1" shapeId="0">
      <text>
        <r>
          <rPr>
            <b/>
            <sz val="9"/>
            <color indexed="81"/>
            <rFont val="Tahoma"/>
            <family val="2"/>
          </rPr>
          <t>Orlando Arias:</t>
        </r>
        <r>
          <rPr>
            <sz val="9"/>
            <color indexed="81"/>
            <rFont val="Tahoma"/>
            <family val="2"/>
          </rPr>
          <t xml:space="preserve">
27/03/2017 Se reduce aprobacion SH $210,994,912. radicado EE610016</t>
        </r>
      </text>
    </comment>
    <comment ref="J210" authorId="0" shapeId="0">
      <text>
        <r>
          <rPr>
            <b/>
            <sz val="9"/>
            <color indexed="81"/>
            <rFont val="Tahoma"/>
            <family val="2"/>
          </rPr>
          <t>Johanna Lucia Bustos Criales:</t>
        </r>
        <r>
          <rPr>
            <sz val="9"/>
            <color indexed="81"/>
            <rFont val="Tahoma"/>
            <family val="2"/>
          </rPr>
          <t xml:space="preserve">
01-12-17 Adición $ 6.613.333</t>
        </r>
      </text>
    </comment>
    <comment ref="J211" authorId="1" shapeId="0">
      <text>
        <r>
          <rPr>
            <b/>
            <sz val="9"/>
            <color indexed="81"/>
            <rFont val="Tahoma"/>
            <family val="2"/>
          </rPr>
          <t>Orlando Arias:</t>
        </r>
        <r>
          <rPr>
            <sz val="9"/>
            <color indexed="81"/>
            <rFont val="Tahoma"/>
            <family val="2"/>
          </rPr>
          <t xml:space="preserve">
09/02/2017 Se modifica valor, debido a la retención de IVA regimen simplificado</t>
        </r>
      </text>
    </comment>
    <comment ref="J214" authorId="1" shapeId="0">
      <text>
        <r>
          <rPr>
            <b/>
            <sz val="9"/>
            <color indexed="81"/>
            <rFont val="Tahoma"/>
            <family val="2"/>
          </rPr>
          <t>Orlando Arias:</t>
        </r>
        <r>
          <rPr>
            <sz val="9"/>
            <color indexed="81"/>
            <rFont val="Tahoma"/>
            <family val="2"/>
          </rPr>
          <t xml:space="preserve">
22/03/2017 Se redujo por plazo</t>
        </r>
      </text>
    </comment>
    <comment ref="J215" authorId="0" shapeId="0">
      <text>
        <r>
          <rPr>
            <b/>
            <sz val="9"/>
            <color indexed="81"/>
            <rFont val="Tahoma"/>
            <family val="2"/>
          </rPr>
          <t>Johanna Lucia Bustos Criales:</t>
        </r>
        <r>
          <rPr>
            <sz val="9"/>
            <color indexed="81"/>
            <rFont val="Tahoma"/>
            <family val="2"/>
          </rPr>
          <t xml:space="preserve">
07-12-2017 Adición $ 2,250,000</t>
        </r>
      </text>
    </comment>
    <comment ref="J216" authorId="0" shapeId="0">
      <text>
        <r>
          <rPr>
            <b/>
            <sz val="9"/>
            <color indexed="81"/>
            <rFont val="Tahoma"/>
            <family val="2"/>
          </rPr>
          <t>Johanna Lucia Bustos Criales:</t>
        </r>
        <r>
          <rPr>
            <sz val="9"/>
            <color indexed="81"/>
            <rFont val="Tahoma"/>
            <family val="2"/>
          </rPr>
          <t xml:space="preserve">
07-12-2017 Adición $ 2,250,000
</t>
        </r>
      </text>
    </comment>
    <comment ref="J217" authorId="0" shapeId="0">
      <text>
        <r>
          <rPr>
            <b/>
            <sz val="9"/>
            <color indexed="81"/>
            <rFont val="Tahoma"/>
            <family val="2"/>
          </rPr>
          <t>Johanna Lucia Bustos Criales:</t>
        </r>
        <r>
          <rPr>
            <sz val="9"/>
            <color indexed="81"/>
            <rFont val="Tahoma"/>
            <family val="2"/>
          </rPr>
          <t xml:space="preserve">
07-12-2017 Adición $ 2,250,000</t>
        </r>
      </text>
    </comment>
    <comment ref="J218" authorId="1" shapeId="0">
      <text>
        <r>
          <rPr>
            <b/>
            <sz val="9"/>
            <color indexed="81"/>
            <rFont val="Tahoma"/>
            <family val="2"/>
          </rPr>
          <t>Orlando Arias:</t>
        </r>
        <r>
          <rPr>
            <sz val="9"/>
            <color indexed="81"/>
            <rFont val="Tahoma"/>
            <family val="2"/>
          </rPr>
          <t xml:space="preserve">
25.757.455 la viabilidad se expidio por
01-12-2017 Adición $ 2,384,950
</t>
        </r>
      </text>
    </comment>
    <comment ref="J223" authorId="0" shapeId="0">
      <text>
        <r>
          <rPr>
            <b/>
            <sz val="9"/>
            <color indexed="81"/>
            <rFont val="Tahoma"/>
            <family val="2"/>
          </rPr>
          <t>Johanna Lucia Bustos Criales:</t>
        </r>
        <r>
          <rPr>
            <sz val="9"/>
            <color indexed="81"/>
            <rFont val="Tahoma"/>
            <family val="2"/>
          </rPr>
          <t xml:space="preserve">
15-12-2017 Adición $ 2.240.595
</t>
        </r>
      </text>
    </comment>
    <comment ref="J224" authorId="0" shapeId="0">
      <text>
        <r>
          <rPr>
            <b/>
            <sz val="9"/>
            <color indexed="81"/>
            <rFont val="Tahoma"/>
            <family val="2"/>
          </rPr>
          <t>Johanna Lucia Bustos Criales:</t>
        </r>
        <r>
          <rPr>
            <sz val="9"/>
            <color indexed="81"/>
            <rFont val="Tahoma"/>
            <family val="2"/>
          </rPr>
          <t xml:space="preserve">
15-12-2017 Adición $ 1.225.236</t>
        </r>
      </text>
    </comment>
    <comment ref="J225" authorId="0" shapeId="0">
      <text>
        <r>
          <rPr>
            <b/>
            <sz val="9"/>
            <color indexed="81"/>
            <rFont val="Tahoma"/>
            <family val="2"/>
          </rPr>
          <t>Johanna Lucia Bustos Criales:</t>
        </r>
        <r>
          <rPr>
            <sz val="9"/>
            <color indexed="81"/>
            <rFont val="Tahoma"/>
            <family val="2"/>
          </rPr>
          <t xml:space="preserve">
Cambia valor a $ </t>
        </r>
      </text>
    </comment>
    <comment ref="J226" authorId="0" shapeId="0">
      <text>
        <r>
          <rPr>
            <b/>
            <sz val="9"/>
            <color indexed="81"/>
            <rFont val="Tahoma"/>
            <family val="2"/>
          </rPr>
          <t>Johanna Lucia Bustos Criales:</t>
        </r>
        <r>
          <rPr>
            <sz val="9"/>
            <color indexed="81"/>
            <rFont val="Tahoma"/>
            <family val="2"/>
          </rPr>
          <t xml:space="preserve">
07-12-2017 Cambia valor a $ 1,837,902</t>
        </r>
      </text>
    </comment>
    <comment ref="B235" authorId="1" shapeId="0">
      <text>
        <r>
          <rPr>
            <b/>
            <sz val="9"/>
            <color indexed="81"/>
            <rFont val="Tahoma"/>
            <family val="2"/>
          </rPr>
          <t>Orlando Arias:</t>
        </r>
        <r>
          <rPr>
            <sz val="9"/>
            <color indexed="81"/>
            <rFont val="Tahoma"/>
            <family val="2"/>
          </rPr>
          <t xml:space="preserve">
01-03-2017 Se adicionan recursos $117,102,404 Llegan de apoyo transversal.
27/03/2017 Se adiciona aprobacion SH $210,994,912. Radicado EE610016
14-09-2017 Traslado entre conceptos de gasto $ 94.000.000 a componente Voto Nacional $ 79.000.000 y Apoyo Trasversal $ 15.000.000
10-11-2017 Traslado entre conceptos de gasto $ 85.000.000 pasan a Apoyo Transversal</t>
        </r>
      </text>
    </comment>
    <comment ref="J236" authorId="0" shapeId="0">
      <text>
        <r>
          <rPr>
            <b/>
            <sz val="9"/>
            <color indexed="81"/>
            <rFont val="Tahoma"/>
            <family val="2"/>
          </rPr>
          <t>Johanna Lucia Bustos Criales:</t>
        </r>
        <r>
          <rPr>
            <sz val="9"/>
            <color indexed="81"/>
            <rFont val="Tahoma"/>
            <family val="2"/>
          </rPr>
          <t xml:space="preserve">
22-11-2017 Adición $ 2.750.000</t>
        </r>
      </text>
    </comment>
    <comment ref="J237" authorId="0" shapeId="0">
      <text>
        <r>
          <rPr>
            <b/>
            <sz val="9"/>
            <color indexed="81"/>
            <rFont val="Tahoma"/>
            <family val="2"/>
          </rPr>
          <t>Johanna Lucia Bustos Criales:</t>
        </r>
        <r>
          <rPr>
            <sz val="9"/>
            <color indexed="81"/>
            <rFont val="Tahoma"/>
            <family val="2"/>
          </rPr>
          <t xml:space="preserve">
22-11-2017 Adición $ 5.360.000</t>
        </r>
      </text>
    </comment>
    <comment ref="J238" authorId="0" shapeId="0">
      <text>
        <r>
          <rPr>
            <b/>
            <sz val="9"/>
            <color indexed="81"/>
            <rFont val="Tahoma"/>
            <family val="2"/>
          </rPr>
          <t>Johanna Lucia Bustos Criales:</t>
        </r>
        <r>
          <rPr>
            <sz val="9"/>
            <color indexed="81"/>
            <rFont val="Tahoma"/>
            <family val="2"/>
          </rPr>
          <t xml:space="preserve">
07-12-2017 Adición $ 2,010,000</t>
        </r>
      </text>
    </comment>
    <comment ref="J239" authorId="0" shapeId="0">
      <text>
        <r>
          <rPr>
            <b/>
            <sz val="9"/>
            <color indexed="81"/>
            <rFont val="Tahoma"/>
            <family val="2"/>
          </rPr>
          <t>Johanna Lucia Bustos Criales:</t>
        </r>
        <r>
          <rPr>
            <sz val="9"/>
            <color indexed="81"/>
            <rFont val="Tahoma"/>
            <family val="2"/>
          </rPr>
          <t xml:space="preserve">
01-12-2017 Adición $ 5.512.759</t>
        </r>
      </text>
    </comment>
    <comment ref="J240" authorId="0" shapeId="0">
      <text>
        <r>
          <rPr>
            <b/>
            <sz val="9"/>
            <color indexed="81"/>
            <rFont val="Tahoma"/>
            <family val="2"/>
          </rPr>
          <t>Johanna Lucia Bustos Criales:</t>
        </r>
        <r>
          <rPr>
            <sz val="9"/>
            <color indexed="81"/>
            <rFont val="Tahoma"/>
            <family val="2"/>
          </rPr>
          <t xml:space="preserve">
22-11-2017 Adición 3.100.000</t>
        </r>
      </text>
    </comment>
    <comment ref="J243" authorId="0" shapeId="0">
      <text>
        <r>
          <rPr>
            <b/>
            <sz val="9"/>
            <color indexed="81"/>
            <rFont val="Tahoma"/>
            <family val="2"/>
          </rPr>
          <t>Johanna Lucia Bustos Criales:</t>
        </r>
        <r>
          <rPr>
            <sz val="9"/>
            <color indexed="81"/>
            <rFont val="Tahoma"/>
            <family val="2"/>
          </rPr>
          <t xml:space="preserve">
22-11-2017 Adición $ 4.340.000</t>
        </r>
      </text>
    </comment>
    <comment ref="J244" authorId="0" shapeId="0">
      <text>
        <r>
          <rPr>
            <b/>
            <sz val="9"/>
            <color indexed="81"/>
            <rFont val="Tahoma"/>
            <family val="2"/>
          </rPr>
          <t>Johanna Lucia Bustos Criales:</t>
        </r>
        <r>
          <rPr>
            <sz val="9"/>
            <color indexed="81"/>
            <rFont val="Tahoma"/>
            <family val="2"/>
          </rPr>
          <t xml:space="preserve">
22-11-2017 Adición $ 4.100.000</t>
        </r>
      </text>
    </comment>
    <comment ref="J247" authorId="0" shapeId="0">
      <text>
        <r>
          <rPr>
            <b/>
            <sz val="9"/>
            <color indexed="81"/>
            <rFont val="Tahoma"/>
            <family val="2"/>
          </rPr>
          <t>Johanna Lucia Bustos Criales:</t>
        </r>
        <r>
          <rPr>
            <sz val="9"/>
            <color indexed="81"/>
            <rFont val="Tahoma"/>
            <family val="2"/>
          </rPr>
          <t xml:space="preserve">
01-12-2017 Adición $5.373.333</t>
        </r>
      </text>
    </comment>
    <comment ref="J249" authorId="0" shapeId="0">
      <text>
        <r>
          <rPr>
            <b/>
            <sz val="9"/>
            <color indexed="81"/>
            <rFont val="Tahoma"/>
            <family val="2"/>
          </rPr>
          <t>Johanna Lucia Bustos Criales:</t>
        </r>
        <r>
          <rPr>
            <sz val="9"/>
            <color indexed="81"/>
            <rFont val="Tahoma"/>
            <family val="2"/>
          </rPr>
          <t xml:space="preserve">
20-11-2017 Adición $ 5.495.462</t>
        </r>
      </text>
    </comment>
    <comment ref="J252" authorId="0" shapeId="0">
      <text>
        <r>
          <rPr>
            <b/>
            <sz val="9"/>
            <color indexed="81"/>
            <rFont val="Tahoma"/>
            <family val="2"/>
          </rPr>
          <t>Johanna Lucia Bustos Criales:</t>
        </r>
        <r>
          <rPr>
            <sz val="9"/>
            <color indexed="81"/>
            <rFont val="Tahoma"/>
            <family val="2"/>
          </rPr>
          <t xml:space="preserve">
22-11-2017 Adición $ 6.386.618</t>
        </r>
      </text>
    </comment>
    <comment ref="J254" authorId="0" shapeId="0">
      <text>
        <r>
          <rPr>
            <b/>
            <sz val="9"/>
            <color indexed="81"/>
            <rFont val="Tahoma"/>
            <family val="2"/>
          </rPr>
          <t>Johanna Lucia Bustos Criales:</t>
        </r>
        <r>
          <rPr>
            <sz val="9"/>
            <color indexed="81"/>
            <rFont val="Tahoma"/>
            <family val="2"/>
          </rPr>
          <t xml:space="preserve">
05-12-2017 Adición $ 1.600.000</t>
        </r>
      </text>
    </comment>
    <comment ref="J255" authorId="1" shapeId="0">
      <text>
        <r>
          <rPr>
            <b/>
            <sz val="9"/>
            <color indexed="81"/>
            <rFont val="Tahoma"/>
            <family val="2"/>
          </rPr>
          <t>Orlando Arias:</t>
        </r>
        <r>
          <rPr>
            <sz val="9"/>
            <color indexed="81"/>
            <rFont val="Tahoma"/>
            <family val="2"/>
          </rPr>
          <t xml:space="preserve">
27/02/2017 Se modifica valor a $62,000,000 pero no se hizo en presupuesto
07-12-2017 Adición $ 3,720,000</t>
        </r>
      </text>
    </comment>
    <comment ref="J256" authorId="0" shapeId="0">
      <text>
        <r>
          <rPr>
            <b/>
            <sz val="9"/>
            <color indexed="81"/>
            <rFont val="Tahoma"/>
            <family val="2"/>
          </rPr>
          <t>Johanna Lucia Bustos Criales:</t>
        </r>
        <r>
          <rPr>
            <sz val="9"/>
            <color indexed="81"/>
            <rFont val="Tahoma"/>
            <family val="2"/>
          </rPr>
          <t xml:space="preserve">
22-11-2017 Adición $ 2.788.500</t>
        </r>
      </text>
    </comment>
    <comment ref="AC256" authorId="1" shapeId="0">
      <text>
        <r>
          <rPr>
            <b/>
            <sz val="9"/>
            <color indexed="81"/>
            <rFont val="Tahoma"/>
            <family val="2"/>
          </rPr>
          <t>Orlando Arias:</t>
        </r>
        <r>
          <rPr>
            <sz val="9"/>
            <color indexed="81"/>
            <rFont val="Tahoma"/>
            <family val="2"/>
          </rPr>
          <t xml:space="preserve">
Cambia en CDP, Prestar servicios de apoyo en actividades asistenciales relacionadas con la documentación de la Subdirección de Intervención del IDPC.</t>
        </r>
      </text>
    </comment>
    <comment ref="J257" authorId="0" shapeId="0">
      <text>
        <r>
          <rPr>
            <b/>
            <sz val="9"/>
            <color indexed="81"/>
            <rFont val="Tahoma"/>
            <family val="2"/>
          </rPr>
          <t>Johanna Lucia Bustos Criales:</t>
        </r>
        <r>
          <rPr>
            <sz val="9"/>
            <color indexed="81"/>
            <rFont val="Tahoma"/>
            <family val="2"/>
          </rPr>
          <t xml:space="preserve">
01-12-2017 Adición $ 2.401.131</t>
        </r>
      </text>
    </comment>
    <comment ref="J258" authorId="0" shapeId="0">
      <text>
        <r>
          <rPr>
            <b/>
            <sz val="9"/>
            <color indexed="81"/>
            <rFont val="Tahoma"/>
            <family val="2"/>
          </rPr>
          <t>Johanna Lucia Bustos Criales:</t>
        </r>
        <r>
          <rPr>
            <sz val="9"/>
            <color indexed="81"/>
            <rFont val="Tahoma"/>
            <family val="2"/>
          </rPr>
          <t xml:space="preserve">
22-11-2017 Adición $ 5.643.988</t>
        </r>
      </text>
    </comment>
    <comment ref="J259" authorId="0" shapeId="0">
      <text>
        <r>
          <rPr>
            <b/>
            <sz val="9"/>
            <color indexed="81"/>
            <rFont val="Tahoma"/>
            <family val="2"/>
          </rPr>
          <t>Johanna Lucia Bustos Criales:</t>
        </r>
        <r>
          <rPr>
            <sz val="9"/>
            <color indexed="81"/>
            <rFont val="Tahoma"/>
            <family val="2"/>
          </rPr>
          <t xml:space="preserve">
01-12-2017 Adición $4.355.000</t>
        </r>
      </text>
    </comment>
    <comment ref="J260" authorId="0" shapeId="0">
      <text>
        <r>
          <rPr>
            <b/>
            <sz val="9"/>
            <color indexed="81"/>
            <rFont val="Tahoma"/>
            <family val="2"/>
          </rPr>
          <t>Johanna Lucia Bustos Criales:</t>
        </r>
        <r>
          <rPr>
            <sz val="9"/>
            <color indexed="81"/>
            <rFont val="Tahoma"/>
            <family val="2"/>
          </rPr>
          <t xml:space="preserve">
20-11-20174 Adición $ 7.537.500</t>
        </r>
      </text>
    </comment>
    <comment ref="J261" authorId="0" shapeId="0">
      <text>
        <r>
          <rPr>
            <b/>
            <sz val="9"/>
            <color indexed="81"/>
            <rFont val="Tahoma"/>
            <family val="2"/>
          </rPr>
          <t>Johanna Lucia Bustos Criales:</t>
        </r>
        <r>
          <rPr>
            <sz val="9"/>
            <color indexed="81"/>
            <rFont val="Tahoma"/>
            <family val="2"/>
          </rPr>
          <t xml:space="preserve">
01-12-2017 Adición 3.780.491</t>
        </r>
      </text>
    </comment>
    <comment ref="J263" authorId="0" shapeId="0">
      <text>
        <r>
          <rPr>
            <b/>
            <sz val="9"/>
            <color indexed="81"/>
            <rFont val="Tahoma"/>
            <family val="2"/>
          </rPr>
          <t>Johanna Lucia Bustos Criales:</t>
        </r>
        <r>
          <rPr>
            <sz val="9"/>
            <color indexed="81"/>
            <rFont val="Tahoma"/>
            <family val="2"/>
          </rPr>
          <t xml:space="preserve">
01-12-2017 Adición $ 2.316.476</t>
        </r>
      </text>
    </comment>
    <comment ref="J266" authorId="1" shapeId="0">
      <text>
        <r>
          <rPr>
            <b/>
            <sz val="9"/>
            <color indexed="81"/>
            <rFont val="Tahoma"/>
            <family val="2"/>
          </rPr>
          <t>Orlando Arias:</t>
        </r>
        <r>
          <rPr>
            <sz val="9"/>
            <color indexed="81"/>
            <rFont val="Tahoma"/>
            <family val="2"/>
          </rPr>
          <t xml:space="preserve">
30/03/2017 Se reduce valor $27,810,000</t>
        </r>
      </text>
    </comment>
    <comment ref="J267" authorId="0" shapeId="0">
      <text>
        <r>
          <rPr>
            <b/>
            <sz val="9"/>
            <color indexed="81"/>
            <rFont val="Tahoma"/>
            <family val="2"/>
          </rPr>
          <t>Johanna Lucia Bustos Criales:</t>
        </r>
        <r>
          <rPr>
            <sz val="9"/>
            <color indexed="81"/>
            <rFont val="Tahoma"/>
            <family val="2"/>
          </rPr>
          <t xml:space="preserve">
01-12-2017 Adición $ 4.187.500</t>
        </r>
      </text>
    </comment>
    <comment ref="J268" authorId="0" shapeId="0">
      <text>
        <r>
          <rPr>
            <b/>
            <sz val="9"/>
            <color indexed="81"/>
            <rFont val="Tahoma"/>
            <family val="2"/>
          </rPr>
          <t>Johanna Lucia Bustos Criales:</t>
        </r>
        <r>
          <rPr>
            <sz val="9"/>
            <color indexed="81"/>
            <rFont val="Tahoma"/>
            <family val="2"/>
          </rPr>
          <t xml:space="preserve">
01-12-201 Adició $ 3.146.000</t>
        </r>
      </text>
    </comment>
    <comment ref="J269" authorId="0" shapeId="0">
      <text>
        <r>
          <rPr>
            <b/>
            <sz val="9"/>
            <color indexed="81"/>
            <rFont val="Tahoma"/>
            <family val="2"/>
          </rPr>
          <t>Johanna Lucia Bustos Criales:</t>
        </r>
        <r>
          <rPr>
            <sz val="9"/>
            <color indexed="81"/>
            <rFont val="Tahoma"/>
            <family val="2"/>
          </rPr>
          <t xml:space="preserve">
01-12-2017 Adición $ 2.917.475
</t>
        </r>
      </text>
    </comment>
    <comment ref="J270" authorId="1" shapeId="0">
      <text>
        <r>
          <rPr>
            <b/>
            <sz val="9"/>
            <color indexed="81"/>
            <rFont val="Tahoma"/>
            <family val="2"/>
          </rPr>
          <t>Orlando Arias:</t>
        </r>
        <r>
          <rPr>
            <sz val="9"/>
            <color indexed="81"/>
            <rFont val="Tahoma"/>
            <family val="2"/>
          </rPr>
          <t xml:space="preserve">
03/05/2017
 Se reduce el valor a $ 41.250.000</t>
        </r>
      </text>
    </comment>
    <comment ref="J271" authorId="0" shapeId="0">
      <text>
        <r>
          <rPr>
            <b/>
            <sz val="9"/>
            <color indexed="81"/>
            <rFont val="Tahoma"/>
            <family val="2"/>
          </rPr>
          <t>Johanna Lucia Bustos Criales:</t>
        </r>
        <r>
          <rPr>
            <sz val="9"/>
            <color indexed="81"/>
            <rFont val="Tahoma"/>
            <family val="2"/>
          </rPr>
          <t xml:space="preserve">
14-12-2017 Adición $ 2,512,500</t>
        </r>
      </text>
    </comment>
    <comment ref="J272" authorId="0" shapeId="0">
      <text>
        <r>
          <rPr>
            <b/>
            <sz val="9"/>
            <color indexed="81"/>
            <rFont val="Tahoma"/>
            <family val="2"/>
          </rPr>
          <t>Johanna Lucia Bustos Criales:</t>
        </r>
        <r>
          <rPr>
            <sz val="9"/>
            <color indexed="81"/>
            <rFont val="Tahoma"/>
            <family val="2"/>
          </rPr>
          <t xml:space="preserve">
07-12-2017 Adición $ 2,227,890</t>
        </r>
      </text>
    </comment>
    <comment ref="J274" authorId="0" shapeId="0">
      <text>
        <r>
          <rPr>
            <b/>
            <sz val="9"/>
            <color indexed="81"/>
            <rFont val="Tahoma"/>
            <family val="2"/>
          </rPr>
          <t>Johanna Lucia Bustos Criales:</t>
        </r>
        <r>
          <rPr>
            <sz val="9"/>
            <color indexed="81"/>
            <rFont val="Tahoma"/>
            <family val="2"/>
          </rPr>
          <t xml:space="preserve">
01-12-2017 Adición $ 2.259.888 se anula la solicitud, no se va a realizar la adición. Correo de Andrea Mahecha 13-12-2017</t>
        </r>
      </text>
    </comment>
    <comment ref="J275" authorId="0" shapeId="0">
      <text>
        <r>
          <rPr>
            <b/>
            <sz val="9"/>
            <color indexed="81"/>
            <rFont val="Tahoma"/>
            <family val="2"/>
          </rPr>
          <t>Johanna Lucia Bustos Criales:</t>
        </r>
        <r>
          <rPr>
            <sz val="9"/>
            <color indexed="81"/>
            <rFont val="Tahoma"/>
            <family val="2"/>
          </rPr>
          <t xml:space="preserve">
07-12-2017 Adición $ 1,072,500
</t>
        </r>
      </text>
    </comment>
    <comment ref="J276" authorId="0" shapeId="0">
      <text>
        <r>
          <rPr>
            <b/>
            <sz val="9"/>
            <color indexed="81"/>
            <rFont val="Tahoma"/>
            <family val="2"/>
          </rPr>
          <t>Johanna Lucia Bustos Criales:</t>
        </r>
        <r>
          <rPr>
            <sz val="9"/>
            <color indexed="81"/>
            <rFont val="Tahoma"/>
            <family val="2"/>
          </rPr>
          <t xml:space="preserve">
07-12-2017 Adición $ 2,300,000</t>
        </r>
      </text>
    </comment>
    <comment ref="J277" authorId="0" shapeId="0">
      <text>
        <r>
          <rPr>
            <b/>
            <sz val="9"/>
            <color indexed="81"/>
            <rFont val="Tahoma"/>
            <family val="2"/>
          </rPr>
          <t>Johanna Lucia Bustos Criales:</t>
        </r>
        <r>
          <rPr>
            <sz val="9"/>
            <color indexed="81"/>
            <rFont val="Tahoma"/>
            <family val="2"/>
          </rPr>
          <t xml:space="preserve">
07-12-2017  Adicfión $ 2,300,000</t>
        </r>
      </text>
    </comment>
    <comment ref="J278" authorId="0" shapeId="0">
      <text>
        <r>
          <rPr>
            <b/>
            <sz val="9"/>
            <color indexed="81"/>
            <rFont val="Tahoma"/>
            <family val="2"/>
          </rPr>
          <t>Johanna Lucia Bustos Criales:</t>
        </r>
        <r>
          <rPr>
            <sz val="9"/>
            <color indexed="81"/>
            <rFont val="Tahoma"/>
            <family val="2"/>
          </rPr>
          <t xml:space="preserve">
01-12-2017 Adición $ 2.227.890</t>
        </r>
      </text>
    </comment>
    <comment ref="J279" authorId="0" shapeId="0">
      <text>
        <r>
          <rPr>
            <b/>
            <sz val="9"/>
            <color indexed="81"/>
            <rFont val="Tahoma"/>
            <family val="2"/>
          </rPr>
          <t>Johanna Lucia Bustos Criales:</t>
        </r>
        <r>
          <rPr>
            <sz val="9"/>
            <color indexed="81"/>
            <rFont val="Tahoma"/>
            <family val="2"/>
          </rPr>
          <t xml:space="preserve">
07-12-2017 Adición $ 2.401.131</t>
        </r>
      </text>
    </comment>
    <comment ref="J280" authorId="1" shapeId="0">
      <text>
        <r>
          <rPr>
            <b/>
            <sz val="9"/>
            <color indexed="81"/>
            <rFont val="Tahoma"/>
            <family val="2"/>
          </rPr>
          <t>Orlando Arias:</t>
        </r>
        <r>
          <rPr>
            <sz val="9"/>
            <color indexed="81"/>
            <rFont val="Tahoma"/>
            <family val="2"/>
          </rPr>
          <t xml:space="preserve">
28-09-2017 cambió valor a $ 13.750.000
15-12-2017 Adición $ 4.033.333 Por error de digitación de presupuesto, se cambio el No del contrato del 322 al 332, fue necesario anular el CDP y expedir uno nuevo, la viabilidad se da el 20-12-2017
</t>
        </r>
      </text>
    </comment>
    <comment ref="J281" authorId="0" shapeId="0">
      <text>
        <r>
          <rPr>
            <b/>
            <sz val="9"/>
            <color indexed="81"/>
            <rFont val="Tahoma"/>
            <family val="2"/>
          </rPr>
          <t>Johanna Lucia Bustos Criales:</t>
        </r>
        <r>
          <rPr>
            <sz val="9"/>
            <color indexed="81"/>
            <rFont val="Tahoma"/>
            <family val="2"/>
          </rPr>
          <t xml:space="preserve">
15-12-2017 Adición $ 2,680,000</t>
        </r>
      </text>
    </comment>
    <comment ref="L289" authorId="1" shapeId="0">
      <text>
        <r>
          <rPr>
            <b/>
            <sz val="9"/>
            <color indexed="81"/>
            <rFont val="Tahoma"/>
            <family val="2"/>
          </rPr>
          <t>Orlando Arias:</t>
        </r>
        <r>
          <rPr>
            <sz val="9"/>
            <color indexed="81"/>
            <rFont val="Tahoma"/>
            <family val="2"/>
          </rPr>
          <t xml:space="preserve">
Se anulo CRP 449 por $ 2.685.711</t>
        </r>
      </text>
    </comment>
    <comment ref="J293" authorId="0" shapeId="0">
      <text>
        <r>
          <rPr>
            <b/>
            <sz val="9"/>
            <color indexed="81"/>
            <rFont val="Tahoma"/>
            <family val="2"/>
          </rPr>
          <t>Johanna Lucia Bustos Criales:</t>
        </r>
        <r>
          <rPr>
            <sz val="9"/>
            <color indexed="81"/>
            <rFont val="Tahoma"/>
            <family val="2"/>
          </rPr>
          <t xml:space="preserve">
01-12-2017 Adición $ 45.393.243</t>
        </r>
      </text>
    </comment>
    <comment ref="J294" authorId="1" shapeId="0">
      <text>
        <r>
          <rPr>
            <b/>
            <sz val="9"/>
            <color indexed="81"/>
            <rFont val="Tahoma"/>
            <family val="2"/>
          </rPr>
          <t>Orlando Arias:</t>
        </r>
        <r>
          <rPr>
            <sz val="9"/>
            <color indexed="81"/>
            <rFont val="Tahoma"/>
            <family val="2"/>
          </rPr>
          <t xml:space="preserve">
10/05/2017 Cambio valor en CDP salio por $ 158.014755. La Viabilidad se expidio por $ 160.000.000
14-11-2017 Adición $ 30.000.000
</t>
        </r>
      </text>
    </comment>
    <comment ref="B300" authorId="1" shapeId="0">
      <text>
        <r>
          <rPr>
            <b/>
            <sz val="9"/>
            <color indexed="81"/>
            <rFont val="Tahoma"/>
            <family val="2"/>
          </rPr>
          <t>Orlando Arias:</t>
        </r>
        <r>
          <rPr>
            <sz val="9"/>
            <color indexed="81"/>
            <rFont val="Tahoma"/>
            <family val="2"/>
          </rPr>
          <t xml:space="preserve">
No se pueden ejecutar hasta saber como fueron asignados</t>
        </r>
      </text>
    </comment>
  </commentList>
</comments>
</file>

<file path=xl/sharedStrings.xml><?xml version="1.0" encoding="utf-8"?>
<sst xmlns="http://schemas.openxmlformats.org/spreadsheetml/2006/main" count="5123" uniqueCount="1376">
  <si>
    <t>Presupuesto</t>
  </si>
  <si>
    <t>Concepto de Gasto</t>
  </si>
  <si>
    <t>Fuente</t>
  </si>
  <si>
    <t>Producto PMR</t>
  </si>
  <si>
    <t>CDP´s</t>
  </si>
  <si>
    <t>Valor</t>
  </si>
  <si>
    <t>CRP´s</t>
  </si>
  <si>
    <t>GIROS</t>
  </si>
  <si>
    <t>GIROS TOTAL</t>
  </si>
  <si>
    <t>RESERVAS</t>
  </si>
  <si>
    <t>JUNIO</t>
  </si>
  <si>
    <t>JULIO</t>
  </si>
  <si>
    <t>AGOSTO</t>
  </si>
  <si>
    <t>SEPTIEMBRE</t>
  </si>
  <si>
    <t>OCTUBRE</t>
  </si>
  <si>
    <t>NOVIEMBRE</t>
  </si>
  <si>
    <t>DICIEMBRE</t>
  </si>
  <si>
    <t>TOTAL</t>
  </si>
  <si>
    <t>MAYO</t>
  </si>
  <si>
    <t>ABRIL</t>
  </si>
  <si>
    <t>MARZO</t>
  </si>
  <si>
    <t xml:space="preserve">FEBRERO </t>
  </si>
  <si>
    <t xml:space="preserve">Componentes </t>
  </si>
  <si>
    <t xml:space="preserve">911 - Jornada educativa única para la excelencia académica y la formación integral </t>
  </si>
  <si>
    <t xml:space="preserve">439 - Memoria Histórica y Patrimonio Cultural </t>
  </si>
  <si>
    <t xml:space="preserve">498 - Gestión e intervención del patrimonio cultural material del Distrito Capital </t>
  </si>
  <si>
    <t xml:space="preserve">746 - Circulación y divulgación de los valores del patrimonio cultural </t>
  </si>
  <si>
    <t xml:space="preserve">440 - Revitalización del Centro Tradicional y de sectores e inmuebles de interés cultural en el Distrito Capital </t>
  </si>
  <si>
    <t xml:space="preserve">733 - Fortalecimiento y mejoramiento de la gestión institucional </t>
  </si>
  <si>
    <t>01 -Recursos del Distrito-12 Otros Distrito</t>
  </si>
  <si>
    <t xml:space="preserve">PROYECTO </t>
  </si>
  <si>
    <t xml:space="preserve">RECURSOS ASOCIADOS </t>
  </si>
  <si>
    <t xml:space="preserve">RESERVAS </t>
  </si>
  <si>
    <t xml:space="preserve">BOGOTA POSITIVA </t>
  </si>
  <si>
    <t xml:space="preserve">BOGOTA HUMANA </t>
  </si>
  <si>
    <t xml:space="preserve">499 - Conservación del Patrimonio y paisajes culturales </t>
  </si>
  <si>
    <t xml:space="preserve">519- Fortalecimiento de la infraestructura física de los escenarios culturales </t>
  </si>
  <si>
    <t xml:space="preserve">527- Fortalecimiento institucional </t>
  </si>
  <si>
    <t xml:space="preserve">PROYECTO DE INVERSIÓN </t>
  </si>
  <si>
    <t xml:space="preserve">PASIVOS EXIGILES </t>
  </si>
  <si>
    <t xml:space="preserve">TOTAL </t>
  </si>
  <si>
    <t xml:space="preserve">498 - Gestión e intervención del patrimonio cultural material del Distrito Capital. </t>
  </si>
  <si>
    <t xml:space="preserve">440 - Revitalización del Centro Tradicional y de sectores e inmuebles de interés cultural en el Distrito Capital.  </t>
  </si>
  <si>
    <t xml:space="preserve">Subtotal </t>
  </si>
  <si>
    <t xml:space="preserve">Transparencia en la gestión institucional </t>
  </si>
  <si>
    <t>01- Recursos del Distrito 110- Recursos del Balance IVA al servicio de telefonía móvil</t>
  </si>
  <si>
    <t>01- Recursos del Distrito 41- Plusvalía</t>
  </si>
  <si>
    <t xml:space="preserve">FUENTE DE FINANCIACION </t>
  </si>
  <si>
    <t xml:space="preserve">01-71 Recursos reservas IVA al servicio de telefonía móvil </t>
  </si>
  <si>
    <t>01-65 Recursos reservas Plusvalía</t>
  </si>
  <si>
    <t xml:space="preserve">OBSERVACIONES </t>
  </si>
  <si>
    <t>recorte de 370 millones componente de comunicaciones</t>
  </si>
  <si>
    <t xml:space="preserve">recorte de 50 millones componente de TICs </t>
  </si>
  <si>
    <t xml:space="preserve">OBJETIVO: </t>
  </si>
  <si>
    <t xml:space="preserve">RESPONSABLE: </t>
  </si>
  <si>
    <t xml:space="preserve">ESTRATEGIA: </t>
  </si>
  <si>
    <t xml:space="preserve">Modificaciones: </t>
  </si>
  <si>
    <t>ENERO</t>
  </si>
  <si>
    <t>Programacion PMR</t>
  </si>
  <si>
    <t xml:space="preserve">Fecha de Actualización:  </t>
  </si>
  <si>
    <t xml:space="preserve">PLAN DE ACCIÓN PRESUPUESTO DE INVERSIÓN </t>
  </si>
  <si>
    <t>Meta Plan de Desarrollo         2016-2020</t>
  </si>
  <si>
    <t>Nº de Contrato</t>
  </si>
  <si>
    <t>No. Código de Control</t>
  </si>
  <si>
    <t xml:space="preserve">    DE-F08</t>
  </si>
  <si>
    <t>Nombre del Proceso</t>
  </si>
  <si>
    <t>Código</t>
  </si>
  <si>
    <t>Versión</t>
  </si>
  <si>
    <t>Direccionamiento Estratégico</t>
  </si>
  <si>
    <t>Nombre del Formato</t>
  </si>
  <si>
    <t>PILAR O EJE: 01 Igualdad de calidad de vida</t>
  </si>
  <si>
    <t>PROGRAMA: 11 Mejores oportunidades para el desarrollo a través de la cultura, la recreación y el deporte</t>
  </si>
  <si>
    <t>Proyecto estratégico:  124 Formación para la transformación del ser</t>
  </si>
  <si>
    <t>Proyecto Entidad: 1024  Formación en patrimonio cultural</t>
  </si>
  <si>
    <t>Subdirectora de Divulgación</t>
  </si>
  <si>
    <t>Formar estudiantes y docentes que apropien, valoren, conserven y divulguen el patrimonio cultural de la ciudad.</t>
  </si>
  <si>
    <t>Permitir a la ciudadanía de las zonas urbanas y rurales, mejores oportunidades para su desarrollo en condiciones de igualdad.</t>
  </si>
  <si>
    <t>Formación en catedra de patrimonio en colegios
del distrito capital</t>
  </si>
  <si>
    <t>01- Recursos del Distrito - 12 Otros Distrito</t>
  </si>
  <si>
    <t>4-01-0187 - Actividades De Formación En Arte, Cultura, Patrimonio, Recreación Y Deporte</t>
  </si>
  <si>
    <t>Realizar 634.250 atenciones a niños, niñas y adolescentes  en el marco del programa Jornada Única  y Tiempo Escolar durante el cuatrenio</t>
  </si>
  <si>
    <t>12. Formación en Cátedra de Patrimonio en colegios distritales</t>
  </si>
  <si>
    <t>Formacion a docentes</t>
  </si>
  <si>
    <t>Atender 4.343 formadores en las áreas de patrimonio, artes, recreación y deporte</t>
  </si>
  <si>
    <t>Sistematizacion de la experiencia</t>
  </si>
  <si>
    <t>Realizar 20 procesos de investigación, sistematización y memoria</t>
  </si>
  <si>
    <t>Sistematizar 1 experiencias de la formación a niños/as, adolescentes y docentes en patrimonio cultural.</t>
  </si>
  <si>
    <t>Atender a 1,179 niños/as y adolescentesa través de la formación en patrimonio cultural dentro del programa de la jornada única y estrategias de uso del tiempo escolar</t>
  </si>
  <si>
    <t>Capacitar a 10 docentes como formadores de la cátedra de patrimonio, dentro del programa de la
jornada única y como estrategias de uso del tiempo escolar</t>
  </si>
  <si>
    <t xml:space="preserve">3-3-1-15-1-11-1024-124 </t>
  </si>
  <si>
    <t>PILAR O EJE: 03 Construcción de comunidad y cultura ciudadana</t>
  </si>
  <si>
    <t>PROGRAMA: 25 Cambio cultural y construcción del tejido social para la vida</t>
  </si>
  <si>
    <t>Proyecto estratégico:  158 Valoración y apropiación social del patrimonio cultural</t>
  </si>
  <si>
    <t>1107. Divulgación y apropiación del patrimonio cultural del Distrito Capital</t>
  </si>
  <si>
    <t>Fomentar el sentido de pertenencia por el patrimonio cultural de la ciudad, como factor de desarrollo socio - cultural de la ciudadanía.</t>
  </si>
  <si>
    <t>Orientar la oferta del sector hacia la promoción de nuevas percepciones, actitudes y hábitos ciudadanos que favorezcan la acción colectiva para el cuidado del entorno, el disfrute del espacio público como un patrimonio común.</t>
  </si>
  <si>
    <t xml:space="preserve">3-3-1-15-3-25-1107-158 </t>
  </si>
  <si>
    <t>Museo de Bogotá en operación</t>
  </si>
  <si>
    <t>03-01-0066 - Fomento, Apoyo Y Divulgación De Eventos Y Expresiones Artísticas, Culturales Y Del Patrimonio</t>
  </si>
  <si>
    <t>Alcanzar 1.700.000 asistencias al Museo de Bogotá, a recorridos y rutas patrimoniales y a otras prácticas patrimoniales</t>
  </si>
  <si>
    <t xml:space="preserve">13. Oferta cultural para la valoración y divulgación del patrimonio material e  inmaterial de la ciudad </t>
  </si>
  <si>
    <t>4-01-0185 - Actividades De Investigación Para La Valoración, Protección, Conservación, Sostenibilidad Y Apropiación Del Patrimonio Cultural</t>
  </si>
  <si>
    <t>Estímulos a iniciativas de la ciudadanía en temas
de patrimonio cultural</t>
  </si>
  <si>
    <t>Apoyar a través de estímulos, 25 iniciativas de la ciudadanía en temas de patrimonio cultural.</t>
  </si>
  <si>
    <t>Activación del patrimonio</t>
  </si>
  <si>
    <t>Ofrecer 1.130 actividades que contribuyan a activar el patrimonio cultural</t>
  </si>
  <si>
    <t>Fortalecimiento de los subsistemas del sistema
integrado de gestión</t>
  </si>
  <si>
    <t>05-02-0020 - Personal Contratado Para Las Actividades Propias De Los Procesos De Mejoramiento De Gestión De La Entidad</t>
  </si>
  <si>
    <t>10. Procesos articulados dentro del sistema integrado de gestión.</t>
  </si>
  <si>
    <t>Personal de apoyo transversal a la gestión
institucional</t>
  </si>
  <si>
    <t>Incrementar a un 90% la sostenibilidad del sistema integrado de gestión, para prestar un mejor servicio en la atención a la ciudadanía.</t>
  </si>
  <si>
    <t>Transparencia y atención a la ciudadanía</t>
  </si>
  <si>
    <t>Desarrollar actividades de comunicación e
información</t>
  </si>
  <si>
    <t>Plan especial de manejo y protección del centro
histórico</t>
  </si>
  <si>
    <t>Formular el Plan Especial de Manejo y Protección del Centro Historico</t>
  </si>
  <si>
    <t>Formular y adoptar 0,20 del Plan Especial de Manejo y Protección del Centro Histórico</t>
  </si>
  <si>
    <t>15. Instrumentos técnicos de gestión para la preservación del patrimonio cultural</t>
  </si>
  <si>
    <t>Planes y proyectos urbanos en ámbitos
patrimoniales</t>
  </si>
  <si>
    <t>Instrumentos de gestión, financiación e
incentivos para la recuperación y sostenibilidad
del patrimonio cultural</t>
  </si>
  <si>
    <t xml:space="preserve">Bienes de Interés Cultural de tipo inmueble intervenidos </t>
  </si>
  <si>
    <t>1-01-0525- Recuperación y aprovechamiento de bienes de interés cultural</t>
  </si>
  <si>
    <t>1.009 Bienes de Interés Cultural (BIC) intervenidos</t>
  </si>
  <si>
    <t>4. Obras de Intervención en Bienes muebles - inmuebles y sectores que conforman el patrimonio cultural del D.C.</t>
  </si>
  <si>
    <t>PILAR O EJE: 07 Gobierno legítimo, fortalecimiento local y eficiencia</t>
  </si>
  <si>
    <t>PROGRAMA: 42 Transparencia, gestión pública y servicio a la ciudadanía</t>
  </si>
  <si>
    <t>Proyecto estratégico:  185 Fortalecimiento a la gestión publica efectiva y eficiente</t>
  </si>
  <si>
    <t>Proyecto Entidad: 1110. Fortalecimiento y desarrollo de la gestión institucional</t>
  </si>
  <si>
    <t>Subdirector de Gestión Corporativa</t>
  </si>
  <si>
    <t>Fortalecer la gestión institucional, mediante la implementación, el mantenimiento y la sostenibilidad del Sistema Integrado de Gestión, con el fin de promover la mejora en los servicios ofrecidos a la ciudadanía y el cumplimiento de la misión institucional.</t>
  </si>
  <si>
    <t>Implementación de modelo de gobierno abierto para el Distrito Capital</t>
  </si>
  <si>
    <t xml:space="preserve">3-3-1-15-7-42-1110-185 </t>
  </si>
  <si>
    <t>Incrementar a un 40% la sostenibilidad del sistema integrado de gestión, para prestar un mejor servicio en la atención a la ciudadanía.</t>
  </si>
  <si>
    <t>Saldo</t>
  </si>
  <si>
    <t>Juan Fernando Acosta Mirkow</t>
  </si>
  <si>
    <t>13. Oferta cultural para la valoración y divulgación del patrimonio material e  inmaterial de la ciud</t>
  </si>
  <si>
    <t>TOTAL INVERSION 2017</t>
  </si>
  <si>
    <t>Formular el 0,4 de planes urbanos en ambitos patrimoniales</t>
  </si>
  <si>
    <t>Formular y adoptar 0,5 instrumentos de financiamiento para la recuperación y sostenibilidad del patrimonio
cultural.</t>
  </si>
  <si>
    <t>PILAR O EJE: 02 Democracia urbana</t>
  </si>
  <si>
    <t>PROGRAMA: 17 Espacio público, derecho de todos</t>
  </si>
  <si>
    <t>Proyecto estratégico: 140 Recuperación del patrimonio material de la ciudad</t>
  </si>
  <si>
    <t>Proyecto Entidad: 1112. Instrumentos de planeación y gestión para la preservación y sostenibilidad del patrimonio cultural</t>
  </si>
  <si>
    <t>Determinar acciones de protección, conservación y sostenibilidad en el tiempo, para Bienes de Interés Cultural del Distrito Capital, mediante el estudio, formulación, gestión y adopción de planes, programas e instrumentos de gestión y financiación del patrimonio cultural.</t>
  </si>
  <si>
    <t>Generación de espacio público asociado al desarrollo y fortalecimiento de la infraestructura cultural, patrimonial, recreativa y deportiva de la ciudad.</t>
  </si>
  <si>
    <t xml:space="preserve">3-3-1-15-2-17-1112-140  </t>
  </si>
  <si>
    <t>Plan de Desarrollo Bogotá Mejor Para Todos</t>
  </si>
  <si>
    <t>Proyecto Entidad: 1114. Intervención y conservacion de los bienes muebles e inmuebles en sectores de interes cultural del Distrito Capital</t>
  </si>
  <si>
    <t>Avanzar en la recuperación, conservación y protección de los bienes muebles e inmuebles que constituyen el patrimonio cultural construido de Bogotá, para su promoción y disfrute por parte de la ciudadanía.</t>
  </si>
  <si>
    <t xml:space="preserve">3-3-1-15-2-17-1114-140  </t>
  </si>
  <si>
    <t xml:space="preserve">Asesorar y administrar técnicamente el 34% de las intervenciones de bienes de interés cultural y el mantenimiento de los escenarios culturales a cargo de la entidad. </t>
  </si>
  <si>
    <t>Programa Fachadas</t>
  </si>
  <si>
    <t>01 - Recursos del Distrito - 39 - IVA al Servicio de la Telefonía Móvil (Ley 788 de 2002)</t>
  </si>
  <si>
    <t>01 - Recursos del Distrito - 41 Plusvalía</t>
  </si>
  <si>
    <t>01 - Recursos del Distrito - 270   Recursos del Balance - Reóforo y Plusvalía</t>
  </si>
  <si>
    <t>03- Recursos Administrados - 147 Otros Recursos del Balance de Destinación Especifica</t>
  </si>
  <si>
    <t>Actividades de seguimiento arqueológico en
intervenciones y acciones sobre bienes de
interés cultural</t>
  </si>
  <si>
    <t>4-01-0185 - Actividades de investigación para la valoración protección, conservación sostenibilidad y apropiación del patrimonio cultural</t>
  </si>
  <si>
    <t>Monumentos en espacios públicos a intervenir</t>
  </si>
  <si>
    <t>1-03-0103 - Administración, Mantenimiento Y Mejoramiento De Los Bienes Muebles E Inmuebles Ubicados En El Espacio Público Del Distrito Capital</t>
  </si>
  <si>
    <t>Asesoría técnica para la protección y promoción
del patrimonio cultural material del distrito capital</t>
  </si>
  <si>
    <t>3-04-0316 - Personal De Apoyo Para Las Actividades De Valoración, Protección Y Conservación Del Patrimonio Cultural</t>
  </si>
  <si>
    <t>Asesorar y administrar técnicamente el 34% de las intervenciones de bienes de interés cultural y el mantenimiento de los escenarios culturales a cargo de la entidad.</t>
  </si>
  <si>
    <t>03. Recursos Administrados – 21. Administrados de libre destinación</t>
  </si>
  <si>
    <t>1-03-0020 -Mantenimiento y mejoramiento de la Infraestructura Cultural</t>
  </si>
  <si>
    <t>03 - Recursos Administrados  - 20 - Administrados de Destinación Específica</t>
  </si>
  <si>
    <t>03- Recursos Administrados - 490 Rendimientos Financieros de Libre Destinación</t>
  </si>
  <si>
    <t>Recuperación para el uso adecuado y disfrute del espacio público, sostenibilidad del espacio público, generación del espacio público asociado al desarrollo y fortalecimiento de la infraestructura cultural, patrimonial, recreativa y deportiva de la ciudad</t>
  </si>
  <si>
    <t>VALOR</t>
  </si>
  <si>
    <t>RP</t>
  </si>
  <si>
    <t>Dorys Patricia Noy P.</t>
  </si>
  <si>
    <t>PLAN DE ACCION PRESUPUESTO DE INVERSION 2017</t>
  </si>
  <si>
    <t>Lograr  582.280 asistentes a la oferta generada por el Instituto en actividades de patrimonio cultural</t>
  </si>
  <si>
    <t>Meta Entidad 2017</t>
  </si>
  <si>
    <t xml:space="preserve">0152- Adquisición de equipos y software para el mejoramiento de la gestión institucional </t>
  </si>
  <si>
    <t>Adquisición de equipos, materiales y suministros</t>
  </si>
  <si>
    <t>02-03-0114 - Adquisición de equipos, materiales y suministros</t>
  </si>
  <si>
    <t>Bienes de Interés Cultural de tipo inmueble intervenidos (Sede central IDPC)</t>
  </si>
  <si>
    <t>Bienes de Interés Cultural de tipo inmueble intervenidos (Plaza Santamaría-fase II)</t>
  </si>
  <si>
    <t>Bienes de Interés Cultural de tipo inmueble intervenidos (Catedral Primada-fachada)</t>
  </si>
  <si>
    <t>Bienes de Interés Cultural de tipo inmueble intervenidos (Saldos convenios)</t>
  </si>
  <si>
    <t>Bienes de Interés Cultural de tipo inmueble intervenidos (Apoyo trasversal)</t>
  </si>
  <si>
    <t>Administración y mantenimiento de escenarios culturales  (Servicios públicos)</t>
  </si>
  <si>
    <t>Administración y mantenimiento de escenarios culturales  (Vigilancia, aseo, cafeteria y pólizas de seguros)</t>
  </si>
  <si>
    <t>Administración y mantenimiento de escenarios culturales  (Mantenimiento)</t>
  </si>
  <si>
    <t>Subdirector (a) de Intervencion</t>
  </si>
  <si>
    <t>Subdirector (a) General</t>
  </si>
  <si>
    <t>Subdirector (a) de Gestión Corporativa</t>
  </si>
  <si>
    <t>112
003</t>
  </si>
  <si>
    <t>OBJETO</t>
  </si>
  <si>
    <t>Nº CDP</t>
  </si>
  <si>
    <t>FECHA</t>
  </si>
  <si>
    <t>TERCERO</t>
  </si>
  <si>
    <t>Nº CONTRATO</t>
  </si>
  <si>
    <t>NIT O CC</t>
  </si>
  <si>
    <t>SALDO</t>
  </si>
  <si>
    <t>Prestar servicios profesionales al Instituto Distrital de Patrimonio Cultural para llevar a cabo acciones de articulación y vinculación entre los procesos de formación en patrimonio cultural y la estrategía educativa del Museo de Bogotá</t>
  </si>
  <si>
    <t>Prestar servicios profesionales al Instituto Distrital de Patrimonio Cultural para orientar los procesos de formación en patrimonio cultural en el marco del proyecto de inversión 1024 - Formación en patrimonio cultural.</t>
  </si>
  <si>
    <t>Prestar servicios profesionales al Instituto Distrital de Patrimonio Cultural para llevar a cabo en aula el desarrollo metodológico de la cátedra de patrimonio - Civinautas, dirigido a estudiantes de Colegios Distritales.</t>
  </si>
  <si>
    <t>Prestar servicios profesionales al Instituto Distrital de Patrimonio Cultural para acompañar los procesos pedagógicos derivados del proyecto de inversión 1024 - Formación en patrimonio cultural.</t>
  </si>
  <si>
    <t>PREDIS</t>
  </si>
  <si>
    <t>Nº RP</t>
  </si>
  <si>
    <t>Prestar servicios profesionales al Instituto Distrital de Patrimonio Cultural para acompañar el desarrollo del componente pedagógico de la exposición permanente del Museo de Bogotá.</t>
  </si>
  <si>
    <t>Prestar servicios profesionales al Instituto Distrital de Patrimonio Cultural para acompañar el desarrollo de la estrategia educativa del Museo de Bogotá en territorio - espacio público  y de las exposiciones temporales.</t>
  </si>
  <si>
    <t>Prestar servicios profesionales al Instituto Distrital de Patrimonio Cultural para apoyar y acompañar la gestión administrativa y operativa del Programa Distrital de Estímulos y Apoyos Concertados 2017.</t>
  </si>
  <si>
    <t>Prestar servicios profesionales al Instituto Distrital de Patrimonio Cultural para llevar a cabo las actividades de registro y catalogación de la colección del Museo de Bogotá.</t>
  </si>
  <si>
    <t>Prestar servicios profesionales al Instituto Distrital de Patrimonio Cultural para llevar a cabo las actividades de conservación preventiva de la colección del Museo de Bogotá.</t>
  </si>
  <si>
    <t>Prestar servicios profesionales al Instituto Distrital de Patrimonio Cultural para orientar el desarrollo de los procesos curatoriales y de investigación requeridos en el marco de la exposición semipermanente del Museo de Bogotá.</t>
  </si>
  <si>
    <t>Prestar servicios al Instituto Distrital de Patrimonio Cultural para apoyar la gestión operativa y asistencial requerida para la operación del Museo de Bogotá.</t>
  </si>
  <si>
    <t>Prestar servicios profesionales al Instituto Distrital de Patrimonio Cultural para acompañar el desarrollo de los procesos museográficos requeridos en la operación del Museo de Bogotá.</t>
  </si>
  <si>
    <t>Prestar servicios profesionales al Instituto Distrital de Patrimonio Cultural para orientar la ejecución de los proyectos editoriales y de investigación relacionados con la activación del patrimonio cultural del Distrito Capital.</t>
  </si>
  <si>
    <t>Prestar servicios profesionales al Instituto Distrital de Patrimonio Cultural para acompañar el diseño de piezas gráficas y de comunicación requeridas en el marco de los proyectos de activación del patrimonio cultural del Distrito Capital.</t>
  </si>
  <si>
    <t>Prestar servicios profesionales al Instituto Distrital de Patrimonio Cultural para administrar, brindar soporte técnico y actualizar los contenidos de los sitios web de la entidad, empleados como mecanismo de divulgación y activación del patrimonio cultural del Distrito Capital.</t>
  </si>
  <si>
    <t>Prestar servicios profesionales al Instituto Distrital de Patrimonio Cultural para acompañar el diseño y diagramación de las publicaciones y proyectos editoriales adelantados en el marco de los procesos de activación del patrimonio cultural.</t>
  </si>
  <si>
    <t>Prestar servicios profesionales al Instituto Distrital de Patrimonio Cultural para realizar el registro fotográfico de los proyectos de activación del patrimonio cultural del Distrito Capital.</t>
  </si>
  <si>
    <t>Prestar servicios profesionales al Instituto Distrital de Patrimonio Cultural para acompañar la producción audiovisual y multimedial de los proyectos de activación del patrimonio cultural del Distrito Capital.</t>
  </si>
  <si>
    <t>Prestar servicios  al Instituto Distrital de Patrimonio Cultural para brindar atención al público en la sede Casa Sámano en el marco de la operación del Museo de Bogotá.</t>
  </si>
  <si>
    <t>Prestar  servicios profesionales al Instituto Distrital de Patrimonio Cultural para llevar a cabo los procesos de planeación,  control presupuestal, seguimiento a indicadores y sistema integrado de gestión,  requerido para la operación del Museo de Bogotá.</t>
  </si>
  <si>
    <t>Prestar servicios profesionales al Instituto Distrital de Patrimonio Cultural para orientar la planeación y desarrollo de los procesos de contratación sin límite de cuantía, así como los trámites jurídico/legales que se generen en el marco de la operación del Museo de Bogotá.</t>
  </si>
  <si>
    <t>Prestar servicios  al Instituto Distrital de Patrimonio Cultural para brindar atención al público en la sede Casa de la Independencia en el marco de la operación del Museo de Bogotá.</t>
  </si>
  <si>
    <t>Prestar servicios profesionales al Instituto Distrital de Patrimonio Cultural para orientar la planeación y desarrollo de la estrategia educativa y de públicos en la operación del Museo de Bogotá.</t>
  </si>
  <si>
    <t>Prestar servicios profesionales al Instituto Distrital de Patrimonio Cultural para orientar los procesos de identificación, valoración y diagnóstico en torno a la activación del patrimonio inmaterial del Distrito Capital.</t>
  </si>
  <si>
    <t>274-1-17</t>
  </si>
  <si>
    <t>Prestar servicios profesionales al Instituto Distrital de Patrimonio Cultural para orientar el desarrollo de los procesos de activación y gestión del patrimonio cultural del Distrito Capital.</t>
  </si>
  <si>
    <t>Prestar servicios profesionales al Instituto Distrital de Patrimonio Cultural para acompañar los procesos de investigación requeridos en el marco de las exposiciones del Museo de Bogotá</t>
  </si>
  <si>
    <t>Prestar servicios profesionales al Instituto Distrital de Patrimonio Cultural para orientar los procesos museológicos requeridos para la operación del Museo de Bogotá en su proyecto de renovación.</t>
  </si>
  <si>
    <t>Viabilidad</t>
  </si>
  <si>
    <t>Diferencia</t>
  </si>
  <si>
    <t>Prestar servicios profesionales al Instituto Distrital de Patrimonio Cultural como apoyo jurídico en los procesos de selección que requiera el Instituto sin límite de cuantía en las etapas precontractual, contractual y post-contractual.</t>
  </si>
  <si>
    <t>Prestar servicios para realizar las actividades de nivel asistencial, apoyando a la Asesoría Jurídica del Instituto Distrital de Patrimonio Cultural</t>
  </si>
  <si>
    <t>Prestar servicios para la Asesoría Jurídica del Instituto Distrital de Patrimonio Cultural en el desarrollo de actividades relacionadas con la organización y administración del archivo documental.</t>
  </si>
  <si>
    <t>Prestar servicios de apoyo administrativo en la etapa de diseño, planeación, desarrollo, evaluación, seguimiento y mejoramiento de los procesos en los que participa, garantizando cumplimiento de los objetivos de la Subdirección de Gestion Corporativa</t>
  </si>
  <si>
    <t>Prestar servicios profesionales para brindar el apoyo jurídico requerido para impulsar las actuaciones disciplinarias que se adelanten dentro de los procesos de competencia del Instituto Distrital de Patrimonio Cultural</t>
  </si>
  <si>
    <t>Prestar servicios profesionales apoyando la etapas y procesos que contemplen la adquisición, manteniemiento, contratación e implementación de los sistemas de información e infraestructura tecnológica del Instituto Distrital de Patrimonio Cultural</t>
  </si>
  <si>
    <t>Prestar servicios profesionales al Instituto Distrital de Patrimonio Cultural, acompañando los temas juridicos y administrativos relacionados con los procesos de apoyo de la Entidad.</t>
  </si>
  <si>
    <t>Prestar servicios como técnologo para desarrollar actividades relacionadas con el funcionamiento de las plataformas de software y correo electrónico, así como, la revisión, instalación, mantenimiento de los equipos de cómputo y soporte técnico requerido, en el marco de las actividades adelantadas por el IDPC.</t>
  </si>
  <si>
    <t>Prestar servicios para realizar las actividades de nivel asistencial en la Dirección General del Instituto Distrital de Patrimonio Cultural</t>
  </si>
  <si>
    <t>Prestar servicios al Instituto Distrital de Patrimonio Cultural apoyando la aplicación de la politica Pública Distrital de Servicio a la Ciudadanía, su enfoque y lineas estratégicas.</t>
  </si>
  <si>
    <t>Prestar servicios profesionales al Instituto Distrital de Patrimonio Cultural para apoyar a la Asesoria Juridica en las actividades propias de sus funciones especialmente las relacionadas con la etapa post-contractual.</t>
  </si>
  <si>
    <t>Prestar servicios profesionales al Instituto Distrital de Patrimonio Cultural para apoyar a la Asesoria Juridica en las actividades propias de sus funciones, especialmente las relacionadas con la etapa post-contractual</t>
  </si>
  <si>
    <t>Prestar  servicios profesionales al Instituto Distrital de Patrimonio Cultural en el acompañamiento a la gestión institucional y relaciones internacionales para el fortalecimiento de estrategias, planes y proyectos, relacionados con el fomento y  apropiación del patrimonio en el Distrito Capital.</t>
  </si>
  <si>
    <t>Prestar servicios de apoyo a la gestión en el desarrollo de actividades administrativas de la Subdirección de Gestión Corporativa del Instituto Distrital de Patrimonio Cultural.</t>
  </si>
  <si>
    <t>Prestar servicios profesionales para gestionar los procesos de planeación, seguimiento y control de las acciones relacionadas con los programas, planes y proyectos del Instituto Distrital de Patrimonio Cultural, que permitan la articulación e integración de la gestión institucional.</t>
  </si>
  <si>
    <t>Prestar servicios profesionales como ingeniero de sistemas a fin de adelantar las acciones de fortalecimiento, implementación y supervisión de las acciones de GEL y la verificación y control de la información publicada en la página web de la entidad</t>
  </si>
  <si>
    <t>Prestar servicios de apoyo a la gestión para realizar soporte en actividades  relacionadas con el aplicativo ORFEO  del Instituto Distrital de Patrimonio Cultural.</t>
  </si>
  <si>
    <t>Prestar servicios al Instituto Distrital de Patrimonio Cultural apoyando las actividades operativas que se requieran en la recepción, organización documental y de correspondencia.</t>
  </si>
  <si>
    <t>Prestar servicios al Instituto Distrital de Patrimonio Cultural para apoyar a la Asesoría Jurídica en temas judiciales y de cartera.</t>
  </si>
  <si>
    <t>Prestar servicios profesionales especializados apoyando a la Asesoría Jurídica en la defensa judicial de los intereses patrimoniales del Instituto Distrital de Patrimonio Cultural</t>
  </si>
  <si>
    <t>Prestar servicios de apoyo a la Subdirección de Gestión Corporativa en el seguimiento de los proyectos de la dependencia y el apoyo a los procesos de contratación.</t>
  </si>
  <si>
    <t>Prestar servicios para apoyar el seguimiento a la ejecución presupuestal de inversión y a las metas de los proyectos del Instituto Distrital de Patrimonio Cultural definidos en el Plan de Desarrollo Bogotá Mejor para Todos.</t>
  </si>
  <si>
    <t>Prestar servicios profesionales orientados al fortalecimiento y mantenimiento del Subsistema de Gestión Ambiental y promover la implementación de la Política de cero papel y demás buenas prácticas de la Gestión Documental en el Instituto Distrital de Patrimonio Cultural.</t>
  </si>
  <si>
    <t>Prestar servicios profesionales al Instituto Distrital de Patrimonio Cultural para orientar la formulación y seguimiento de los planes, programas y proyectos de inversión, así como en las acciones de fortalecimiento de la Planeación Estratégica Institucional.</t>
  </si>
  <si>
    <t>Prestar servicios profesionales apoyando la gestión, control y ejecución de las actividades de Talento Humano de la Subdirección de Gestión Corporativa del Instituto Distrital de Patrimonio Cultural.</t>
  </si>
  <si>
    <t>Prestar servicios profesionales para orientar el seguimiento a la implementación, sostenibilidad y mejora del Sistema Integrado de Gestión del Instituto Distrital de Patrimonio Cultural.</t>
  </si>
  <si>
    <t>Prestar servicios profesionales para apoyar el análisis, formulación  e implementación de estrategias y prácticas de gestión del SIG para su sostenibilidad y apropiación en el IDPC.</t>
  </si>
  <si>
    <t>Prestar servicios de apoyo en el desarrollo de actividades relacionadas con la documentación emitida por la Asesoría Jurídica del Instituto Distrital de Patrimonio Cultural.</t>
  </si>
  <si>
    <t>Prestar servicios profesionales para apoyar la implementación de estrategias y el mantenimiento de las prácticas de gestión del SIG, contribuyendo a su sostenibilidad y apropiación en el IDPC.</t>
  </si>
  <si>
    <t>Prestar servicios profesionales jurídicos, para la formulación y seguimiento de los procesos contractuales y la gestión administrativa, relacionadas con los procesos liderados por la Subdirección General del Instituto Distrital de Patrimonio Cultural.</t>
  </si>
  <si>
    <t>Prestar servicios profesionales al IDPC en la estructuración técnica y   articulación de la información para la consolidación del diagnóstico y  formulación de la propuesta integral del Plan Especial de Manejo y Protección -PEMP del Centro Histórico de Bogotá D.C, relacionada con la elaboración del inventario-valoración del patrimonio cultural inmueble.</t>
  </si>
  <si>
    <t>Prestar servicios profesionales al IDPC en la orientación técnica y consolidación del diagnóstico y  formulación de la propuesta integral del Plan Especial de Manejo y Protección -PEMP- del Centro Histórico de Bogotá D.C, en particular el componente de valoración del patrimonio.</t>
  </si>
  <si>
    <t>Prestar servicios profesionales al IDPC para la formulación de planes y proyectos urbanos en ámbitos patrimoniales que adelante el Instituto y en la consolidación del diagnóstico y formulación de la propuesta integral del Plan Especial de Manejo y Protección -PEMP- del Centro Histórico de Bogotá D.C, relacionado con el componente socioeconómico.</t>
  </si>
  <si>
    <t>Prestar servicios profesionales al IDPC en la orientación técnica para la síntesis del diagnóstico y la estructuración de la propuesta integral del Plan Especial de Manejo y Protección -PEMP- del Centro Histórico de Bogotá, en particular el componente físico-espacial.</t>
  </si>
  <si>
    <t>Prestar servicios profesionales al IDPC en el apoyo técnico de la síntesis del diagnóstico y la estructuración de la propuesta integral del Plan Especial de Manejo y Protección -PEMP del Centro Histórico de Bogotá D.C.</t>
  </si>
  <si>
    <t>Prestar servicios profesionales al IDPC para apoyar las acciones requeridas en la síntesis del diagnóstico y estructuración de la propuesta urbana general, en específico de los aspectos fisico-técnicos del Plan Especial de Manejo y Protección -PEMP-del Centro Histórico de Bogotá D.C.</t>
  </si>
  <si>
    <t>Prestar servicios profesionales al IDPC para apoyar las acciones requeridas en la síntesis del diagnóstico y  estructuración de la propuesta integral en los aspectos físico-técnicos del Plan Especial de Manejo y Protección -PEMP-del Centro Histórico de Bogotá D.C.</t>
  </si>
  <si>
    <t>Prestar servicios profesionales al IDPC para apoyar la consolidación del diagnóstico y formulación de la propuesta integral del Plan Especial de Manejo y Protección -PEMP del Centro Histórico de Bogotá D.C, relacionada con la elaboración del inventario-valoración del patrimonio cultural inmueble.</t>
  </si>
  <si>
    <t>Prestar servicios profesionales al IDPC para apoyar la consolidación del diagnóstico y  formulación de la propuesta integral del Plan Especial de Manejo y Protección -PEMP del Centro Histórico de Bogotá D.C, relacionada con la elaboración del inventario-valoración del patrimonio cultural inmueble.</t>
  </si>
  <si>
    <t>VIABILIDADES</t>
  </si>
  <si>
    <t>DIFERENCIA</t>
  </si>
  <si>
    <t>Valor presupuestado para realizar los pagos de servicios públicos para el buen funcionamiento de los escenarios culturales de propiedad del Instituto Distrital de Patrimonio Cultural.</t>
  </si>
  <si>
    <t>Prestar servicios profesionales al Instituto Distrital de Patrimonio Cultural apoyando las actividades de estructuración técnica de los procesos para las acciones de gestión e intervención del patrimonio cultural del Distrito Capital.</t>
  </si>
  <si>
    <t>Prestar servicios profesionales al Instituto Distrital de Patrimonio Cultural apoyando el soporte técnico de solicitudes de intervención de Bienes de Interés Cultural ubicados en el espacio público.</t>
  </si>
  <si>
    <t>Prestar servicios profesionales al Instituto Distrital de Patrimonio Cultural apoyando las actividades de estructuración técnica de los procesos sin límite de cuantía para las acciones de gestión e intervención del patrimonio cultural del Distrito Capital.</t>
  </si>
  <si>
    <t>Prestar servicios profesionales al Instituto Distrital de Patrimonio Cultural apoyando las actividades de estructuración del presupuesto de los procesos sin límite de cuantía para las acciones de gestión e intervención del patrimonio cultural del Distrito Capital.</t>
  </si>
  <si>
    <t>Prestar servicios profesionales como ingeniero civil para la revisión y acompañamiento del componente estructural de las acciones y solicitudes de intervención de bienes de interés cultural.</t>
  </si>
  <si>
    <t>Prestar servicios profesionales al Instituto Distrital de Patrimonio Cultural para el acompañamiento de las actividades de asesoría técnica a terceros, revisión, evaluación, verificación y análisis de las solicitudes de intervención de los Bienes de Interés Cultural (BIC) del Distrito Capital.</t>
  </si>
  <si>
    <t>Prestar servicios profesionales al Instituto Distrital de Patrimonio Cultural apoyando las actividades de soporte técnico, revisión, evaluación, verificación y análisis de las solicitudes de reparaciones locativas que se presentan sobre los bienes de interés cultural del Distrito Capital.</t>
  </si>
  <si>
    <t>Prestar servicios profesionales al Instituto Distrital de Patrimonio Cultural orientando la evaluación patrimonial de las solicitudes de equiparación a estrato 1 y de control urbano de intervenciones en BIC</t>
  </si>
  <si>
    <t>Prestar servicios al Instituto Distrital de Patrimonio Cultural, apoyando la gestión de proyectos para la administración, mantenimiento, conservación y restauración de los bienes muebles  del patrimonio cultural en el espacio público de Bogotá D.C. y en la administración y disposición de los documentos derivados de los proyectos.</t>
  </si>
  <si>
    <t>Prestación de los servicios de vigilancia y seguridad privada, en la modalidad de vigilancia fija armada, con medios técnicos y tecnológicos, a los bienes muebles e inmuebles que conforman el patrimonio de la entidad y de los cuales es o llegare a ser legalmente responsable, de acuerdo con las condiciones establecidas en el pliego de condiciones y la propuesta presentada.</t>
  </si>
  <si>
    <t>Prestar servicios de apoyo en las actividades relacionadas con el manejo del archivo técnico de Bienes de Interés Cultural, en el marco de los procesos de archivo establecidos en el Instituto Distrital de Patrimonio Cultural.</t>
  </si>
  <si>
    <t>Prestar servicios profesionales para apoyar la verificación técnica final de los actos administrativos y  demás documentos que se expidan con ocasión de la evaluación y la asesoría técnica de solicitudes de intervención que se presenten ante el Instituto Distrital de Patrimonio Cultural.</t>
  </si>
  <si>
    <t>Prestar servicios al Instituto Distrital de Patrimonio Cultural realizando el seguimiento a las actividades operativas de trámites y servicios propias de la Subdirección de Intervencion, así como el seguimiento a la gestión de las actividades de asistencia técnica.</t>
  </si>
  <si>
    <t>Prestar servicios profesionales al Instituto Distrital de Patrimonio Cultural orientando la evaluación patrimonial de las solicitudes de intervención en  bienes ubicados en el espacio público y en Sectores de Interés Cultural.</t>
  </si>
  <si>
    <t>Prestar servicios profesionales al Instituto Distrital de Patrimonio Cultural en el acompañamiento jurídico y seguimiento al cumplimiento de planes de mejoramiento, consolidación y entrega de indicadores de seguimiento de cumplimiento de metas institucionales.</t>
  </si>
  <si>
    <t>Prestar servicios profesionales para el apoyo técnico a las acciones de intervención sobre fachadas y espacio público.</t>
  </si>
  <si>
    <t>Prestar servicios profesionales al Instituto Distrital de Patrimonio Cultural realizando las actividades de soporte técnico y evaluación de las solicitudes y acciones de control urbano que se presenten sobre Bienes y Sectores de Interés Cultural.</t>
  </si>
  <si>
    <t>Prestar servicios profesionales al Instituto Distrital de Patrimonio Cultural, apoyando el seguimiento desde la disciplina de conservación - restauración a las actividades de mantenimiento, administración y conservación de los bienes muebles - inmuebles en el espacio público de Bogotá D.C.</t>
  </si>
  <si>
    <t>Prestar servicios profesionales al Instituto Distrital de Patrimonio Cultural para apoyar las actividades de recuperación cromática y apoyo a los modelos de ejecución de las intervenciones de restauración y conservación en fachadas.</t>
  </si>
  <si>
    <t>Prestar servicios profesionales al Instituto Distrital de Patrimonio Cultural realizando las actividades de soporte técnico y evaluación de las solicitudes y acciones de control urbano que se presenten sobre BIC y SIC del Distrito Capital.</t>
  </si>
  <si>
    <t>Prestar servicios profesionales al Instituto Distrital de Patrimonio Cultural, apoyando los trámites de evaluación de los proyectos de Planes Especiales de Manejo y Protección y solicitudes de intervención sobre Bienes y Sectores de Interés Cultural.</t>
  </si>
  <si>
    <t>Pago de expensas de curaduría correspondiente a la prorroga de la licencia No. 14-3-0696 del predio calle 12 B No 2 - 58, denominado "Sede Principal" en la ciudad de Bogotá, D.C.</t>
  </si>
  <si>
    <t>Pago de expensas de curaduría correspondiente a la prorroga de la licencia No. 14-4-0366 del predio calle 12 B No 2 - 91, denominado "Sede Casa Tito" en la ciudad de Bogotá, D.C.</t>
  </si>
  <si>
    <t>Prestar servicios profesionales al Instituto Distrital de Patrimonio Cultural, como apoyo jurídico a la evaluación de las solicitudes de intervención sobre Bienes y Sectores de Interés Cultural.</t>
  </si>
  <si>
    <t>Prestar servicios profesionales al Instituto Distrital de Patrimonio Cultural, apoyando la revisión de la documentación para la intervención de Bienes y Sectores de Interés Cultural.</t>
  </si>
  <si>
    <t>Prestar servicios profesionales al Instituto Distrital de Patrimonio Cultural apoyando las actividades de elaboración y redacción de conceptos técnicos respecto a las normas aplicables para intervenciones sobre los inmuebles de interés cultural del Distrito Capital.</t>
  </si>
  <si>
    <t>Prestar servicios profesionales al Instituto Distrital de Patrimonio Cultural apoyando las actividades de estructuración del presupuesto de los procesos para las acciones de gestión e intervención del patrimonio cultural del Distrito Capital.</t>
  </si>
  <si>
    <t>YANETH  MORA HERNANDEZ</t>
  </si>
  <si>
    <t>GIOVANNA ALEXANDRA SEGOVIA MERCADO</t>
  </si>
  <si>
    <t>ANA GABRIELA PINILLA GONZALEZ</t>
  </si>
  <si>
    <t>SERVICIOS PÚBLICOS</t>
  </si>
  <si>
    <t>ARIEL RODRIGO FERNANDEZ BACA</t>
  </si>
  <si>
    <t>ANDRES MAURICIO CASTRO LOZANO</t>
  </si>
  <si>
    <t>RENATO  GONZALEZ CRUZ</t>
  </si>
  <si>
    <t>DIANA PAOLA BEDOYA GARCIA</t>
  </si>
  <si>
    <t>OSCAR JAVIER BECERRA MORA</t>
  </si>
  <si>
    <t>Karem Lizette Cespedes Hernandez</t>
  </si>
  <si>
    <t>FERDY ANTONIO LAMPREA AVELLANEDA</t>
  </si>
  <si>
    <t>CATALINA  ORTEGON RIVEROS</t>
  </si>
  <si>
    <t>LIDA CONSTANZA MEDRANO RINCON</t>
  </si>
  <si>
    <t>NATALIA  BARON QUIROGA</t>
  </si>
  <si>
    <t>VILMA NATALIA ROMERO INFANTE</t>
  </si>
  <si>
    <t>SANDRA MARCELA MELO RODRIGUEZ</t>
  </si>
  <si>
    <t>RUBEN DAVID SOTO CASTRO</t>
  </si>
  <si>
    <t>ANDRES MAURICIO NARVAEZ GARCIA</t>
  </si>
  <si>
    <t>FATIMA YASMIN RODRIGUEZ OBANDO</t>
  </si>
  <si>
    <t>DIEGO ANTONIO RODRIGUEZ CARRILLO</t>
  </si>
  <si>
    <t>DEICY YAMILE RIVERA PEREZ</t>
  </si>
  <si>
    <t>LAURA JULIETTE CARVAJAL GUACANEME</t>
  </si>
  <si>
    <t>Maria Paula Gonzalez Torres</t>
  </si>
  <si>
    <t>DANIEL FELIPE GUTIERREZ REYES</t>
  </si>
  <si>
    <t>LUISA MARIA GOMEZ CARDONA</t>
  </si>
  <si>
    <t>NATALIA CAMILA RAMIREZ ARANGO</t>
  </si>
  <si>
    <t>ANDRES IVAN ALBARRACIN SALAMANCA</t>
  </si>
  <si>
    <t>GERMAN DARIO ROMERO SUAREZ</t>
  </si>
  <si>
    <t>ANA MARIA SANCHEZ LESMES</t>
  </si>
  <si>
    <t>JUAN RICARDO BARRAGAN AGUILAR</t>
  </si>
  <si>
    <t>DIANA MARCELA CAMELO PINILLA</t>
  </si>
  <si>
    <t>ADRIANA  VERA ESTRADA</t>
  </si>
  <si>
    <t>VANESSA ANGELICA GARNICA ANGEL</t>
  </si>
  <si>
    <t>DIANA MARCELA GARCIA SIERRA</t>
  </si>
  <si>
    <t>IRENE CAROLINA CORREDOR ROJAS</t>
  </si>
  <si>
    <t>XIMENA PAOLA BERNAL CASTILLO</t>
  </si>
  <si>
    <t>LEONARDO  OCHICA SALAMANCA</t>
  </si>
  <si>
    <t>ANDRES RICARDO CRISTANCHO JIMENEZ</t>
  </si>
  <si>
    <t>YESICA MILENA ACOSTA MOLINA</t>
  </si>
  <si>
    <t>CARLOS  LEMA POSADA</t>
  </si>
  <si>
    <t>DIEGO LUIS ROBAYO DE ANGULO</t>
  </si>
  <si>
    <t>JORGE ELKIN BUITRAGO ARENAS</t>
  </si>
  <si>
    <t>FABIO ANDRES GRACIA PEREZ</t>
  </si>
  <si>
    <t>RUTH ELENA RODRIGUEZ AGUIRRE</t>
  </si>
  <si>
    <t>NELSON ENRIQUE LOZANO ORJUELA</t>
  </si>
  <si>
    <t>CHRSITIAN JOSE ARDILA DIRGUA</t>
  </si>
  <si>
    <t>SANTIAGO  VEGA BAQUERO</t>
  </si>
  <si>
    <t>NATALIA  LEON VELASQUEZ</t>
  </si>
  <si>
    <t>LUIS CARLOS YUSTY TRUJILLO</t>
  </si>
  <si>
    <t>ANA MARIA CARVAJAL BERNAL</t>
  </si>
  <si>
    <t>JAIBER ALFONSO SARMIENTO RUIZ</t>
  </si>
  <si>
    <t>YURY ALEJANDRA QUINTERO CASTAÑO</t>
  </si>
  <si>
    <t>DIANA MARCELA RAMIREZ CASTILLO</t>
  </si>
  <si>
    <t>GIOVANNA  MORALES AGUIRRE</t>
  </si>
  <si>
    <t>ELBA CARMENZA DURAN ALFONSO</t>
  </si>
  <si>
    <t>LUZ MARINA SERNA HERRERA</t>
  </si>
  <si>
    <t>JOSE FRANCISCO RODRIGUEZ TELLEZ</t>
  </si>
  <si>
    <t>BLADMIN DARIO BARRETO OVALLE</t>
  </si>
  <si>
    <t>RONALD  MORERA ESTEVEZ</t>
  </si>
  <si>
    <t>DAVID LEONARDO REYES CESPEDES</t>
  </si>
  <si>
    <t>FELIDA DEL CARMEN RODRIGUEZ FERNANDEZ</t>
  </si>
  <si>
    <t>Prestar servicios profesionales al IDPC apoyando el desarrollo operativo - técnico de la síntesis del diagnóstico y estructuración de la propuesta integral del Plan Especial de Manejo y Protección -PEMP- del Centro Histórico de Bogotá D.C</t>
  </si>
  <si>
    <t>Prestar servicios profesionales al IDPC en los temas administrativos y de gestión requeridos en la estructuración de la propuesta integral del PEMP del Centro Histórico de Bogotá D.C y demás instrumentos de planeación y gestión para la preservación y sostenibilidad del patrimonio cultural</t>
  </si>
  <si>
    <t>Prestar servicios profesionales al IDPC en la síntesis del diagnóstico y estructuración de la propuesta integral en el componente valoración del patrimonio inmaterial del Plan Especial de Manejo y Protección -PEMP- del Centro Histórico de Bogotá D.C</t>
  </si>
  <si>
    <t>Prestar servicios profesionales al IDPC en la síntesis del diagnóstico y estructuración de la propuesta integral de la valoración del patrimonio mueble del Plan Especial de Manejo y Protección -PEMP- del Centro Histórico de Bogotá D.C</t>
  </si>
  <si>
    <t>Prestar servicios profesionales al Instituto Distrital de
Patrimonio Cultural apoyando la gestión administrativa del
Museo de Bogotá.</t>
  </si>
  <si>
    <t>Prestar servicios al Instituto Distrital de Patrimonio Cultural
para apoyar a la Asesoría Jurídica en la gestión de
actividades contractuales de los procesos adelantados por
la entidad.</t>
  </si>
  <si>
    <t>Prestar servicios profesionales apoyando el ejercicio de la gestión contable del IDPC. Modificar el contrato de prestación de servicios
profesionales No.18 de 2017, debido a que se genero la
obligacion de "Apoya el proceso de análisis de cuentas
para trámite de pago, realizando la respectiva verificación
de documentos, liquidación de impuestos y posterior
causación en el sistema contable o software de la
entidad.", por lo cual se incrementa en $1,587,827,00,
discriminado en valor antes de iva de $1,543,828 y mas el
iva asumido por la entidad por valor de $43,999.</t>
  </si>
  <si>
    <t>Prestar los servicios para apoyar las actividades que se
requieran en el proceso de operación del Subsistema
Interno de Gestión Documental y Archivos (SIGA) del
Instituto Distrital de Patrimonio Cultural.</t>
  </si>
  <si>
    <t>Prestar los servicios para apoyar las actividades que se
requieran en el proceso de operación del Subsistema
Interno de Gestión Documental y Archivos (SIGA) del
Instituto Distrital de Patrimonio Cultural</t>
  </si>
  <si>
    <t>Prestar servicios profesiones para acompañar la operación
y sostenibilidad del Subsistema Interno de Gestión
Documental y Archivos SIGA del Instituto Distrital de
Patrimonio Cultural</t>
  </si>
  <si>
    <t>Prestar servicios profesionales especializados al Instituto
Distrital de Patrimonio Cultural para apoyar a la Asesoría
Jurídica en las actividades propias de sus funciones,
especialmente las relacionadas con la gestión pre
contractual, contractual y post contractual.</t>
  </si>
  <si>
    <t xml:space="preserve">Prestar servicios profesionales al IDPC para el desarrollo e implementación de acciones y mecanismos de información y participación ciudadana, requeridos en la fase de consolidación del diagnóstico y formulación de la propuesta integral del Plan Especial de Manejo y Protección -PEMP- del Centro Histórico de Bogotá D.C. </t>
  </si>
  <si>
    <t>Prestar servicios profesionales al IDPC para apoyar las acciones requeridas en la consolidación del diagnóstico y formulación de la propuesta integral del contexto urbano y territorial  en el marco del componente fisico-espacial  del Plan Especial de Manejo y Protección -PEMP-del Centro Histórico de Bogotá D.C.</t>
  </si>
  <si>
    <t>Prestar servicios profesionales al Instituto Distrital del Patrimonio Cultural apoyando el fomento y gestión logística de las acciones de intervención del patrimonio cultural del Distrito Capital.</t>
  </si>
  <si>
    <t>Prestar servicios de apoyo archivístico para el proceso de ordenación y actualización de expedientes del Archivo Técnico de Bienes de Interés Cultural del Instituto Distrital de Patrimonio Cultural.</t>
  </si>
  <si>
    <t>Prestar servicios profesionales apoyando administrativa y operativamente los procesos liderados por la Subdirección General del Instituto Distrital de Patrimonio Cultural.</t>
  </si>
  <si>
    <t>Prestar servicios  al Instituto Distrital de Patrimonio Cultural para brindar atención al público en territorio y espacio público en el marco de la operación del Museo de Bogotá.</t>
  </si>
  <si>
    <t>Prestar servicios profesionales en el desarrollo de las actividades requeridas para la formulación de planes y proyectos urbanos en ámbitos patrimoniales  que adelante el Instituto Distrital de Patrimonio Cultural y en particular el desarrollo del Plan Especial de Manejo y Protección -PEMP del Centro Histórico de Bogotá D.C.</t>
  </si>
  <si>
    <t>Prestar servicios profesionales apoyando el desarrollo de las actividades requeridas para la formulación de planes y proyectos urbanos en ámbitos patrimoniales que adelante el Instituto Distrital de Patrimonio Cultural  y en particular el desarrollo del Plan Especial de Manejo y Protección -PEMP del Centro Histórico de Bogotá D.C.</t>
  </si>
  <si>
    <t>Prestar servicios profesionales especializados para apoyar al Instituto Distrital de Patrimonio Cultural en los temas relacionados con la dirección de construcción y ejecución de obras en proyectos conservación y restauración en bienes inmuebles de interés cultural.</t>
  </si>
  <si>
    <t>Prestar servicios de apoyo en la gestión para realizar las actividades de radicación y debida forma de las solicitudes de trámites de evaluación de proyectos de intervención y atención al público.</t>
  </si>
  <si>
    <t>Prestar servicios profesionales al Instituto Distrital de Patrimonio Cultural realizando el acompañamiento técnico y verificación de los proyectos de Planes Especiales de Manejo y Protección y solicitudes de intervención sobre BIC del Distrito Capital.</t>
  </si>
  <si>
    <t>Contratar la prestación de servicios de aseo y cafetería, con insumos en las instalaciones del Instituto Distrital de Patrimonio Cultural</t>
  </si>
  <si>
    <t>LUISA FERNANDA LOPEZ CASTELLANOS</t>
  </si>
  <si>
    <t>PAULA ANDREA ÁVILA ESPINEL</t>
  </si>
  <si>
    <t>JUAN CAMILO BIERMAN LOPEZ</t>
  </si>
  <si>
    <t>ALEXANDRA MARIA RODRIGUEZ RAQUIRA</t>
  </si>
  <si>
    <t>SARA BEATRIZ ACUÑA GOMEZ</t>
  </si>
  <si>
    <t>ADRIANA  MORA VALENCIA</t>
  </si>
  <si>
    <t>MARIA DEL PILAR ZAMBRANO GOMEZ</t>
  </si>
  <si>
    <t>CRISTHIAN  ORTEGA AVILA</t>
  </si>
  <si>
    <t>JAUMER IVAN BLANCO LOPEZ</t>
  </si>
  <si>
    <t>JUAN PABLO SANCHEZ CHAVES</t>
  </si>
  <si>
    <t>JUAN PABLO SANABRIA VEGA</t>
  </si>
  <si>
    <t>NATALIA  ACHIARDI ORTIZ</t>
  </si>
  <si>
    <t>JUAN JOSE ALVEAR MEJIA</t>
  </si>
  <si>
    <t>JUAN CARLOS SARMIENTO NOVOA</t>
  </si>
  <si>
    <t>ANA MARIA FLOREZ FLOREZ</t>
  </si>
  <si>
    <t>MONICA  COY DE MARQUEZ</t>
  </si>
  <si>
    <t>Francisco Jose Duarte Tolosa</t>
  </si>
  <si>
    <t>GINA MILENA MAYORGA ALBA</t>
  </si>
  <si>
    <t>DIEGO IVAN MENESES FIGUEROA</t>
  </si>
  <si>
    <t>SERGIO IVAN ROJAS BERRIO</t>
  </si>
  <si>
    <t>DANIEL FELIPE GUTIERREZ VARGAS</t>
  </si>
  <si>
    <t>LINA MARIA RINCON COLLAZOS</t>
  </si>
  <si>
    <t>FV</t>
  </si>
  <si>
    <t>RITA ADRIANA LOPEZ MONCAYO</t>
  </si>
  <si>
    <t>KAREN ROCIO FORERO GARAVITO</t>
  </si>
  <si>
    <t>SAMAEL  ARIAS HERNANDEZ</t>
  </si>
  <si>
    <t>CLAUDIA PATRICIA HERNANDEZ DUARTE</t>
  </si>
  <si>
    <t>ALVARO IVAN SALAZAR DAZA</t>
  </si>
  <si>
    <t>OSCAR LEONARDO LONDOÑO ROJAS</t>
  </si>
  <si>
    <t>EDGAR ANDRES LOPEZ GOMEZ</t>
  </si>
  <si>
    <t>JUAN SEBASTIAN PINTO MUÑOZ</t>
  </si>
  <si>
    <t>MARCELA  TRISTANCHO MANTILLA</t>
  </si>
  <si>
    <t>CATALINA  CAVELIER ADARVE</t>
  </si>
  <si>
    <t>MONICA  CLAVIJO ROA</t>
  </si>
  <si>
    <t>LUIS ALFREDO BARON LEAL</t>
  </si>
  <si>
    <t>CARLOS EDUARDO SERRANO VASQUEZ</t>
  </si>
  <si>
    <t>CLARA NYDIA PARDO MURILLO</t>
  </si>
  <si>
    <t>Prestar servicios profesionales al Instituto Distrital de Patrimonio Cultural orientando la aplicación de la Política Pública Distrital de Servicio a la Ciudadanía, garantizando la participación ciudadana, la divulgación de la información pública y la prevención de la corrupción.</t>
  </si>
  <si>
    <t>ANGELICA ESPERANZA ACUÑA HERNANDEZ</t>
  </si>
  <si>
    <t>ROSA ELENA SANCHEZ RODRIGUEZ</t>
  </si>
  <si>
    <t>ORLANDO  ARIAS CAICEDO</t>
  </si>
  <si>
    <t>JAIRO AUGUSTO NIÑO TOVAR</t>
  </si>
  <si>
    <t>LUZ PATRICIA QUINTANILLA PARRA</t>
  </si>
  <si>
    <t>MARIA PATRICIA JAIMES OREJARENA</t>
  </si>
  <si>
    <t>SANDRA LILIANA CALDERON CASTELLANOS</t>
  </si>
  <si>
    <t>RUTH  CORREDOR</t>
  </si>
  <si>
    <t>GISELLE JOHAN ORTIZ CEBALLOS</t>
  </si>
  <si>
    <t>YENNY MILENA RINCON CAMACHO</t>
  </si>
  <si>
    <t>SANDRA CAROLINA MARTINEZ SANABRIA</t>
  </si>
  <si>
    <t>NYDIA JANETTE MORENO BUITRAGO</t>
  </si>
  <si>
    <t>HECTOR JAVIER SANDOVAL GALVIZ</t>
  </si>
  <si>
    <t>NANCY  ZAMORA</t>
  </si>
  <si>
    <t>ALFONSO ANDRES COVALEDA SALAS</t>
  </si>
  <si>
    <t>Valor presupuestado para premiar y otorgar estímulos económicos a las propuestas y productos ganadores del programa distrital de estímulos</t>
  </si>
  <si>
    <t>Valor presupuestado para los jurados que evaluan las propuestas y productos ganadores del programa distrital de estímulos IDPC 2017</t>
  </si>
  <si>
    <t>Prestar servicios profesionales apoyando el fortalecimiento e implementación del Sistema de Información Geográfico del Patrimonio Cultural -SIGPC en el marco de las competencias del  Instituto Distrital de Patrimonio Cultural y en particular el desarrollo del  Plan Especial de Manejo y Protección -PEMP del Centro Histórico de Bogotá D.C.</t>
  </si>
  <si>
    <t xml:space="preserve">Prestar servicios profesionales al IDPC en el desarrollo de las actividades requeridas para la formulación de instrumentos de gestión, financiación e incentivos para la recuperación y sostenibilidad del patrimonio cultural y en particular en el desarrollo del Plan Especial de Manejo y Protección -PEMP.  </t>
  </si>
  <si>
    <t xml:space="preserve">Prestar servicios profesionales al IDPC apoyando el desarrollo de las actividades requeridas para la formulación de instrumentos de gestión, financiación e incentivos para la recuperación y sostenibilidad  del patrimonio cultural y en particular en el desarrollo del Plan Especial de Manejo y Protección -PEMP.  </t>
  </si>
  <si>
    <t>Prestar servicios profesionales al Instituto Distrital de Patrimonio Cultural para realizar el acompañamiento de los contratos de obra, interventoría y prestación de servicios y la articulación interinstitucional de todas las actividades necesarias para apoyar la ejecución de la intervención de la primera etapa de la restauración integral de la Iglesia del Voto Nacional.</t>
  </si>
  <si>
    <t>Prestar servicios profesionales para orientar la estrategia de comunicaciones de los proyectos de activación del patrimonio cultural del Distrito Capital.</t>
  </si>
  <si>
    <t>Prestar servicios profesionales al Instituto Distrital de Patrimonio Cultural para apoyar  el desarrollo de las estrategias: Album Familiar y Patrimonio Inmaterial de los proyectos de activación del patrimonio del Distrito Capital.</t>
  </si>
  <si>
    <t>Prestar servicios profesionales al  para apoyar las actividades de Secretaría Técnica del Consejo Distrital de Patrimonio, así como los espacios de participación ciudadana para la activación del patriomonio cultural de la ciudad de Bogotá.</t>
  </si>
  <si>
    <t>Prestar servicios profesionales al Instituto Distrital de Patrimonio Cultural para orientar el desarrollo de los procesos curatoriales y de investigación requeridos en el marco de las exposiciones temporales del Museo de Bogotá.</t>
  </si>
  <si>
    <t>Prestar servicios profesionales al Instituto Distrital de Patrimonio Cultural para acompañar los procesos de promoción y divulgación requerida para la activación del patrimonio natural de Bogotá D.C, representado por los Cerros Orientales.</t>
  </si>
  <si>
    <t>Prestar servicios profesionales, apoyando a la Subdirección de Gestión Corporativa, en las acciones tendientes a garantizar la administración y protección de los bienes muebles e inmuebles de propiedad del IDPC</t>
  </si>
  <si>
    <t>Prestar servicios profesionales al Instituto Distrital de Patrimonio Cultural apoyando la aplicación de los lineamientos enmarcados en la Ley de Transparencia, así como las acciones encaminadas a la participación ciudadanía y el control social.</t>
  </si>
  <si>
    <t>FRANCO ERNESTO RODRIGUEZ ZAMBRANO</t>
  </si>
  <si>
    <t>KAREN VIVIANA GUTIERREZ VARGAS</t>
  </si>
  <si>
    <t>DIANA MARGARITA PARADA BORJA</t>
  </si>
  <si>
    <t>ANGELA ROCIO CELY HOSTOS</t>
  </si>
  <si>
    <t>PAULA ANDREA MENDEZ ROMERO</t>
  </si>
  <si>
    <t>JORGE ENRIQUE RAMIREZ HERNANDEZ</t>
  </si>
  <si>
    <t>Maria Carolina Correal Zambrano</t>
  </si>
  <si>
    <t>ANA MARIA CIFUENTES RUIZ</t>
  </si>
  <si>
    <t>KARLA FELIZA FORTUNA RODRIGUEZ D VIVERO</t>
  </si>
  <si>
    <t>DIEGO FERNANDO VALENCIA MENDEZ</t>
  </si>
  <si>
    <t>ANGELA MARIA CASTRO CEPEDA</t>
  </si>
  <si>
    <t>Prestar servicios profesionales al Instituto Distrital de Patrimonio Cultural realizando las actividades de soporte técnico y evaluación de las solicitudes de equiparación a estrato 1 y de control urbano de intervenciones en BIC.</t>
  </si>
  <si>
    <t>Administración y mantenimiento de escenarios culturales</t>
  </si>
  <si>
    <t>Prestar servicios profesionales al Instituto Distrital de Patrimonio Cultural  para apoyar la transcripción, redacción y edición de textos sobre las memorias del Seminario Internacional de Reciclaje de edificaciones en contextos patrimoniales realizado en septiembre de 2016 que hará parte del plan de  publicaciones 2017.</t>
  </si>
  <si>
    <t>Prestar servicios profesionales al Instituto Distrital de Patrimonio Cultural para acompañar los procesos de fortalecimiento, actualización, evaluación y seguimiento de la cátedra de patrimonio en colegios del Distrito Capital.</t>
  </si>
  <si>
    <t>Prestar servicios profesionales al Instituto Distrital de Patrimonio Cultural, para el desarrollo, seguimiento y aprobación del Plan de Manejo Arqueológico de los proyectos de Intervención en los que el Instituto se vea involucrado.</t>
  </si>
  <si>
    <t>Prestar servicios profesionales al Instituto Distrital de Patrimonio Cultural para acompañar el diseño museográfico de las exposiciones temporales del Museo de Bogotá - Sede Casa Sámano y otros espacios de la ciudad.</t>
  </si>
  <si>
    <t>Prestar servicios profesionales al Instituto Distrital de Patrimonio Cultural para acompañar el diseño gráfico de las exposiciones temporales del Museo de Bogotá, Sede Casa Sámano y otros espacios de la ciudad.</t>
  </si>
  <si>
    <t>Prestar servicios profesionales al Instituto Distrital de Patrimonio Cultural para acompañar el proceso de investigación, estructuración y redacción de guiones científicos - museológicos requeridos para la operación del Museo de Bogotá.</t>
  </si>
  <si>
    <t>Prestar servicios profesionales al Instituto Distrital de Patrimonio Cultural para apoyar la propuesta gráfica y visual que refleje el patrimonio natural del Distrito Capital en una de las salas de exposición del Museo de Bogotá.</t>
  </si>
  <si>
    <t>Prestar servicios profesionales al Instituto Distrital de Patrimonio Cultural para llevar a cabo las actividades periodísticas y de prensa requeridas en el marco de los proyectos de activación del patrimonio cultural del Distrito Capital.</t>
  </si>
  <si>
    <t>JULIAN ANDRES QUIÑONEZ ZORRILLA</t>
  </si>
  <si>
    <t>LINA MARCELA MORENO ROA</t>
  </si>
  <si>
    <t>DIEGO FELIPE LOPEZ OSPINA</t>
  </si>
  <si>
    <t>Oscar Fabian Uyaban Dueñas</t>
  </si>
  <si>
    <t>CONSTANZA  MEDINA DIAZ</t>
  </si>
  <si>
    <t>EASYCLAEN G&amp;E S.A.S.</t>
  </si>
  <si>
    <t>CAMILO  BELTRAN JACDEDT</t>
  </si>
  <si>
    <t>GABRIEL FELIPE MUELLE ZAMBRANO</t>
  </si>
  <si>
    <t>GUILLERMO HERNAN ACEVEDO BELTRAN</t>
  </si>
  <si>
    <t>Prestar servicios profesionales en el apoyo de las actividades administrativas, seguimiento a acciones de evaluación, adelantadas por el Instituto Distrital de Patrimonio Cultural.</t>
  </si>
  <si>
    <t>GLORIA ISABEL CARRILLO BUITRAGO</t>
  </si>
  <si>
    <t>Adicionar al contrato Nº 163 de 2016 cuyo objeto es: Prestar servicios al IDPC para realizar el proceso de impresión, encuadernación y acabados impresos y publicaciones de la entidad que contribuyen a la formación en arte, cultura y patrimonio.</t>
  </si>
  <si>
    <t>Suministro de material escolar requerido para el desarrollo de los procesos de formación en patrimonio cultural - Civinautas.</t>
  </si>
  <si>
    <t>NICOLAS  LOZANO GALINDO</t>
  </si>
  <si>
    <t>OLGA LUCIA VERGARA ARENAS</t>
  </si>
  <si>
    <t>CLAUDIA PATRICIA MORALES MORALES</t>
  </si>
  <si>
    <t>NORMA JANETH GALVEZ MOYA</t>
  </si>
  <si>
    <t>MARIA ISABEL GALINDO MARTINEZ</t>
  </si>
  <si>
    <t>DAVID ERNESTO ARIAS SILVA</t>
  </si>
  <si>
    <t>JULIETH GEORYANNA RODRIGUEZ JAIMES</t>
  </si>
  <si>
    <t>Adicionar contrato PSP 341 de 2016, cuyo objeto es: Prestar servicios profesionales al Instituto Distrital de Patrimonio Cultural en lo relacionado con el seguimiento de los proyectos de intervención de obra e interventoría en ejecución</t>
  </si>
  <si>
    <t>Prestar servicios profesionales al Instituto Distrital de Patrimonio Cultural realizando las actividades de soporte técnico y evaluación de las solicitudes de intervención en espacio público, equiparación a estrato 1 y/o control urbano en Bienes de Interés Cultural.</t>
  </si>
  <si>
    <t>Prestar servicios profesionales al Instituto Distrital de Patrimonio Cultural en el monitoreo arqueológico de la Fase 1 de intervención de la Iglesia del Voto Nacional</t>
  </si>
  <si>
    <t>Prestar servicios profesionales al Instituto Distrital de Patrimonio Cultural en la implementación y monitoreo arqueológico de la Fase 1 de intervención de la Iglesia del Voto Nacional</t>
  </si>
  <si>
    <t>Prestar servicios profesionales al Instituto Distrital de Patrimonio Cultural para acompañar el diseño museográfico de la exposición permanente de la Casa de la Independencia del Museo de Bogotá.</t>
  </si>
  <si>
    <t>Bienes de Interés Cultural de tipo inmueble intervenidos (Sede central)</t>
  </si>
  <si>
    <t>Bienes de Interés Cultural de tipo inmueble intervenidos (Plaza Santamaría)</t>
  </si>
  <si>
    <t>Administración y mantenimiento de escenarios culturales Contrato Aseo y Cafeteria</t>
  </si>
  <si>
    <t>Prestar servicios profesionales al Instituto Distrital de Patrimonio Cultural para acompañar la orientación del diseño y conceptualización visual para la producción de los contenidos de la exposición "Bogotá en Bordeaux".</t>
  </si>
  <si>
    <t xml:space="preserve">Prestar servicios profesionales al IDPC en la orientación para la evaluación y síntesis del diagnóstico y estructuración de la propuesta integral del Plan Especial de Manejo y Protección -PEMP del Centro Histórico de Bogotá D.C, relacionada con la elaboración del inventario-valoración del patrimonio cultural inmueble. </t>
  </si>
  <si>
    <t>Prestar servicios de apoyo a la gestión a la Subdirección de Intervención en la asistencia y apoyo en las actividades logísticas dirigidas hacia el seguimiento de las actividades de intervención que desarrolle el Instituto Distrital de Patrimonio Cultural.</t>
  </si>
  <si>
    <t>Prestar servicios profesionales especializados al Instituto Distrital de Patrimonio Cultural, como apoyo jurídico a la evaluación de las solicitudes de intervención sobre Bienes y Sectores de Interés Cultural.</t>
  </si>
  <si>
    <t>Prestar servicios profesionales al Instituto Distrital de Patrimonio Cultural apoyando el seguimiento en obra de las acciones de intervención en curso sobre bienes de interes cultural y espacio público y fachadas.</t>
  </si>
  <si>
    <t>Prestar servicios profesionales al Instituto Distrital de Patrimonio Cultural, para apoyar la planificación y seguimiento a las acciones de administración, mantenimiento, conservación y restauración de los bienes muebles - inmuebles en el espacio público de la ciudad de Bogotá. D.C.,  y colecciones públicas.</t>
  </si>
  <si>
    <t>Prestar servicios profesionales al Instituto Distrital de Patrimonio Cultural para apoyar el desarrollo de las actividades relacionadas con la documentación histórica y patrimonial necesaria para la exposición temporal "Bogotá en Bordeaux" del Museo de Bogotá.</t>
  </si>
  <si>
    <t>Prestar servicios profesionales al Instituto Distrital de Patrimonio Cultural para adelantar los procesos de inventario y organización de los fondos documentales del Centro de Documentación, para la activación del patrimonio cartográfico del IDPC.</t>
  </si>
  <si>
    <t xml:space="preserve">Prestar servicios profesionales para apoyar temas presupuestales, financieros y contables del Instituto Distrital de Patrimonio Cultural de conformidad con la normatividad vigente. </t>
  </si>
  <si>
    <t xml:space="preserve">Prestar servicios profesionales en el fortalecimiento e implementación del Sistema de Información Geográfico del Patrimonio Cultural -SIGPC en el marco de las competencias del Instituto Distrital de Patrimonio Cultural. </t>
  </si>
  <si>
    <t>Prestar servicios profesionales al IDPC en el tema habitacional para la síntesis del diagnóstico y la estructuración de la propuesta integral del Plan Especial de Manejo y Protección -PEMP- del Centro Histórico de Bogotá D.C.</t>
  </si>
  <si>
    <t>OLGA LUCIA OLAYA PARRA</t>
  </si>
  <si>
    <t>JUAN PABLO HENAO VALLEJO</t>
  </si>
  <si>
    <t>ANGELA MARIA SANTAMARIA DELGADO</t>
  </si>
  <si>
    <t>GINA CATHERINE LEON CABRERA</t>
  </si>
  <si>
    <t>PEDRO MARIA MEJIA VILLA</t>
  </si>
  <si>
    <t>CLAUDIA PATRICIA AVENDAÑO BLANCO</t>
  </si>
  <si>
    <t>DEBORATH LUCIA GASCON OLARTE</t>
  </si>
  <si>
    <t>MANUEL  SALGE FERRO</t>
  </si>
  <si>
    <t>PAULA JIMENA MATIZ LOPEZ</t>
  </si>
  <si>
    <t>CATALINA  DUARTE SANCHEZ</t>
  </si>
  <si>
    <t>PAULA ANDREA AYALA BARON</t>
  </si>
  <si>
    <t>EDITH ADRIANA GONZALEZ MEDINA</t>
  </si>
  <si>
    <t>NATALIA  ORTEGA RENGIFO</t>
  </si>
  <si>
    <t>MELVA SAHIDY PASTRANA MORALES</t>
  </si>
  <si>
    <t>MAURICIO  HOYOS RUEDA</t>
  </si>
  <si>
    <t>NICOLAS ANDRES PASTRANA SIERRA</t>
  </si>
  <si>
    <t>RICARDO  QUINTERO LONDOÑO</t>
  </si>
  <si>
    <t>ANDREA CAROLINA HERREÑO BAHAMON</t>
  </si>
  <si>
    <t>Prestar servicios profesionales al Instituto Distrital de Patrimonio Cultural apoyando la síntesis del diagnóstico y estructuración de la propuesta integral en el componente de valoración del patrimonio mueble.</t>
  </si>
  <si>
    <t>Prestar servicios profesionales al Instituto Distrital de Patrimonio Cultural apoyando la síntesis del diagnóstico y estructuración de la propuesta integral en el componente de valoración del patrimonio inmaterial.</t>
  </si>
  <si>
    <t>Prestar servicios al Instituto Distrital de Patrimonio Cultural brindando la atención al público y en el manejo de la base de datos sobre los trámites de solictudes de evaluación sobre bienes de interés cultural que se presenten ante la entidad</t>
  </si>
  <si>
    <t>Prestar servicios profesionales al IDPC en la orientación para la síntesis del diagnóstico y estructuración de la propuesta integral en el componente valoración del patrimonio arqueológico del Plan Especial de Manejo y Protección -PEMP- del Centro Histórico de Bogotá D.C.</t>
  </si>
  <si>
    <t>Prestar servicios profesionales al Instituto Distrital de Patrimonio Cultural en las actividades administrativas y de apoyo a la ejecución de los proyectos de inversión de la Subdirección de Intervención.</t>
  </si>
  <si>
    <t>Prestar servicios profesionales apoyando las actividades logísticas y técnicas para la sensibilización y apropiación de la cultura ciudadana en el marco del instrumento de gestión social de las jornadas de intervención en fachadas.</t>
  </si>
  <si>
    <t>Prestar servicios requeridos por el Instituto Distrital de Patrimonio Cultural para apoyar los procesos de investigación curatorial de la exposición temporal "Bogotá en Bordeaux" del Museo de Bogotá.</t>
  </si>
  <si>
    <t>Prestar servicios profesionales al Instituto Distrital de Patrimonio Cultural para acompañar el diseño gráfico de la exposición permanente de la Casa de la Independencia del Museo de Bogotá.</t>
  </si>
  <si>
    <t>15-317</t>
  </si>
  <si>
    <t>BUENOS &amp; CREATIVOS SAS</t>
  </si>
  <si>
    <t>ANA MARIA COLLAZOS SOLANO</t>
  </si>
  <si>
    <t>PAOLA ANDREA BARRETO GUERRERO</t>
  </si>
  <si>
    <t>magda catalina ruiz diaz</t>
  </si>
  <si>
    <t>MAURICIO DE JESUS ARAQUE TEJADA</t>
  </si>
  <si>
    <t>DIEGO ARCESIO RODRIGUEZ MARTINEZ</t>
  </si>
  <si>
    <t>ANA MILENA QUINTERO AGAMEZ</t>
  </si>
  <si>
    <t>ANDREA VIVIANA BRITO</t>
  </si>
  <si>
    <t>OTTO ALEJANDRO BURBANO ORTEGA</t>
  </si>
  <si>
    <t>KATHERINE AURORA MEJIA LEAL</t>
  </si>
  <si>
    <t>CLAUDIA MARCELA GONZALEZ CABEZAS</t>
  </si>
  <si>
    <t>LEONOR ISBELIA GOMEZ HERNANDEZ</t>
  </si>
  <si>
    <t>Prestar los servicios requeridos por el Instituto Distrital de Patrimonio Cultural para acompañar el diseño museográfico de la exposición permanente de la Casa de la Independencia del Museo de Bogotá.</t>
  </si>
  <si>
    <t>Prestar los servicios requeridos por el Instituto Distrital de Patrimonio Cultural para apoyar la revisión documental y la búsqueda de material expositivo requeridos para los procesos curatoriales de la exposición "Bogotá en Bordeaux".</t>
  </si>
  <si>
    <t xml:space="preserve">Prestar servicios profesionales apoyando el fortalecimiento e implementación del Sistema de Información Geográfico del Patrimonio Cultural -SIGPC- en el marco de las competencias del Instituto Distrital de Patrimonio Cultural </t>
  </si>
  <si>
    <t>Prestar servicios de apoyo a la gestión de la Subdirección de Intervención para la recepción, registro  de documentos y expedientes en el marco de los procesos adelantados por el Instituto Distrital de Patrimonio Cultural.</t>
  </si>
  <si>
    <t>Prestar servicios profesionales al Instituto Distrital de Patrimonio Cultural, para apoyar la implementación de las acciones del Programa de enlucimiento de fachadas.</t>
  </si>
  <si>
    <t xml:space="preserve">Prestar servicios profesionales al Instituto Distrital de Patrimonio Cultural  para acompañar la actualización de textos e imágenes que harán parte de la reedición de la publicación “En busca de Thomas Reed” </t>
  </si>
  <si>
    <t>Prestar servicios de apoyo al archivo técnico del Instituto Distrital de Patrimonio Cultural, en la organización de documentos de Bienes de Interés Cultural.</t>
  </si>
  <si>
    <t>Prestar servicios de apoyo a la Subdirección de Intervención para atención al usuario y préstamo de expedientes del Archivo Técnico de Bienes de Interés Cultural.</t>
  </si>
  <si>
    <t>DANIELA  RANGEL GIL</t>
  </si>
  <si>
    <t>MAARTEN  GOOSSENS</t>
  </si>
  <si>
    <t>LAURA  MEJIA TORRES</t>
  </si>
  <si>
    <t>JUAN DIEGO BRAVO ACERO</t>
  </si>
  <si>
    <t>JUAN SEBASTIAN CARRANZA MONROY</t>
  </si>
  <si>
    <t>UNION TEMPORAL AA IDPC 2017</t>
  </si>
  <si>
    <t>YOLANDA  BECERRA MALDONADO</t>
  </si>
  <si>
    <t>YEIMI PAOLA PEDROZA MOCETON</t>
  </si>
  <si>
    <t>HELENA MARIA FERNANDEZ SARMIENTO</t>
  </si>
  <si>
    <t>ANA MARIA LOGREIRA CAMPOS</t>
  </si>
  <si>
    <t>YULI ANDREA MAHECHA REINA</t>
  </si>
  <si>
    <t>DIEGO JAVIER PARRA CORTES</t>
  </si>
  <si>
    <t>Prestar servicios profesionales al Instituto Distrital de Patrimonio Cultural para apoyar la concepción museológica de la exposición temporal "Burgarel" del Museo de Bogotá.</t>
  </si>
  <si>
    <t>Prestar los servicios requeridos por el Instituto Distrital de Patrimonio Cultural en el apoyo a la gestión logística y producción de eventos requeridos en la operación del Museo de Bogotá y la activación del patrimonio cultural de la ciudad.</t>
  </si>
  <si>
    <t>Prestar servicios profesionales al Instituto Distrital de Patrimonio Cultural apoyando el soporte técnico en la evaluación de solicitudes de intervención de Bienes de Interés Cultural ubicados en el espacio público.</t>
  </si>
  <si>
    <t>JUAN SEBASTIAN ORTIZ ROJAS</t>
  </si>
  <si>
    <t>LUISA FERNANDA RODRIGUEZ</t>
  </si>
  <si>
    <t>OMAR ALEXANDER PATIÑO PINEDA</t>
  </si>
  <si>
    <t>WINER ENRIQUE MARTINEZ CUADRADO</t>
  </si>
  <si>
    <t>DARIO FERDEY YAIMA TOCANCIPA</t>
  </si>
  <si>
    <t>Valor dirigido a reconocer la afiliación Nivel 5 de ARL de los contratistas de la Subdirección de Intervenciones</t>
  </si>
  <si>
    <t>84-250</t>
  </si>
  <si>
    <t>Prestar servicios profesionales apoyando la planificación y control de la ejecución financiera del proyecto de inversión de la Subdirección de Intervención del Instituto Distrital de Patrimonio Cultural.</t>
  </si>
  <si>
    <t>Prestar servicios profesionales al Instituto Distrital de Patrimonio Cultural para realizar el acompañamiento de los proyectos de intervención de obra e interventoría.</t>
  </si>
  <si>
    <t xml:space="preserve">Prestar servicios profesionales a la Subdirección de Gestión Corporativa en temas relacionados con la Gestión del Talento Humano </t>
  </si>
  <si>
    <t>Prestar servicios profesionales al Instituto Distrital de Patrimonio Cultural, realizando el acompañamiento y revisión de los estudios y conceptos de las obras de intervención que desarrolle la entidad.</t>
  </si>
  <si>
    <t>Prestar servicios profesionales al IDPC en el tema ambiental para la síntesis del diagnóstico y estructuración de la propuesta integral en el componente fisico-técnico del Plan Especial de Manejo y Protección -PEMP- del Centro Histórico de Bogotá D.C.</t>
  </si>
  <si>
    <t>Prestar servicios profesionales al IDPC en el tema de accesibilidad, movilidad e infraestructura vial para la elaboración del diagnóstico y estructuración de la propuesta integral del Plan Especial de Manejo y Protección -PEMP- del Centro Histórico de Bogotá D.C.</t>
  </si>
  <si>
    <t>Chorro de Quevedo</t>
  </si>
  <si>
    <t xml:space="preserve">Prestar servicios profesionales al IDPC para acompañar el desarrollo de las actividades requeridas en la formulación de planes y proyectos urbanos y arquitectónicos en ambitos patrimoniales que se adelanten dentro del componente físico-tecnico, del Plan Especial de Manejo y Protección PEMP del Centro Histórico de Bogotá, D.C.  </t>
  </si>
  <si>
    <t>VALOR A SER ADICIONADO AL CONVENIO INTERADMINISTRATIVO 306/236 DE 2014 CUYO OBJETO ES: ¿AUNAR ESFUERZOS TÉCNICOS, ADMINISTRATIVOS Y FINANCIEROS PARA REALIZAR LA CONSERVACIÓN DE LOS MONUMENTOS EN EL ESPACIO PÚBLICO ASOCIADOS A LA PLAZOLETA DEL CHORRO DE QUEVEDO Y EL MANTENIMIENTO DE SU ENTORNO INMEDIATO¿ Y POSTERIORMENTE A  ADICIONAR AL CONTRATO DE INTERVENTORÍA 230 DE 2015 CUYO OBJETO ES ¿ REALIZAR LA INTERVENTORÍA TÉCNICA, ADMINISTRATIVA Y CONTABLE DEL CONTRATO DE OBRA  PARA EJECUTAR A MONTO AGOTABLE DE TRABAJOS DE CONSERVACIÓN Y OBRAS DE MANTENIMIENTO DE LOS BIENES DE PATRIMONIO CULTURAL MUEBLE E INMUEBLE LOCALIZADOS EN LA PLAZOLETA DEL CHORRO DE QUEVEDO Y SU ENTORNO INMEDIATO, UBICADOS EN EL ESPACIO PÚBLICO DE BOGOTÁ D.C..</t>
  </si>
  <si>
    <t>09/02/2017-07/04/2017</t>
  </si>
  <si>
    <t>CARLOS ARTURO ROJAS PEREZ</t>
  </si>
  <si>
    <t>luis enrique rincon henao</t>
  </si>
  <si>
    <t>MAYRA NATALIA RUBIANO CAJAMARCA</t>
  </si>
  <si>
    <t>JOSE LEONEL CASTAÑEDA GALEANO</t>
  </si>
  <si>
    <t>EDWIN ARTURO RUIZ MORENO</t>
  </si>
  <si>
    <t>CATALINA MARGARITA MO NAGY PATIÑO</t>
  </si>
  <si>
    <t>MARIA ISABEL VANEGAS SILVA</t>
  </si>
  <si>
    <t>MONIKA INGERI THERRIEN</t>
  </si>
  <si>
    <t>PAOLA ANDREA LEAL LÓPEZ</t>
  </si>
  <si>
    <t>INSTITUTO DISTRITAL DEL PATRIMONIO CULTURAL - IDCP</t>
  </si>
  <si>
    <t>ANDRES FELIPE VILLAMIL VILLAMIL</t>
  </si>
  <si>
    <t>ERIKA  QUINTANA PARRA</t>
  </si>
  <si>
    <t>JOSE ALEXANDER PINZON RIVERA</t>
  </si>
  <si>
    <t>Prestar servicios al Instituto Distrital de Patrimonio Cultural para apoyar los temas relacionados con la publicación y seguimiento de la actividad contractual en los portales de contratación.</t>
  </si>
  <si>
    <t>Prestar servicios profesionales apoyando la estructuración e implementación de estrategias de gestión social y participación ciudadana para el reconocimiento y valoración del patrimonio en el marco de los planes, programas y proyectos de preservación del patrimonio cultural del Distrito Capital que adelante Instituto Distrital de Patrimonio Cultural.</t>
  </si>
  <si>
    <t>MARIA ALEJANDRA JARAMILLO MARULANDA</t>
  </si>
  <si>
    <t>DAVID HUMBERTO DELGADO RODRIGUEZ</t>
  </si>
  <si>
    <t>VAREGO SOCIEDAD POR ACCIONES SIMPLIFICADA O VAREGO S A S</t>
  </si>
  <si>
    <t>Adición del contrato Nº 242 de 2015 cuyo objeto es contratar los seguros que maparen los intereses patrimoniales actuales y futuros, así como los bienes muebles, inmuebles de propiedad del IDPC o que esten bajo su responsabilidad o custodia, así como los coprrespondientes a asegurar la responsabilidad de fucnionarios en desarrollo de su actividad.</t>
  </si>
  <si>
    <t>JUAN FELIPE ESPINOSA DE LOS MONTEROS</t>
  </si>
  <si>
    <t>Prestar servicios profesionales a la Subdirección de Gestión Corporativa para apoyar el proceso de adecuación de los espacios para los servidores públicos del IDPC en las sedes que se requieran.</t>
  </si>
  <si>
    <t>RUBEN  HERNANDEZ MOLINA</t>
  </si>
  <si>
    <t>GINNA ALEXANDRA CASTILLO MENDIGAÑA</t>
  </si>
  <si>
    <t>MAGDA FABIOLA ROJAS RAMIREZ</t>
  </si>
  <si>
    <t>CLEMENCIA  IBAÑEZ DE CANO</t>
  </si>
  <si>
    <t>UNION TEMPORAL QBE SEGUROS S.A - LA PREVISORA S.A COMPAÑÍA DE SEGUROS</t>
  </si>
  <si>
    <t xml:space="preserve">03- Recursos Administrados
20 - Administrados de Destinación específica
</t>
  </si>
  <si>
    <t>Prestar servicios profesionales al Instituto Distrital de Patrimonio Cultural para apoyar la orientación y organización de las actividades dentro del componente social y de participación ciudadana del Plan Especial de Manejo y Protección -PEMP- del Centro Histórico de Bogotá D.C.</t>
  </si>
  <si>
    <t>Prestar servicios profesionales al Instituto Distrital de Patrimonio Cultural para apoyar el desarrollo y ejecución logística de las actividades relacionadas con el componente social y de participación ciudadana del Plan Especial de Manejo y Protección -PEMP- del Centro Histórico de Bogotá D.C.</t>
  </si>
  <si>
    <t>Prestar servicios profesionales al Instituto Distrital de Patrimonio Cultural para apoyar la consolidación del diagnóstico y formulación de la propuesta integral del Plan Especial de Manejo y Protección -PEMP del Centro Histórico de Bogotá D.C, relacionada con la elaboración del inventario-valoración del patrimonio cultural inmueble.</t>
  </si>
  <si>
    <t>VALOR CORRESPONDIENTE PARA RECONOCER LA AFILIACIÓN Y PAGO DE APORTES A RIESGOS LABORALES CON TARIFA TIPO 5 DE LOS CONTRATISTAS DE LA SUBDIRECCIÓN DE INTERVENCIÓN.</t>
  </si>
  <si>
    <t>Prestar servicios profesionales a la Subdirección de Gestión Corporativa para apoyar en el seguimiento y trámite de las actuaciones disciplinarias de competencia del Instituto.</t>
  </si>
  <si>
    <t>MARIA CAMILA ANA FERNANDA LOZANO MARTINEZ</t>
  </si>
  <si>
    <t>DIANA CAROLINA SILVA MORALES</t>
  </si>
  <si>
    <t>ANTONIO JOSE FUERTES CHAPARRO</t>
  </si>
  <si>
    <t>Bienes de Interés Cultural de tipo inmueble intervenidos (Voto Nacional - Interventoria)</t>
  </si>
  <si>
    <t>Bienes de Interés Cultural de tipo inmueble intervenidos (Voto Nacional - Interventoría)</t>
  </si>
  <si>
    <t>Bienes de Interés Cultural de tipo inmueble intervenidos  (Voto Nacional - Interventoria)</t>
  </si>
  <si>
    <t>ADICION Y PRORROGA DEL CONTRATO No 335 DE 2016, CUYO OBJETO ES: PRESTAR SERVICIOS PROFESIONALES AL INSTITUTO DISTRITAL DE PATRIMONIO CULTURAL EN EL ACOMPAÑAMIENTO DE LA IMPLEMENTACIÓN Y MONITOREO DE LAS ACTIVIDADES ARQUEOLÓGICAS DURANTE LA FASE 1 DE INTERVENCIÓN DE LA IGLESIA DEL VOTO NACIONAL.</t>
  </si>
  <si>
    <t>ADICION Y PRORROGA DEL CONTRATO DE OBRA No 261 DE 2015, CUYO OBJETO ES EJECUCIÓN DE LA PRIMERA ETAPA DE OBRA BAJO LA MODALIDAD DE PRECIOS UNITARIOS FIJOS SIN FORMULA DE REAJUSTE PARA LA INTERVENCIÓN DE REFORZAMIENTO ESTRUCTURAL DE LA PLAZA DE MERCADO DE LA CONCORDIA, LA CONSTRUCCIÓN DE LA GALERÍA SANTAFÉ Y SU ENTORNO INMEDIATO, UBICADA EN LA CARRERA 1 B NO 14 62 ANTIGUA, CARRERA 1 B NO 12 C 62 NUEVA, DE LA CIUDAD DE BOGOTÁ.</t>
  </si>
  <si>
    <t>ADICION Y PRORROGA DEL CONTRATO DE INTERVENTORIA No 256 DE 2015, CUYO OBJETO ES REALIZAR LA INTERVENTORÍA TÉCNICA, ADMINISTRATIVA Y CONTABLE PARA LA EJECUCIÓN DE LA PRIMERA ETAPA DE OBRA BAJO LA MODALIDAD DE PRECIOS UNITARIOS FIJOS SIN FORMULA DE REAJUSTE PARA LA INTERVENCIÓN DE REFORZAMIENTO ESTRUCTURAL DE LA PLAZA DE MERCADO DE LA CONCORDIA, LA CONSTRUCCIÓN DE LA GALERÍA SANTAFÉ Y SU ENTORNO INMEDIATO, UBICADA EN LA CARRERA 1 B NO 14 62 ANTIGUA, CARRERA 1 B NO 12 C 62 NUEVA, DE LA CIUDAD DE BOGOTÁ.</t>
  </si>
  <si>
    <t>ADICION Y PRORROGA DEL CONTRATO DE INTERVENTORIA NO 298 DE 2016, CUYO OBJETO ES REALIZAR LA INTERVENTORÍA TÉCNICA, ADMINISTRATIVA, FINANCIERA, CONTABLE Y JURÍDICA DE LA OBRA POR PRECIOS UNITARIOS SIN FORMULA DE REAJUSTE PARA LA PRIMERA ETAPA DE LA RESTAURACIÓN INTEGRAL DE LA IGLESIA DE LA BASÍLICA MENOR - IGLESIA DEL SAGRADO CORAZÓN DE JESÚS DEL VOTO NACIONAL, UBICADA EN LA CARRERA 15 N° 10-43, EN LA CIUDAD DE BOGOTÁ, D. C.</t>
  </si>
  <si>
    <t>Prestar servicios de apoyo administrativo de los contratos suscritos por la Subdirección de Intervención del Instituto Distrital de Patrimonio Cultural.</t>
  </si>
  <si>
    <t>Prestar servicios profesionales al Instituto Distrital de Patrimonio Cultural para adelantar los procesos administrativos y operativos requeridos en el marco del proyecto de inversión 1024 - Formación en patrimonio cultural.</t>
  </si>
  <si>
    <t>DIANA  PEDRAZA RINCON</t>
  </si>
  <si>
    <t>Prestar servicios para el desarrollo de actividades de mantenimiento preventivo y correctivo de bienes muebles e inmuebles propiedad del Instituto Distrital de Patrimonio Cultural.</t>
  </si>
  <si>
    <t>NARCISO  ARDILA RUIZ</t>
  </si>
  <si>
    <t>JASON VLADIMIR PUERTO OSORIO</t>
  </si>
  <si>
    <t>CAMILO ANDRES SALAMANCA RODRIGUEZ</t>
  </si>
  <si>
    <t>jhon edwin morales herrera</t>
  </si>
  <si>
    <t>CONSORCIO CONCORDIA 2015</t>
  </si>
  <si>
    <t>CONTRATAR EL PROGRAMA DE SEGUROS QUE AMPARE LOS BIENES E INTERESES PATRIMONIALES DEL INSTITUTO DISTRITAL DE PATRIMONIO CULTURAL Y AQUELLOS POR LOS CUALES SEA O LLEGARE A SER RESPONSABLE, EN CUMPLIMIENTO DE LA GESTIÓN DEL IDPC.</t>
  </si>
  <si>
    <t>QBE SEGUROS S A Y PODRA USAR LAS</t>
  </si>
  <si>
    <t>Prestar servicios profesionales al Instituto Distrital de Patrimonio Cultural, apoyando las actividades preliminares de campo, en el marco de las acciones de intevención en espacio público y fachadas</t>
  </si>
  <si>
    <t>ESTEFANIA  GENTILE HERNANDEZ</t>
  </si>
  <si>
    <t xml:space="preserve">Aunar esfuerzos, técnicos, administrativos y financieros entre el Instituto Distrital de Patrimonio Cultural, IDPC, y La Fundación Escuela Taller de Bogotá para desarrollar el proyecto denominado: "Sensibilización, cultura ciudadana y formación de la ciudadanía para la apropiación social del patrimonio cultural".  </t>
  </si>
  <si>
    <t>FUNDACION ESCUELA TALLER DE BOGOTA</t>
  </si>
  <si>
    <t>Prestar servicios de apoyo a la gestión al Instituto Distrital de Patrimonio Cultural en los procesos de documentación de objetos y digitalización de la colección del Museo de
Bogotá.</t>
  </si>
  <si>
    <t>Prestar servicios profesionales al Instituto Distrital de Patrimonio Cultural para llevar a cabo la elaboración del guión curatorial de la exposición temporal "Burgarel" del
Museo de Bogotá.</t>
  </si>
  <si>
    <t>MARIA CRISTINA SERGE DE LA OSSA</t>
  </si>
  <si>
    <t>Prestar servicios profesionales al Instituto Distrital de Patrimonio Cultural para orientar los procesos relacionados con la operación y funcionamiento del Museo de Bogotá, con el trabajo en territorio y con las comunidades.</t>
  </si>
  <si>
    <t>CONSORCIO SAN ANDRES IPC</t>
  </si>
  <si>
    <t>jose leonardo patiño romero</t>
  </si>
  <si>
    <t>MARCO ANTONIO AMAYA ARCINIEGAS</t>
  </si>
  <si>
    <t>Contratar los servicios requeridos por el Instituto Distrital de Patrimonio Cultural para apoyar las actividades de activación, divulgación y formación en patrimonio cultural.</t>
  </si>
  <si>
    <t>Prestar servicios profesionales al Instituto Distrital de Patrimonio Cultural para apoyar la corrección de estilo de los contenidos de los proyectos de activación del patrimonio cultural del Distrito Capital.</t>
  </si>
  <si>
    <t>Contratar la impresión, encuadernación y acabados de las publicaciones requeridas para el desarrollo de los proyectos de activación del Patrimonio Cultural.</t>
  </si>
  <si>
    <t>213-350</t>
  </si>
  <si>
    <t>Prestar servicios profesionales al Instituto Distrital de Patrimonio Cultural para apoyar las actividades periodisticas, estrategias de comunicación y generación de contenidos requeridos en la operación del Museo de Bogotá.</t>
  </si>
  <si>
    <t>MONICA ANDREA RESTREPO VILLAMIL</t>
  </si>
  <si>
    <t>JOSE LEONARDO CRISTANCHO CASTAÑO</t>
  </si>
  <si>
    <t>JENNIFER  AYALA SERRANO</t>
  </si>
  <si>
    <t>Prestar servicios asistenciales al Instituto Distrital de Patrimonio Cultural en el apoyo operativo para el manejo documental y de archivo, así como la generación de bases de datos de información requeridas en el Plan Especial de Manejo y Protección del Centro Histórico</t>
  </si>
  <si>
    <t>KRISTHIAM ANDRES CARRIZOSA TRUJILLO</t>
  </si>
  <si>
    <t>Bienes de Interés Cultural de tipo inmueble intervenidos (Concejo)</t>
  </si>
  <si>
    <t>356-552</t>
  </si>
  <si>
    <t>Valor correspondiente para reconocer el pago de la Planilla Integrada de Aportes a Riesgos Laborales con tarifa Tipo V de los contratistas de la subdirección de Intervención del período de cotización del mes de mayo de 2017</t>
  </si>
  <si>
    <t>Valor correspondiente para reconocer el pago de la Planilla Integrada de Aportes a Riesgos Laborales con tarifa Tipo V de los contratistas de la subdirección de Intervención del período de cotización del mes de junio de 2017</t>
  </si>
  <si>
    <t>INGRID JOHANA PARADA MENDIVELSO</t>
  </si>
  <si>
    <t>Prestar servicios profesionales al IDPC para apoyar la consolidación del Documento Técnico de Soporte en el tema de redes de servicios públicos de acueducto y alcantarillado, requerido en el componente fisico-técnico del Plan Especial de Manejo y Protección -PEMP- del Centro Histórico de Bogotá D.C.</t>
  </si>
  <si>
    <t>ALFREDO  FERREIRA BARROS</t>
  </si>
  <si>
    <t>Prestar servicios profesionales al IDPC para apoyar la consolidación del Documento Técnico de Soporte en el tema de redes de servicios públicos de energía, comunicaciones y gas, requerido en el componente fisico-técnico del Plan Especial de Manejo y Protección -PEMP- del Centro Histórico de Bogotá D.C.</t>
  </si>
  <si>
    <t>EDGAR FERNANDO NOCUA CAMARGO</t>
  </si>
  <si>
    <t>141 - 374</t>
  </si>
  <si>
    <t>Bienes de Interés Cultural de tipo inmueble intervenidos (Voto Nacional -  Obra )</t>
  </si>
  <si>
    <t>01- Recursos del Distrito - 146 - Recursos del balance de Libre Destinación</t>
  </si>
  <si>
    <t>Presupuesto Programacion PMR</t>
  </si>
  <si>
    <t>38-146</t>
  </si>
  <si>
    <t>Prestar servicios profesionales al IDPC para apoyar la consolidación del diagnóstico y formulación de la propuesta integral del Plan Especial de Manejo y Protección -PEMP- del Centro Histórico de Bogotá D.C, relacionada con la elaboración del inventario-valoración del patrimonio cultural inmueble.</t>
  </si>
  <si>
    <t>Patrimonio Cultural apoyando las actividades operativas que se requieran en la recepción, organización documental y de correspondencia</t>
  </si>
  <si>
    <t>Prestar servicios profesionales a la Subdirección de Gestión Corporativa para apoyar el diseño, formulación, actualización, seguimiento y mejoramiento del Sistema de Gestión de Seguridad y Salud en el Trabajo del Instituto Distrital de Patrimonio Cultural.</t>
  </si>
  <si>
    <t>LAURA KATHERINE RUIZ CORONADO</t>
  </si>
  <si>
    <t>FELIPE ANDRES ARIAS OLAYA</t>
  </si>
  <si>
    <t>CRISTIAN STEPH VELASQUEZ ALEJO</t>
  </si>
  <si>
    <t>Prestar servicios profesionales al Instituto Distrital de Patrimonio Cultural para acompañar el seguimiento a la ejecución presupuestal de inversión y a las metas de los proyectos del Instituto Distrital de Patrimonio Cultural definidos en el Plan de Desarrollo Bogotá Mejor para Todos.</t>
  </si>
  <si>
    <t>JOHANNA LUCIA BUSTOS CRIALES</t>
  </si>
  <si>
    <t>Prestar servicios profesionales a la Subdirección de Gestión Corporativa del Instituto Distrital de Patrimonio Cultural, apoyando la aplicación del nuevo marco normativo contable, según la normativa expedida por la Contaduría General de la Nación y la Secretaría Distrital de Hacienda.</t>
  </si>
  <si>
    <t>KEY ADVISOR S.A.S.</t>
  </si>
  <si>
    <t>Adición y prorroga del contrato de obra No 299 de 2016, que tiene por objeto: Ejecutar las obras por precios unitarios sin fórmula de reajuste para la primera etapa de la restauración integral de la Iglesia de la Basílica Menor - Iglesia del Sagrado Corazón de Jesús del Voto Nacional, ubicada en la Carrera 15 N° 10-43, en la Ciudad de Bogotá, D. C.</t>
  </si>
  <si>
    <t>CONSORCIO RESTAURADORAS</t>
  </si>
  <si>
    <t>JULIAN  SUAREZ LOPEZ</t>
  </si>
  <si>
    <t>INGRID JOHANA DUARTE PINTO</t>
  </si>
  <si>
    <t>Prestar servicios al Instituto Distrital de Patrimonio Cultural para apoyar el seguimiento a los procesos de liquidación y/o terminación de contratos de obra e interventoría y del convenio interadministrativo 117 de 2014 suscrito entre la Secretaría de Cultura Recreación y Deporte, Instituto de las Artes ¿ IDARTES, Instituto para la Economía Social ¿ IPES, Instituto Distrital de Patrimonio Cultural ¿ IDPC y Fondo de Desarrollo Local de la Candelaria - CONCORDIA</t>
  </si>
  <si>
    <t>JAVIER ENRIQUE MOTTA MORALES</t>
  </si>
  <si>
    <t>Prestar servicios profesionales al Instituto Distrital de Patrimonio Cultural para apoyar el seguimiento a los procesos de liquidación y/o terminación de contratos de obra o interventoría y en la estructuración de procesos contractuales o licitatorios en el marco de los proyectos estratégicos de la Subdireccióm de Intervención.</t>
  </si>
  <si>
    <t>MONICA PAOLA ALVAREZ RIOS</t>
  </si>
  <si>
    <t>Prestar servicios profesionales al Instituto Distrital de Patrimonio Cultural acompañando las actividades de soporte técnico y evaluación de las solicitudes y acciones de control urbano que se presenten sobre BIC y SIC del Distrito Capital.</t>
  </si>
  <si>
    <t>Prestar servicios al Instituto Distrital de Patrimonio Cultural apoyando la atención al público y el manejo de la base de datos sobre los trámites de solictudes de evaluación sobre bienes de interés cultural que se presenten ante la entidad.</t>
  </si>
  <si>
    <t>IMPRENTA NACIONAL DE COLOMBIA</t>
  </si>
  <si>
    <t>APOYAR A FOTOMUSEO MUSEO NACIONAL DE LA FOTOGRAFÍA DE COLOMBIA, PARA EL DESARROLLO DEL PROYECTO ¿ VII ENCUENTRO INTERNACIONAL DE FOTOGRAFÍA ¿ FOTOGRAFÍA BOGOTA 2017 ¿ CON BASE EN LO CONCERTADO SEGÚN LOS TÉRMINOS DE LA CONVOCATORIA DEL PROGRAMA DE APOYOS CONCERTADOS DE CONFORMIDAD CON LO DEFINIDO EN EL PLAN DE DESARROLLO ¿ BOGOTA MEJOR PARA TODOS ¿</t>
  </si>
  <si>
    <t>FOTOMUSEO MUSEO NACIONAL DE LA FOTOGRAFIA DE COLOMBIA</t>
  </si>
  <si>
    <t>BIBIANA  CASTRO RAMIREZ</t>
  </si>
  <si>
    <t>Prestar servicios profesionales al IDPC acompañando las actividades de soporte técnico y evaluación de las solciitudes y acciones de control urbano que se presentan sobre BIC y SIC del Distrito Capital.</t>
  </si>
  <si>
    <t>VAlor correspondiete para reconocer el pago de la Planilla Integrada de Aportes a Riesgos Laborales con tarifa tipo V de los contratistas de la Subdirección de Divulgación del período de cotización del mes de agosto de 2017</t>
  </si>
  <si>
    <t>Prestar servicios profesionales al Instituto Distrital de Patrimonio Cultural para apoyar los procesos de investigación curatorial de la exposición temporal "Bogotá desde Arriba" del Museo de Bogotá.</t>
  </si>
  <si>
    <t>Prestar servicios profesionales para apoyar las actividades que se requieran en la operación del Subsistema Interno de Gestión Documental y Archivos (SIGA) del Instituto Distrital de Patrimonio Cultural.</t>
  </si>
  <si>
    <t>294 - 410</t>
  </si>
  <si>
    <t>478- 684</t>
  </si>
  <si>
    <t>314 - 413</t>
  </si>
  <si>
    <t>Adelantar las acciones de mantenimiento y reemplazo de piezas de piso frente a la Catedral Primada de Bogotá y la Plaza de Bolívar.</t>
  </si>
  <si>
    <t>Prestar servicios profesionales al Instituto Distrital de Patrimonio Cultural apoyando las actividades de soporte técnico y evaluación de las solicitudes de intervención en espacio público, equiparación a estrato 1 y/o control urbano en Bienes de Interés Cultural.</t>
  </si>
  <si>
    <t>Prestar servicios profesionales al Instituto Distrital de Patrimonio Cultural, desde la disciplina de conservación ¿ restauración, para acompañar la toma de muestras  y pruebas insitu que sustenten y faciliten a intervención de bienes muebles e inmuebles en la ciudad de Bogotá.</t>
  </si>
  <si>
    <t>VAlor correspondiete para reconocer el pago de la Planilla Integrada de Aportes a Riesgos Laborales con tarifa tipo V de los contratistas de la Subdirección de Intervención del período de cotización del mes de agosto de 2017</t>
  </si>
  <si>
    <t>PRESTAR LOS SERVICIOS PARA APOYAR LAS ACTIVIDADES QUE SE REQUIERAN EN EL PROCESO DE OPERACIÓN DEL SUBSISTEMA INTERNO DE GESTIÓN DOCUMENTAL Y ARCHIVOS (SIGA) DEL INSTITUTO DISTRITAL DE PATRIMONIO CULTURAL.</t>
  </si>
  <si>
    <t>JULIO CESAR CARRILLO SILVA</t>
  </si>
  <si>
    <t>JUAN DE JESUS GUERRERO GOMEZ</t>
  </si>
  <si>
    <t>Contratar la realización de pruebas y procesos de laboratorio requeridos, así como la entrega de análisis y resultados para el concepto de intervención de la fachada de la Catedral Primada de Colombia, ubicada en la carrera 7  No 10 ¿ 80 de la ciudad de Bogotá.</t>
  </si>
  <si>
    <t>HAERENTIA SAS</t>
  </si>
  <si>
    <t>VALOR CORRESPONDIENTE PARA RECONOCER EL PAGO DE LA PLANILLA INTEGRADA DE APORTES A RIESGOS LABORALES CON TARIFA TIPO V DE LOS CONTRATISTAS DE LA SUBDIRECCION DE INTERVENCION DEL PERIODO DE COTIZACION DEL MES DE JULIO DE 2017.</t>
  </si>
  <si>
    <t>Prestar servicios profesionales al Instituto Distrital de Patrimonio Cultural para apoyar en la generación de contenidos gráficos y audiovisuales requeridos para la divulgación del patrimonio cultural del Distrito Capital.</t>
  </si>
  <si>
    <t>Adquisición de pantallas requeridas para el desarrollo museográfico de los proyectos expositivos del Museo de Bogotá.</t>
  </si>
  <si>
    <t>214 - 440</t>
  </si>
  <si>
    <t>Prestar servicios profesionales al Instituto Distrital de Patrimonio Cultural para acompañar la actualización de textos e imágenes que harán parte de la re edición de la publicación ¿Gaston Lelarge. Itinerario de su obra en Colombia".</t>
  </si>
  <si>
    <t>VALOR CORRESPONDIENTE PARA RECONOCER EL PAGO DE LA PLANILLA INTEGRADA DE APORTES A RIESGOS LABORALES CON TARIFA TIPO V DE LOS CONTRATISTAS DE LA SUBDIRECCION DE GESTION CORPORATIVA  DEL PERIODO DE COTIZACION DEL MES DE AGOSTO DE 2017.</t>
  </si>
  <si>
    <t>VALOR CORRESPONDIENTE PARA RECONOCER EL PAGO DE LA PLANILLA INTEGRADA DE APORTES A RIESGOS LABORALES CON TARIFA TIPO V DE LOS CONTRATISTAS DE LA SUBDIRECCION DE GESTION CORPORATIVA  DEL PERIODO DE COTIZACION DEL MES DE JULIO DE 2017.</t>
  </si>
  <si>
    <t>YOLANDA  PACHON ACERO</t>
  </si>
  <si>
    <t>SIMON ANDRES ROJAS GUTIERREZ</t>
  </si>
  <si>
    <t>Prestar servicios profesionales al Instituto Distrital de Patrimonio Cultural apoyando el seguimiento de las intervenciones y acciones del Programa de enlucimiento de fachadas.</t>
  </si>
  <si>
    <t>JOHAN SEBASTIAN MORA TELLEZ</t>
  </si>
  <si>
    <t>Prestar servicios profesionales al Instituto Distrital de Patrimonio Cultural apoyando la definición de criterios de intervención del Programa de enlucimiento de fachadas.</t>
  </si>
  <si>
    <t>RODOLFO ANTONIO PARRA RODRIGUEZ</t>
  </si>
  <si>
    <t>LUIS ALEJANDRO FORERO RODRIGUEZ</t>
  </si>
  <si>
    <t>Prestar servicios profesionales al Instituto Distrital de Patrimonio Cultural apoyando el levantamiento de información técnica y la elaboración de documentos gráficos necesarios para la intervención del Programa de enlucimiento de fachadas.</t>
  </si>
  <si>
    <t>LAURA KATHERINE PEREZ ALMANZA</t>
  </si>
  <si>
    <t>NICOLAS ESTEBAN RAMOS CASTILLO</t>
  </si>
  <si>
    <t>Prestar servicios profesionales al Instituto Distrital de Patrimonio Cultural para apoyar las actividades administrativas y la ejecución de las acciones de intervención asociadas al Programa enlucimiento de fachadas.</t>
  </si>
  <si>
    <t>JAVIER AUGUSTO MAYOR FORERO</t>
  </si>
  <si>
    <t>Prestar servicios profesionales al Instituto Distrital de Patrimonio Cultural para realizar el acompañamiento de los proyectos de intervención de obra e interventoría derivados del Convenio No. 1200005180-2012.</t>
  </si>
  <si>
    <t>394 - 465</t>
  </si>
  <si>
    <t>Intervenir  388 bienes de interés cultural del Distrito Capital,a través de obras de adecuación, ampliación, conservación, consolidación estructural,  rehabilitación, mantenimiento y/o restauración.</t>
  </si>
  <si>
    <t>Prestar servicios profesionales al Instituto Distrital de Patrimonio Cultural para apoyar el seguimiento a las acciones logísticas y técnicas de la gestión social del programa enlucimiento de fachadas.</t>
  </si>
  <si>
    <t>N/A</t>
  </si>
  <si>
    <t>Aunar esfuerzos para la divulagación del patrimonio inmueble de Bogotá, a través de procesos de investigación y publicación que garanticen la circulación de conocimiento sobre la vida y el legado material y de infraestructura dejado por arquietectos en difenetes epocas en la capital.</t>
  </si>
  <si>
    <t>INVERSIONES Y SUMINISTROS LM S A S</t>
  </si>
  <si>
    <t>HANZ  RIPPE GABRIEL</t>
  </si>
  <si>
    <t>170 - 445</t>
  </si>
  <si>
    <t>Valor correespondiente para reconocer el pago de planilla integrada de aportes a riesgos laborales con tarifa tipo V de los contratistas de la Subdirección de Divulgación.</t>
  </si>
  <si>
    <t>VALOR CORRESPONDIENTE PARA RECONOCER EL PAGO DE LA PLANILLA INTEGRADA DE APORTES A RIESGOS LABORALES CON TARIFA TIPO V DE LOS CONTRATISTAS DE LA SUBDIRECCION DE GESTION CORPORATIVA  DEL PERIODO DE COTIZACION DEL MES DE SEPTIEMBRE DE 2017.</t>
  </si>
  <si>
    <t>Bienes de Interés Cultural de tipo inmueble intervenidos (Galeria Santa Fe)</t>
  </si>
  <si>
    <t>Bienes de Interés Cultural de tipo inmueble intervenidos (Edifio del Claustrop del Concejo de Bogotá)</t>
  </si>
  <si>
    <t>Bienes de Interés Cultural de tipo inmueble intervenidos (Voto Nacional - Obra)</t>
  </si>
  <si>
    <t>457 - 755</t>
  </si>
  <si>
    <t>271 - 460</t>
  </si>
  <si>
    <t>215 - 446</t>
  </si>
  <si>
    <t>118 - 664</t>
  </si>
  <si>
    <t>Bienes de Interés Cultural de tipo inmueble intervenidos (Galeria Santa Fe - Convenio 1048 de 2017)</t>
  </si>
  <si>
    <t>Convenio 117 de 2014 (IDARTES) y 409 de 2016 (IPES) - Plaza de Mercado de la Concordia</t>
  </si>
  <si>
    <t>Bienes de Interés Cultural de tipo inmueble intervenidos (Convenio 117 de 2014 (IDARTES) y 409 de 2016 (IPES)- Plaza de Mercado de la Concordia)</t>
  </si>
  <si>
    <t>Prestar servicios profesionales a la Subdirección de gestión Corporativa para apoyar las actividades de administratción y manejo de los bienes del almacén de la entidad.</t>
  </si>
  <si>
    <t>Contratar la compra, suministro y alquiler de elementos químicos especializados, equipos de construcción, materiales y herramientas menores para la intervención en Bienes de Interés Cultural, incluidas las sedes del IDPC, en la ciudad de Bogotá D.C.</t>
  </si>
  <si>
    <t>Prestar servicios profesionales para apoyar el levantamiento del inventario físico y demás actividades requeridas en el área de almacén e inventarios del Instituto Distrital de Patrimonio Cultural.</t>
  </si>
  <si>
    <t>12-05-2017
08-08-2017</t>
  </si>
  <si>
    <t>04-05-2017
02-08-2017</t>
  </si>
  <si>
    <t>13/01/2017
02-02-2017</t>
  </si>
  <si>
    <t>Adquisición de licencias de software para los equipos de cómputo de IDPC</t>
  </si>
  <si>
    <t>Prestar servicios profesionales al Instituto Distrital de Patrimonio Cultural para acompañar los procesos de comunicación gráfica requeridos en la operación del Museo de Bogotá.</t>
  </si>
  <si>
    <t>Prestar servicios profesionales al Instituto Distrital de Patrimonio Cultural para apoyar el proceso de investigación, estructuración y redacción de los guiones científicos - museológicos de dos salas de exposición de la colección permanente, cuyas temáticas son: protección social y ciudadanía y conversaciones.</t>
  </si>
  <si>
    <t>07-06-+2017</t>
  </si>
  <si>
    <t>Prestar servicios profesionales al Instituto Distrital de Patrimonio Cultural para orientar la estrategia de comunicación y acciones periodísticas generadas en el marco del Plan Especial de Manejo y Protección del Centro Histórico de Bogotá D.C.</t>
  </si>
  <si>
    <t>Prestar servicios profesionales al Instituto Distrital de Patrimonio Cultural para orientar la estructuración, organización y seguimiento técnico general en la formulación y desarrollo de la propuesta integral del Plan Especial de Manejo y Protección -PEMP- del Centro Histórico de Bogotá D.C.</t>
  </si>
  <si>
    <t>10/03/2017
13-09-2017</t>
  </si>
  <si>
    <t>27/01/2017
21-09-2017</t>
  </si>
  <si>
    <t>95 - 478</t>
  </si>
  <si>
    <t>25/01/2017
21-09-2017</t>
  </si>
  <si>
    <t>98 - 479</t>
  </si>
  <si>
    <t>118 - 480</t>
  </si>
  <si>
    <t>94 - 481</t>
  </si>
  <si>
    <t>96 - 482</t>
  </si>
  <si>
    <t>324 - 483</t>
  </si>
  <si>
    <t>97 - 490</t>
  </si>
  <si>
    <t>25/01/2017
25-09-2017</t>
  </si>
  <si>
    <t>99 - 491</t>
  </si>
  <si>
    <t>159 - 492</t>
  </si>
  <si>
    <t>158 - 493</t>
  </si>
  <si>
    <t>308 - 494</t>
  </si>
  <si>
    <t>307 - 495</t>
  </si>
  <si>
    <t>Prestar servicios profesionales para apoyar el desarrollo de las actividades requeridas en la formulación de planes y proyectos urbanos en ámbitos patrimoniales que adelante el Instituto Distrital de Patrimonio Cultural y en particular el desarrollo del Plan Especial de Manejo y Protección -PEMP del Centro Histórico de Bogotá D.C.</t>
  </si>
  <si>
    <t>Prestar servicios profesionales al Instituto Distrital de Patrimonio Cultural para apoyar el levantamiento de información técnica y los documentos gráficos necesarios para la intervención del Programa de Enlucimiento de Fachadas.</t>
  </si>
  <si>
    <t>Ejecutar bajo la modalidad de precios unitarios fijos sin fórmula de reajuste de la etapa 1, de las obras de modificación, restauración, reforzamiento estructural, demolición parcial para el inmueble ubicado en la Calle 12 b N° 2 ¿ 58, denominado ¿Sede Principal¿, en la ciudad de Bogotá, D.C.</t>
  </si>
  <si>
    <t>Prestar servicios profesionales al Instituto Distrital de Patrimonio Cultural para apoyar el seguimiento técnico y administrativo en sitio de las intervenciones adelantadas por el Programa de Enlucimiento de Fachadas.</t>
  </si>
  <si>
    <t>Prestar servicios técnicos al Instituto Distrital de Patrimonio Cultural para apoyar la distribución y control de las existencias de los insumos necesarios dentro del programa de Enlucimiento de Fachadas.</t>
  </si>
  <si>
    <t>Prestar servicios profesionales al Instituto Distrital de Patrimonio Cultural para apoyar las actividades administrativas de la Subdirección de Intervención asociadas al Programa de Enlucimiento de Fachadas.</t>
  </si>
  <si>
    <t>VALOR CORRESPONDIENTE PARA RECONOCER EL PAGO DE LA PLANILLA INTEGRADA DE APORTES A RIESGOS LABORALES CON TARIFA TIPO V DE LOS CONTRATISTAS DE LA SUBDIRECCION DE INTERVENCION DEL PERIODO DE COTIZACION DEL MES DE SEPTIEMBRE DE 2017.</t>
  </si>
  <si>
    <t>ADICIÓN Y PRORROGA AL CONTRATO DE OBRA Nº 342 DE 2016 CUYO OBJETO ES: EJECUCIÓN POR LA MODALIDAD DE PRECIOS UNITARIOS FIJOS SIN FORMULA DE REAJUSTE DE LAS OBRAS COMPLEMENTARIAS, INHERENTES Y NECESARIAS PARA LA CULMINACIÓN DEL REFORZAMIENTO ESTRUCTURAL DEL INMUEBLE DEL CLAUSTRO SEDE DEL CONCEJO DE BOGOTÁ EN LA CALLE 36 Nº 28 A 41 DE BOGOTÁ D.C. EN EL MARCO DEL CONVENIO INTERADMINISTRATIVO Nº 120000-518-0-2012.</t>
  </si>
  <si>
    <t>ADICIÓN Y PRORROGA AL CONTRATO DE INTERVENTORÍA NO 332 DE 2016 CUYO OBJETO ES: REALIZAR LA INTERVENTORÍA TÉCNICA ADMINISTRATIVA Y CONTABLE DEL CONTRATO: EJECUCIÓN POR LA MODALIDAD DE PRECIOS UNITARIOS FIJOS SIN FORMULA DE REAJUSTE DE LAS OBRAS COMPLEMENTARIAS, INHERENTES Y NECESARIAS PARA LA CULMINACIÓN DEL REFORZAMIENTO ESTRUCTURAL DEL INMUEBLE DEL CLAUSTRO SEDE DEL CONCEJO DE BOGOTÁ EN LA CALLE 36 Nº 28 A 41 DE BOGOTÁ D.C. EN EL MARCO DEL CONVENIO INTERADMINISTRATIVO Nº 120000-518-0-2012.</t>
  </si>
  <si>
    <t>Contratar  el servicio vehiculo con conductor para el transporte de insumos, materiales, herramientas y equipos del Instituto Distrital de Patrimonio Cultural.</t>
  </si>
  <si>
    <t>Prestar servicios al Instituto Distrital de Patrimonio Cultural para apoyar el seguimiento a los procesos de liquidación y/o terminación de contratos de obra e interventoría celebrados por la Subdirección de Intervención del Instituto Distrital de Patrimonio Cultural ¿ IDPC.</t>
  </si>
  <si>
    <t>Prestar servicios profesionales como ingeniero civil para apoyar la revisión y acompañamiento del componente estructural de las acciones y solicitudes de intervención de bienes de interés cultural.</t>
  </si>
  <si>
    <t>Prestar servicios profesionales al Instituto Distrital de Patrimonio Cultural para apoyar el seguimiento técnico y administrativo en sitio de las intervenciones adelantadas sobre bienes muebles en espacio público.</t>
  </si>
  <si>
    <t>402  - 499</t>
  </si>
  <si>
    <t>368 - 500</t>
  </si>
  <si>
    <t>419 - 504</t>
  </si>
  <si>
    <t>544 - 747</t>
  </si>
  <si>
    <t>456 - 748</t>
  </si>
  <si>
    <t>HUGO ALBERTO DELGADILLO SUAREZ</t>
  </si>
  <si>
    <t>MARIA CAMILA GRACIA ALCAZAR</t>
  </si>
  <si>
    <t>361 - 782</t>
  </si>
  <si>
    <t>LINA MARIA VANEGAS ESTRADA</t>
  </si>
  <si>
    <t>SILVIA NATALIA OSPINA ERAZO</t>
  </si>
  <si>
    <t>MILLER ALEJANDRO CASTRO PEREZ</t>
  </si>
  <si>
    <t>285 - 804</t>
  </si>
  <si>
    <t>281 - 819</t>
  </si>
  <si>
    <t>507 - 820</t>
  </si>
  <si>
    <t>506 - 821</t>
  </si>
  <si>
    <t>538 - 822</t>
  </si>
  <si>
    <t>650 - 802</t>
  </si>
  <si>
    <t>CONSORCIO PATRIMONIO CULTURAL</t>
  </si>
  <si>
    <t>632 - 750</t>
  </si>
  <si>
    <t>Prestar servicios profesionales para apoyar el direccionamiento, fortalecimiento e implementación del Sistema de Información Geográfico del Patrimonio Cultural - SIGPC, en el marco de las competencias del Instituto Distrital de Patrimonio Cultural.</t>
  </si>
  <si>
    <t>Prestar servicios profesionales al IDPC para acompañar la actualización de textos que haran parte de la reedición de la publicación "Arboles Ciudadanos".</t>
  </si>
  <si>
    <t>Prestar servicios de apoyo para realizar actividades administrativas en el área de almacén e inventarios del Instituto Distrital de Patrimonio Cultural.</t>
  </si>
  <si>
    <t>Prestar servicios de apoyo en el manejo y tratamiento de documentos del archivo de la gestión del Instituto Distrital de Patrimonio Cultural.</t>
  </si>
  <si>
    <t>Realizar el avalúo técnico de los bienes muebles de propiedad y a cargo del Instituto Distrital de Patrimonio Cultural, en los términos y condiciones establecidas por la Dirección Distrital de Contabilidad y la Contaduría General de la Nación, para dar soporte al proceso de clasificación y medición de los mencionados bienes, dentro del proceso de implementación del Nuevo Marco Regulativo Contable.</t>
  </si>
  <si>
    <t>Prestar servicios profesionales al Instituto Distrital de Patrimonio Cultural para apoyar la valoración de los objetos de la colección del Museo de Bogotá.</t>
  </si>
  <si>
    <t>Prestar servicios profesionales al Instituto Distrital de Patrimonio Cultural para apoyar el proceso de documentación requerido para la valoración de la colección de objetos del Museo de Bogotá.</t>
  </si>
  <si>
    <t>Prestar servicios profesionales al Instituto Distrital de Patrimonio Cultural para orientar el proceso de documentación y caracterización de la Fiesta de Reyes Magos del Barrio Egipto de la ciudad de Bogotá.</t>
  </si>
  <si>
    <t>Prestar servicios profesionales al Instituto Distrital de Patrimonio Cultural para apoyar el proceso de caracterización de las manifestaciones culturales asociadas a la Fiesta de Reyes Magos del Barrio Egipto de la ciudad de Bogotá.</t>
  </si>
  <si>
    <t>Prestar servicios al Instituto Distrital de Patrimonio Cultural como apoyo técnico en la producción de contenidos audiovisuales requeridos para la activación del patrimonio cultural del Distrito Capital.</t>
  </si>
  <si>
    <t>Realizar la interventoría técnica, administrativa y financiera de la obra cuyo objeto es: "Ejecución de la segunda etapa de las obras correspondientes a la intervención de la Plaza de Mercado Distrital La Concordia y a la ampliación y adecuación de la sede de la nueva Galería Santa Fe, bajo la modalidad de precios unitarios fijos sin fórmula de ajuste, ubicadas en la Carrera 1a # 14 - 42 (antigua) / Calle 12c # 1 - 40 (nueva), en la ciudad de Bogotá, D.C."Realizar la interventoría técnica, administrativa y financiera de la obra cuyo objeto es: ejecución de la segunda etapa de las obras correspondeintes a la intervención de la plaza de mercado la concordía y la ampliación y adecuación de la sede de la nueva galeria santa fe, bajo la modalida d eprecios unitarios fijos sin formula de ajuste, ubicadas en la carrera 1 # 14-42.</t>
  </si>
  <si>
    <t>Realizar la interventoría técnica, administrativa y financiera de la obra cuyo objeto es: "Ejecución de la segunda etapa de las obras correspondientes a la intervención de la Plaza de Mercado Distrital La Concordia y a la ampliación y adecuación de la sede de la nueva Galería Santa Fe, bajo la modalidad de precios unitarios fijos sin fórmula de ajuste, ubicadas en la Carrera 1a # 14 - 42 (antigua) / Calle 12c # 1 - 40 (nueva), en la ciudad de Bogotá, D.C."</t>
  </si>
  <si>
    <t>Prestar servicios profesionales al Instituto Distrital de Patrimonio Cultural para realizar el acompañamiento del Convenio Interadministrativo 12000-00518-2012 en el cierre y liquidación de los contratos de obra e interventoría derivados del mismo.</t>
  </si>
  <si>
    <t>Prestar servicios técnicos al Instituto Distrital de Patrimonio Cultural para apoyar la ejecución de las intervenciones adelantadas sobre bienes muebles en espacio público, de acuerdo con la programación establecida.</t>
  </si>
  <si>
    <t>Prestar servicios operativos al Instituto Distrital de Patrimonio Cultural para apoyar la ejecución de las intervenciones adelantadas sobre bienes muebles en espacio público, de acuerdo con la programación establecida.</t>
  </si>
  <si>
    <t>Prestar servicios técnicos al Instituto Distrital de Patrimonio Cultural para apoyar la correcta ejecución de las intervenciones adelantadas por el Programa de Enlucimiento de Fachadas, de acuerdo con la programación establecida.</t>
  </si>
  <si>
    <t>Prestar servicios operativos al Instituto Distrital de Patrimonio Cultural para apoyar la correcta ejecución de las intervenciones adelantadas por el Programa de Enlucimiento de Fachadas, de acuerdo con la programación establecida.</t>
  </si>
  <si>
    <t>Prestar servicios profesionales al Instituto Distrital de Patrimonio Cultural apoyando en la evaluación de solicitudes de intervención de Bienes de Interés Cultural ubicados en el espacio público.</t>
  </si>
  <si>
    <t>SISTETRONICS LIMITADA</t>
  </si>
  <si>
    <t>WILLIAM MANUEL VEGA VARGAS</t>
  </si>
  <si>
    <t>ROLF  PEREA CUERVO</t>
  </si>
  <si>
    <t>411 - 852</t>
  </si>
  <si>
    <t>MARIA FERNANDA LOAIZA ALVAREZ</t>
  </si>
  <si>
    <t>ANDREA MARCELA PINILLA BAHAMON</t>
  </si>
  <si>
    <t>HUGO ARMANDO BAUTISTA REYES</t>
  </si>
  <si>
    <t>VALOR CORRESPONDIENTE PARA RECONOCER EL PAGO DE LA PLANILLA INTEGRADA DE APORTES A RIESGOS LABORALES DE LOS CONTRATISTAS DEL IDPC CON ALTO RIESGO PERTENECIENTES A LA SUBDIRECCIÓN DE DIVULGACIÓN PARA EL PERIODO DE COTIZACIÓN DEL MES DE OCTUBRE DE 2017.</t>
  </si>
  <si>
    <t>edgar andres gutierrez sanchez</t>
  </si>
  <si>
    <t>JUAN CAMILO GONZALEZ MEDINA</t>
  </si>
  <si>
    <t>597 - 833</t>
  </si>
  <si>
    <t>Adicionar y prorrogar el contrato de prestación de servicios 252 de 2017 cuyo objeto es: prestar servicios profesionales al instituto Distrital de Patrimonio Cultural para realizar el acompañamiento de los proyectos de intervención de obra e interventoría derivados del convenio No 1200005180-2012.</t>
  </si>
  <si>
    <t>JONATHAN  OLARTE GUANA</t>
  </si>
  <si>
    <t>WILLINGTON YESID DELGADO MALDONADO</t>
  </si>
  <si>
    <t>ANDRES JULIAN JIMENEZ DURAN</t>
  </si>
  <si>
    <t>JULIANA ANDREA SANCHEZ RODRIGUEZ</t>
  </si>
  <si>
    <t>DAVID ERNESTO GAITAN SOLORZANO</t>
  </si>
  <si>
    <t>MARIA FERNANDA MONSALVE IBARRA</t>
  </si>
  <si>
    <t>VALOR CORRESPONDIENTE PARA RECONOCER EL PAGO DE LA PLANILLA INTEGRADA DE APORTES A RIESGOS LABORALES DE LOS CONTRATISTAS DEL IDPC CON ALTO RIESGO PERTENECIENTES A LA SUBDIRECCIÓN DE INTERVENCIÓN PARA EL PERIODO DE COTIZACIÓN DEL MES DE OCTUBRE DE 2017.</t>
  </si>
  <si>
    <t>JOSE ALFREDO GUERRERO NARVAEZ</t>
  </si>
  <si>
    <t>JAIME ENRIQUE TORRES GONZALEZ</t>
  </si>
  <si>
    <t>JOSE NICOLAS MARTINEZ ARENAS</t>
  </si>
  <si>
    <t>212 - 572</t>
  </si>
  <si>
    <t>Realizar la interventoría técnica administrativa y financiera de la obra cuyo objeto es Ejecución bajo la modalidad de precios unitarios fijos sin fórmula de reajuste de la etapa 1 de las obras de modificación restauración reforzamiento estructural demolición parcial para el inmueble ubicado en la Calle 12b N° 2-58 denominado "Sede Principal" en la ciudad de Bogotá D. C.</t>
  </si>
  <si>
    <t>Prestar servicios profesionales al Instituto Distrital de Patrimonio Cultural para apoyar el diseño gráfico del material didáctico de la cátedra de patrimonio cultural.</t>
  </si>
  <si>
    <t>VERONICA ANA CRISTINA DELGADO TORRES</t>
  </si>
  <si>
    <t>719 - 887</t>
  </si>
  <si>
    <t>MILTON JAVIER CARREÑO RIOS</t>
  </si>
  <si>
    <t>ROMY ERVIN GANOA</t>
  </si>
  <si>
    <t>LUIS ENRIQUE PALACIOS TELLEZ</t>
  </si>
  <si>
    <t>CESAR FERSEN ANDERY PADILLA RODRIGUEZ</t>
  </si>
  <si>
    <t>LEANDRO  CORTES RODRIGUEZ</t>
  </si>
  <si>
    <t>ANGYE CATERYNN PEÑA VARON</t>
  </si>
  <si>
    <t>Valor correspondeinte a reconocer el pago de la planilla integrada de aportes a riesgos laborales con tarifa tipo V de los contratistas de la Subdirección de Divulgación.</t>
  </si>
  <si>
    <t>272 - 585</t>
  </si>
  <si>
    <t>11/04/2017
03-11-2017</t>
  </si>
  <si>
    <t>Prestar servicios profesionales al Instituto Distrital de Patrimonio Cultural en áreas de seguridad industrial y acompañamiento en las labores de campo adelantadas por la Subdirección de Intervención.</t>
  </si>
  <si>
    <t>JOSE ARMANDO LARA GARCIA</t>
  </si>
  <si>
    <t>75 - 536</t>
  </si>
  <si>
    <t>80 - 538</t>
  </si>
  <si>
    <t>122 - 535</t>
  </si>
  <si>
    <t>140 - 534</t>
  </si>
  <si>
    <t>181 - 537</t>
  </si>
  <si>
    <t>498- 704</t>
  </si>
  <si>
    <t>HELBERT MAURICIO GUZMAN MATIAS</t>
  </si>
  <si>
    <t>segio andres banoy rodriguez</t>
  </si>
  <si>
    <t>maricela  ruiz arias</t>
  </si>
  <si>
    <t>328 - 741</t>
  </si>
  <si>
    <t>Adquisición de mobiliario para las instalaciones de cafetería del Instituto Distrital de Patrimonio Cultural.</t>
  </si>
  <si>
    <t>Adquisición de sillas ergonómicas y superficies completas para los puestos de trabajo del personal de Instituto Distrital de Patrimonio Cultural.</t>
  </si>
  <si>
    <t>adquisicion e instalacion de cortinas tipo Black Out para la sala de juntas del IDPC.</t>
  </si>
  <si>
    <t>Prestar servicios profesionales al Instituto Distrital de Patrimonio Cultural para realizar el soporte, mantenimiento, actualización y desarrollo de actividades a la plataforma del sistema de gestión ORFEO</t>
  </si>
  <si>
    <t>Prestar servicios de apoyo en el seguimiento a la gestion financiera y reporte de metas de los proyectos de inversion del Instituto Distrital de Patrimonio Cultural.</t>
  </si>
  <si>
    <t>Prestar servicios profesionales apoyando juridicamente en los temas relacionados con la gestion de Talento Humano de la Subdireccion de Gestión Corporativa del IDPC.</t>
  </si>
  <si>
    <t>Prestar servicios de apoyo para realizar actividades administrativas en el area de almacen e inventarios de Instituto Distrital de Patrimonio Cultural.</t>
  </si>
  <si>
    <t>224-469 - 586</t>
  </si>
  <si>
    <t>117 - 477</t>
  </si>
  <si>
    <t>181 - 182  - 814</t>
  </si>
  <si>
    <t>BDO AVALUOS S A S</t>
  </si>
  <si>
    <t>347 - 916</t>
  </si>
  <si>
    <t>IDELBER  SANCHEZ</t>
  </si>
  <si>
    <t>FABIAN DAVID GOMEZ ORTIZ</t>
  </si>
  <si>
    <t>MARIANA ANDREA URREGO YEPES</t>
  </si>
  <si>
    <t>364-784-947</t>
  </si>
  <si>
    <t>476 - 920</t>
  </si>
  <si>
    <t>BERNARDO ANDRES MUÑOZ VALLEJO</t>
  </si>
  <si>
    <t>camilo andres moreno malagon</t>
  </si>
  <si>
    <t>GUSTAVO ALONSO CAICEDO URREGO</t>
  </si>
  <si>
    <t>199 - 630</t>
  </si>
  <si>
    <t>71 - 632</t>
  </si>
  <si>
    <t>39 - 619</t>
  </si>
  <si>
    <t>14 - 620</t>
  </si>
  <si>
    <t>69-73 - 621</t>
  </si>
  <si>
    <t>43 - 622</t>
  </si>
  <si>
    <t>37-147 - 623</t>
  </si>
  <si>
    <t>113 - 625</t>
  </si>
  <si>
    <t>487 - 627</t>
  </si>
  <si>
    <t>501 - 628</t>
  </si>
  <si>
    <t>267 - 629</t>
  </si>
  <si>
    <t>165 - 589</t>
  </si>
  <si>
    <t>Aunar esfuerzos técnicos y administrativos para el desarrollo de las acciones de intervención y protección del patrimonio mueble e inmueble del distrito capital.</t>
  </si>
  <si>
    <t>223 - 591</t>
  </si>
  <si>
    <t>22/03/2017
15-11-2017</t>
  </si>
  <si>
    <t>318 - 600</t>
  </si>
  <si>
    <t>18/09/2017
03-11-2017
17-11-2017</t>
  </si>
  <si>
    <t>18/09/2017
17-11-2017</t>
  </si>
  <si>
    <t>Realizar la interventoría técnica, administrativa, financiera, contable y jurídica de la obra cuyo objeto es: "Contrato de obra para la intervención de monumentos ubicados en el espacio público de Bogotá".</t>
  </si>
  <si>
    <t>Prestar servicios de apoyo en actividades asistenciales relacionadas con la documentación de la Subdirección de Intervención del IDPC.</t>
  </si>
  <si>
    <t>Prestar servicios profesionales para apoyar jurídicamente la proyección y trámites de documentos precontractuales requeridos por la Subdirección de Gestión Corporativa del Instituto Distrital de Patrimonio Cultural.</t>
  </si>
  <si>
    <t>Prestar servicios de diseño suministro y siembra de los jardines internos de las instalaciones administrativas del Instituto Distrital de Patrimonio Cultural.</t>
  </si>
  <si>
    <t>74 - 644</t>
  </si>
  <si>
    <t>128 - 645</t>
  </si>
  <si>
    <t>375 - 646</t>
  </si>
  <si>
    <t>372 - 647</t>
  </si>
  <si>
    <t>384 - 648</t>
  </si>
  <si>
    <t>359 - 649</t>
  </si>
  <si>
    <t>382 - 650</t>
  </si>
  <si>
    <t>407 - 652</t>
  </si>
  <si>
    <t>434 - 653</t>
  </si>
  <si>
    <t>136 - 654</t>
  </si>
  <si>
    <t>188 - 655</t>
  </si>
  <si>
    <t>409 - 656</t>
  </si>
  <si>
    <t>465 - 657</t>
  </si>
  <si>
    <t>579 - 658</t>
  </si>
  <si>
    <t>Prestar servicios de apoyo a la gestión en la implementación de la herramienta transaccional SECOP II aplicando los lineamientos dados por la Agencia Colombia Compra Eficiente.</t>
  </si>
  <si>
    <t>Prestar servicios profesionales en las actividades de formulación de conceptos urbanos y de norma urbana en respuesta a las solicitudes adelantadas ante el Instituto Distrital de Patrimonio Cultural.</t>
  </si>
  <si>
    <t>50 - 634</t>
  </si>
  <si>
    <t>192 - 635</t>
  </si>
  <si>
    <t>282 - 636</t>
  </si>
  <si>
    <t>110  - 637</t>
  </si>
  <si>
    <t>51 - 639</t>
  </si>
  <si>
    <t>Prestar servicios profesionales al Instituto Distrital de Patrimonio Cultural para apoyar el cierre y liquidación legal y administrativa del Convenio Interadministrativo 12000-00518-2012 y de los contratos de obra e interventoría derivados del mismo.</t>
  </si>
  <si>
    <t>Valor correspondiente al pago de la Planilla Integrada de Aportes a Riesgos Laborales de los contratistas del IDPC con alto riesgo laboral de la Subdirección Técnica de Intervención del periodo comprendido entre el 01 al 30 de Noviembre de 2017.</t>
  </si>
  <si>
    <t>22-085-2017</t>
  </si>
  <si>
    <t>Contrato de obra para la intervencion de los monumentos ubicados en el espacio publico de Bogotá.</t>
  </si>
  <si>
    <t>Valor correspondiente al pago de la Planilla Integrada de Aportes a Riesgos Laborales de los contratistas del IDPC con alto riesgo laboral de la Subdirección Técnica de Intervención del periodo comprendido entre el 17 al 30 de Octubre de 2017.</t>
  </si>
  <si>
    <t>509
550</t>
  </si>
  <si>
    <t>Pago de Paxivo Exigible por $ 5.199.998 - Reporte PREDIS 27-11-2017</t>
  </si>
  <si>
    <t>Pago de Paxivo Exigible por $ 5.172.019 - Reporte PREDIS 27-11-2017</t>
  </si>
  <si>
    <t>Prestar servicios de apoyo a la gestión requerido en la digitalización y organización de la correspondencia del Instituto Distrital de Patrimonio Cultural.</t>
  </si>
  <si>
    <t>Prestar servicios profesionales al Instituto Distrital de Patrimonio Cultural para apoyar la formulación de planes, programas y proyectos que se adelanten en el marco del Plan Especial de Manejo y Protección, PEMP, del Centro Histórico de Bogotá.</t>
  </si>
  <si>
    <t>Prestar servicios profesionales al Instituto Distrital de Patrimonio Cultural en la orientación jurídica sobre el marco legal que tiene incidencia en la formulación del Plan Especial de Manejo y Protección - PEMP, del Centro Histórico de Bogotá D.C.</t>
  </si>
  <si>
    <t>163 - 683</t>
  </si>
  <si>
    <t>116 - 684</t>
  </si>
  <si>
    <t>157 - 685</t>
  </si>
  <si>
    <t>78 - 686</t>
  </si>
  <si>
    <t>337 - 687</t>
  </si>
  <si>
    <t>Adelantar el proceso de reducción de la apropiación del presupuesto del proyecto de inversión 1114. Intervención y conservación de los bienes muebles e inmuebles en sectores de interés cultural del Distrito Capital. Correspondiente al ingreso no recaudado de la fuente de financiación 01-39, Recursos del IVA a la telefonía móvil y que es inferior a lo programado inicialmente por la Secretaria Distrital de Hacienda.</t>
  </si>
  <si>
    <t>Contratar la compra de reactivos químicos e insumos de laboratorio para la ejecución de las intervenciones de enlucimiento, limpieza y mantenimiento de los bienes de interés cultural e inmuebles (fachadas) en el Centro Histórico de la ciudad de Bogotá D.C.</t>
  </si>
  <si>
    <t>12/01/2017
27-11-2017</t>
  </si>
  <si>
    <t>28 - 671</t>
  </si>
  <si>
    <t>19 - 673</t>
  </si>
  <si>
    <t>77 - 675</t>
  </si>
  <si>
    <t>177 - 676</t>
  </si>
  <si>
    <t>193 - 677</t>
  </si>
  <si>
    <t>222 - 678</t>
  </si>
  <si>
    <t>240 - 679</t>
  </si>
  <si>
    <t>239 - 680</t>
  </si>
  <si>
    <t>68 - 638</t>
  </si>
  <si>
    <t>FERRETERIA BRAND LIMITADA</t>
  </si>
  <si>
    <t>06/02/2017
21-11-2017</t>
  </si>
  <si>
    <t>293 - 962</t>
  </si>
  <si>
    <t>379 - 981</t>
  </si>
  <si>
    <t>SOLUCIONES INTEGRALES DE OFICINA SAS</t>
  </si>
  <si>
    <t>839 - 982</t>
  </si>
  <si>
    <t>842 - 984</t>
  </si>
  <si>
    <t>429 - 985</t>
  </si>
  <si>
    <t>DIANA MAYERLI OSORIO PAVA</t>
  </si>
  <si>
    <t>UNIVERSIDAD NACIONAL DE COLOMBIA</t>
  </si>
  <si>
    <t>319 - 932</t>
  </si>
  <si>
    <t>365 - 946</t>
  </si>
  <si>
    <t>499 - 953</t>
  </si>
  <si>
    <t>479 - 987</t>
  </si>
  <si>
    <t>Contratar el aqluiler de equipos para la ejecución de las intervenciones de enlucimiento, limpieza y mantenimiento de los bienes de interés cultural inmuebles (fachadas), en el centro histórico de Bogotá D.C.</t>
  </si>
  <si>
    <t>70 -669</t>
  </si>
  <si>
    <t>515 - 668</t>
  </si>
  <si>
    <t>JENNY GISELL QUEVEDO
QUEVEDO</t>
  </si>
  <si>
    <t>89 - 715</t>
  </si>
  <si>
    <t>160 - 716</t>
  </si>
  <si>
    <t>11 - 718</t>
  </si>
  <si>
    <t>8 - 719</t>
  </si>
  <si>
    <t>10 - 720</t>
  </si>
  <si>
    <t>9 - 721</t>
  </si>
  <si>
    <t>167 - 751</t>
  </si>
  <si>
    <t>364 - 752</t>
  </si>
  <si>
    <t>134 - 755</t>
  </si>
  <si>
    <t>46 - 756</t>
  </si>
  <si>
    <t>47 - 757</t>
  </si>
  <si>
    <t>285 - 758</t>
  </si>
  <si>
    <t>139 - 701</t>
  </si>
  <si>
    <t>262 - 731</t>
  </si>
  <si>
    <t>229 - 730</t>
  </si>
  <si>
    <t>333 - 706</t>
  </si>
  <si>
    <t>386 - 745</t>
  </si>
  <si>
    <t>395 - 725</t>
  </si>
  <si>
    <t>397 - 747</t>
  </si>
  <si>
    <t>408 - 708</t>
  </si>
  <si>
    <t>432 - 726</t>
  </si>
  <si>
    <t>433 - 727</t>
  </si>
  <si>
    <t>421 - 709</t>
  </si>
  <si>
    <t>435 - 705</t>
  </si>
  <si>
    <t>Contratar la elaboración de estudios y trabajos orientados al análisis patológico de las condiciones técnicas de acabado de la fachada del costado occidental de la Iglesia de La Candelaria, ubicada en Calle 11 Carrera 4 esquina, con el fin de determinar el tipo de intervención para su mantenimiento.</t>
  </si>
  <si>
    <t>MARIA ALEJANDRA LUQUE
ALARCON</t>
  </si>
  <si>
    <t>MARIA CAMILA VERGARA RIVERA</t>
  </si>
  <si>
    <t>44 - 787</t>
  </si>
  <si>
    <t>OFICOMCO SAS</t>
  </si>
  <si>
    <t>N</t>
  </si>
  <si>
    <t>CARLOS ANDRES TORRES MOLINA</t>
  </si>
  <si>
    <t>CARLOS GUILLERMO VALENCIA MALDONADO</t>
  </si>
  <si>
    <t>EDWIN FABIAN RUIZ CASAS</t>
  </si>
  <si>
    <t>giovanny francisco lopez perez</t>
  </si>
  <si>
    <t>SANTIAGO  URREGO GARAY</t>
  </si>
  <si>
    <t>JONATHAN  LEON AMADO</t>
  </si>
  <si>
    <t>ANDRES  CORTES AVILAN</t>
  </si>
  <si>
    <t>CRISTIAN DAVID CHIQUITO ENCISO</t>
  </si>
  <si>
    <t>INGRYD JOHANA CHAPARRO BERNAL</t>
  </si>
  <si>
    <t>JOSE LUIS ORTIZ CARDENAS</t>
  </si>
  <si>
    <t>WALBERTO  TERRAZA BELEÑO</t>
  </si>
  <si>
    <t>FELIX  VALENCIA MOSQUERA</t>
  </si>
  <si>
    <t>MILTON OSWALDO RUIZ MICAN</t>
  </si>
  <si>
    <t>julio enrique sanabria torres</t>
  </si>
  <si>
    <t>MIGUEL ANGELO CARDENAS GONZALEZ</t>
  </si>
  <si>
    <t>JEICCOTH SNEIDER CAICEDO MUÑOZ</t>
  </si>
  <si>
    <t>CARLOS ENRIQUE BELTRAN ESTUPIÑAN</t>
  </si>
  <si>
    <t>LEONEL  SERRATO VASQUEZ</t>
  </si>
  <si>
    <t>EDGAR  SIERRA MORENO</t>
  </si>
  <si>
    <t>JORGE LEONARDO TORRES ROMERO</t>
  </si>
  <si>
    <t>VALOR CORRESPONDIENTE AL PAGO DE LA PLANILLA INTEGRADA DE APORTES A RIESGOS LABORALES DE LOS CONTRATISTAS DEL IDPC CON ALTO RIESGO LABORAL DE LA SUBDIRECCIÓN TÉCNICA DE INTERVENCIÓN, DEL PERIODO COMPRENDIDO ENTRE EL 01 AL 30 DE DICIEMBRE DE 2017.</t>
  </si>
  <si>
    <t>VALOR CORRESPONDIENTE AL PAGO DE LA PLANILLA INTEGRADA DE APORTES A RIESGOS LABORALES DE LOS CONTRATISTAS DEL IDPC CON ALTO RIESGO LABORAL DE LA SUBDIRECCIÓN TÉCNICA DE INTERVENCIÓN, DEL PERIODO COMPRENDIDO ENTRE EL 01 DE ENERO AL 30 DE ABRIL DE 2018.</t>
  </si>
  <si>
    <t>542 - 770</t>
  </si>
  <si>
    <t>60 - 760</t>
  </si>
  <si>
    <t>514 - 761</t>
  </si>
  <si>
    <t>Prestar servicios profesionales al Instituto Distrital de Patrimonio Cultural para acompañar el desarrollo técnico de los dispositivos transmedia de la exposición Bogotá Proyecta Futuro del Museo de Bogotá.</t>
  </si>
  <si>
    <t>475 - 765</t>
  </si>
  <si>
    <t>345 - 769</t>
  </si>
  <si>
    <t>VALOR CORRESPONDIENTE AL PAGO DE LA PLANILLA INTEGRADA DE APORTES A RIESGOS LABORALES DE LOS CONTRATISTAS DEL IDPC CON ALTO RIESGO LABORAL DE LA SUBDIRECCIÓN DE DIVULGACIÓN, DEL PERIODO COMPRENDIDO ENTRE EL 01 AL 30 DE DICIEMBRE DE 2017.</t>
  </si>
  <si>
    <t>Contratar el suministro e instalación de avisos informativos para las dependencias del IDPC.</t>
  </si>
  <si>
    <t>522 - 772</t>
  </si>
  <si>
    <t>640 - 773</t>
  </si>
  <si>
    <t>681 - 788</t>
  </si>
  <si>
    <t>161 - 588 - 806</t>
  </si>
  <si>
    <t>377 - 810</t>
  </si>
  <si>
    <t>659 - 825</t>
  </si>
  <si>
    <t>551 - 796</t>
  </si>
  <si>
    <t>486 - 814</t>
  </si>
  <si>
    <t>430 - 805</t>
  </si>
  <si>
    <t>525 - 795</t>
  </si>
  <si>
    <t>517 - 794</t>
  </si>
  <si>
    <t>498 - 793</t>
  </si>
  <si>
    <t>390 - 786</t>
  </si>
  <si>
    <t>449 - 785</t>
  </si>
  <si>
    <t>541 - 783</t>
  </si>
  <si>
    <t>546 - 782</t>
  </si>
  <si>
    <t>547 - 781</t>
  </si>
  <si>
    <t>558 - 780</t>
  </si>
  <si>
    <t>549 - 779</t>
  </si>
  <si>
    <t>550 - 778</t>
  </si>
  <si>
    <t>548 - 777</t>
  </si>
  <si>
    <t>485 - 776</t>
  </si>
  <si>
    <t>457 - 775</t>
  </si>
  <si>
    <t>528 - 774</t>
  </si>
  <si>
    <t>405 - 763</t>
  </si>
  <si>
    <t>389 - 750</t>
  </si>
  <si>
    <t>429 - 749</t>
  </si>
  <si>
    <t>404 - 748</t>
  </si>
  <si>
    <t>144 - 746</t>
  </si>
  <si>
    <t>400 - 744</t>
  </si>
  <si>
    <t>20 - 742</t>
  </si>
  <si>
    <t>455 - 740</t>
  </si>
  <si>
    <t>454 - 739</t>
  </si>
  <si>
    <t>527 - 738</t>
  </si>
  <si>
    <t>456 - 737</t>
  </si>
  <si>
    <t>383 - 735</t>
  </si>
  <si>
    <t>399 - 734</t>
  </si>
  <si>
    <t>387 - 733</t>
  </si>
  <si>
    <t>388 - 732</t>
  </si>
  <si>
    <t>143 - 724</t>
  </si>
  <si>
    <t>149 - 713</t>
  </si>
  <si>
    <t>414 - 712</t>
  </si>
  <si>
    <t>227 - 710</t>
  </si>
  <si>
    <t>256 - 704</t>
  </si>
  <si>
    <t>191 - 703</t>
  </si>
  <si>
    <t>49 - 702</t>
  </si>
  <si>
    <t>205 - 700</t>
  </si>
  <si>
    <t>21 - 697</t>
  </si>
  <si>
    <t>255 - 696</t>
  </si>
  <si>
    <t>253 - 695</t>
  </si>
  <si>
    <t>Prestar servicios profesionales especializados para orientar la gestión del Instituto Distrital de Patrimonio Cultural, relacionada con los proyectos estratégicos y misionales de la entidad.</t>
  </si>
  <si>
    <t>526 - 762</t>
  </si>
  <si>
    <t>903 - 1129</t>
  </si>
  <si>
    <t>1024 - 1062</t>
  </si>
  <si>
    <t>392 - 400</t>
  </si>
  <si>
    <t>07-12-2017
13-12-2017</t>
  </si>
  <si>
    <t>OFICOMCO SAS
UNION TEMPORAL SAS 007 2017</t>
  </si>
  <si>
    <t>835 - 1093</t>
  </si>
  <si>
    <t>858 - 1112</t>
  </si>
  <si>
    <t>853 - 1051</t>
  </si>
  <si>
    <t>GERMAN  FERRO MEDINA</t>
  </si>
  <si>
    <t>558 - 1141</t>
  </si>
  <si>
    <t>1026 - 1207</t>
  </si>
  <si>
    <t>DISTRIBUCIONES ALIADAS BJ SAS</t>
  </si>
  <si>
    <t>275 - 1034</t>
  </si>
  <si>
    <t>282 - 1055</t>
  </si>
  <si>
    <t>608 - 1059</t>
  </si>
  <si>
    <t>611 - 1063</t>
  </si>
  <si>
    <t>743 - 1064</t>
  </si>
  <si>
    <t>629 - 1065</t>
  </si>
  <si>
    <t>623 - 1066</t>
  </si>
  <si>
    <t>320 - 1068</t>
  </si>
  <si>
    <t>376 - 1069</t>
  </si>
  <si>
    <t>794 - 1076</t>
  </si>
  <si>
    <t>612 - 1077</t>
  </si>
  <si>
    <t>695 - 1081</t>
  </si>
  <si>
    <t>605 - 1083</t>
  </si>
  <si>
    <t>454 - 1091</t>
  </si>
  <si>
    <t>692 - 1095</t>
  </si>
  <si>
    <t>861 - 1113</t>
  </si>
  <si>
    <t>993 - 1116</t>
  </si>
  <si>
    <t>994 - 1152</t>
  </si>
  <si>
    <t>284 - 931-1181</t>
  </si>
  <si>
    <t>INVERSIONES AYPE LTDA</t>
  </si>
  <si>
    <t>294 - 1056</t>
  </si>
  <si>
    <t>287 - 1057</t>
  </si>
  <si>
    <t>543 - 1061</t>
  </si>
  <si>
    <t>996 - 1210</t>
  </si>
  <si>
    <t>JUAN FELIPE PINILLA &amp; ASOCIADOS DERECHO-URBANO SAS</t>
  </si>
  <si>
    <t>ANGULO &amp; VELANDIA S A S</t>
  </si>
  <si>
    <t>01-12-2017
28-12-2017</t>
  </si>
  <si>
    <t>26-121-2017</t>
  </si>
  <si>
    <t>26-12-20107</t>
  </si>
  <si>
    <t>JORGE ENRIQUE MARTINEZ FONSECA</t>
  </si>
  <si>
    <t>Ejecución de la segunda etapa de las obras correspondientes a la intervención de la Plaza de Mercado Distrital La Concordia y a la ampliación y adecuación de la sede de la nueva Galería Santa Fe, bajo la modalidad de precios unitarios fijos sin fórmula de ajuste, ubicadas en la Carrera 1a # 14 - 42 (antigua) / Calle 12c # 1 - 40 (nueva), en la ciudad de Bogotá, D.C.</t>
  </si>
  <si>
    <t>CONSORCIO MO CONCORDIA 2017</t>
  </si>
  <si>
    <t>CONSORCIO NVP</t>
  </si>
  <si>
    <t>KARIN JULIANA TORRES PINILLA</t>
  </si>
  <si>
    <t>416 - 1132</t>
  </si>
  <si>
    <t>384 - 999</t>
  </si>
  <si>
    <t>390 - 1029</t>
  </si>
  <si>
    <t>359 - 1031</t>
  </si>
  <si>
    <t>405 - 1136</t>
  </si>
  <si>
    <t>596 - 1137</t>
  </si>
  <si>
    <t>631 - 1131</t>
  </si>
  <si>
    <t>644 - 1168</t>
  </si>
  <si>
    <t>646 - 1165</t>
  </si>
  <si>
    <t>834 - 1173</t>
  </si>
  <si>
    <t>DIANA PATRICIA COVALEDA SALAS</t>
  </si>
  <si>
    <t>Prestar servicios profesionales al Instituto Distrital de Patrimonio Cultural en las actividades relacionadas con la segunda etapa de intervención de la Basílica del Voto Nacional.</t>
  </si>
  <si>
    <t>HELLEN  QUIROGA MORA</t>
  </si>
  <si>
    <t>HECTOR MISAEL ROJAS LEON</t>
  </si>
  <si>
    <t>GABRIEL ORLANDO LONDONO MURCIA</t>
  </si>
  <si>
    <t>DIANA CATALINA GOMEZ VANEGAS</t>
  </si>
  <si>
    <t>MARINEY  SANTOS MONROY</t>
  </si>
  <si>
    <t>721 - 1167</t>
  </si>
  <si>
    <t>730 - 1216</t>
  </si>
  <si>
    <t>729 - 1120</t>
  </si>
  <si>
    <t>722 - 1118</t>
  </si>
  <si>
    <t>736 - 1187</t>
  </si>
  <si>
    <t xml:space="preserve">724 - 1138 </t>
  </si>
  <si>
    <t>862 -1196</t>
  </si>
  <si>
    <t>NESTOR ADEL VARGAS PEDROZA</t>
  </si>
  <si>
    <t>803 - 1218</t>
  </si>
  <si>
    <t>753- 1133</t>
  </si>
  <si>
    <t>807 - 1128</t>
  </si>
  <si>
    <t>801 - 1147</t>
  </si>
  <si>
    <t>812 - 1154</t>
  </si>
  <si>
    <t>837 - 1209</t>
  </si>
  <si>
    <t>884 - 1189</t>
  </si>
  <si>
    <t>878 - 1215</t>
  </si>
  <si>
    <t>910 - 1211</t>
  </si>
  <si>
    <t>866 - 1148</t>
  </si>
  <si>
    <t>898 - 1155</t>
  </si>
  <si>
    <t>900 - 1190</t>
  </si>
  <si>
    <t>899 - 1191</t>
  </si>
  <si>
    <t>893 - 1150</t>
  </si>
  <si>
    <t>894 - 1149</t>
  </si>
  <si>
    <t>902 - 1192</t>
  </si>
  <si>
    <t>915 - 1193</t>
  </si>
  <si>
    <t>626 - 1170</t>
  </si>
  <si>
    <t>648 - 1169</t>
  </si>
  <si>
    <t>625 - 1171</t>
  </si>
  <si>
    <t>628 - 1119</t>
  </si>
  <si>
    <t>859 - 1220</t>
  </si>
  <si>
    <t>GIOVANNY ANDRES CUBILLOS MORENO</t>
  </si>
  <si>
    <t>JHOAN SEBASTIAN SANCHEZ</t>
  </si>
  <si>
    <t>UNION TEMPORAL MONUMENTOS 34</t>
  </si>
  <si>
    <t>860 - 1188</t>
  </si>
  <si>
    <t>64 - 1071</t>
  </si>
  <si>
    <t>324-1158</t>
  </si>
  <si>
    <t>292-1017</t>
  </si>
  <si>
    <t>325-1018</t>
  </si>
  <si>
    <t>331-1087</t>
  </si>
  <si>
    <t>329-990</t>
  </si>
  <si>
    <t>358-1084</t>
  </si>
  <si>
    <t>363-1134</t>
  </si>
  <si>
    <t>418-1086</t>
  </si>
  <si>
    <t>407-1052</t>
  </si>
  <si>
    <t>630-1130</t>
  </si>
  <si>
    <t>409-1053</t>
  </si>
  <si>
    <t>654-1121</t>
  </si>
  <si>
    <t>653-1177</t>
  </si>
  <si>
    <t>655-1178</t>
  </si>
  <si>
    <t>693-1166</t>
  </si>
  <si>
    <t>728-1117</t>
  </si>
  <si>
    <t>841-1176</t>
  </si>
  <si>
    <t>901-1153</t>
  </si>
  <si>
    <t>LIZETH PAOLA LOPEZ BARRERA</t>
  </si>
  <si>
    <t>291-1140</t>
  </si>
  <si>
    <t>527-1089</t>
  </si>
  <si>
    <t>103 - 991</t>
  </si>
  <si>
    <t>921 - 358 - 1114</t>
  </si>
  <si>
    <t>413 - 1082</t>
  </si>
  <si>
    <t>664-665-666-667-762-763-764-765-766-767-768-769-770-771-772-773-776</t>
  </si>
  <si>
    <t>69-70</t>
  </si>
  <si>
    <t>90-91</t>
  </si>
  <si>
    <t>252-253</t>
  </si>
  <si>
    <t>217-218</t>
  </si>
  <si>
    <t>254-255</t>
  </si>
  <si>
    <t>215-216</t>
  </si>
  <si>
    <t>233-234</t>
  </si>
  <si>
    <t>203-367</t>
  </si>
  <si>
    <t>179-180</t>
  </si>
  <si>
    <t>93-94</t>
  </si>
  <si>
    <t>36-37</t>
  </si>
  <si>
    <t>74-75</t>
  </si>
  <si>
    <t>84-85</t>
  </si>
  <si>
    <t>56 - 631</t>
  </si>
  <si>
    <t>95-96</t>
  </si>
  <si>
    <t>126-127</t>
  </si>
  <si>
    <t>120-121</t>
  </si>
  <si>
    <t>213-214 - 965</t>
  </si>
  <si>
    <t>152-153 - 963</t>
  </si>
  <si>
    <t>169-170</t>
  </si>
  <si>
    <t>211-212</t>
  </si>
  <si>
    <t>203-204</t>
  </si>
  <si>
    <t>248-249 - 964</t>
  </si>
  <si>
    <t>246-247 - 961</t>
  </si>
  <si>
    <t>250-251</t>
  </si>
  <si>
    <t>217 - 338 - 448</t>
  </si>
  <si>
    <t>228 - 441</t>
  </si>
  <si>
    <t>252 - 280 - 447</t>
  </si>
  <si>
    <t>29/03/2017 - 24/04/2017</t>
  </si>
  <si>
    <t>512 - 667</t>
  </si>
  <si>
    <t>76-77</t>
  </si>
  <si>
    <t>576-577-578-579-580-581-582-583-584-585-586-587-588-668-669-670-671-672-673-674-675-676-701</t>
  </si>
  <si>
    <t>105-106 - 1109</t>
  </si>
  <si>
    <t>101-102</t>
  </si>
  <si>
    <t>132-133</t>
  </si>
  <si>
    <t>122-123</t>
  </si>
  <si>
    <t>128-129 - 1098</t>
  </si>
  <si>
    <t>190-191</t>
  </si>
  <si>
    <t>205-206</t>
  </si>
  <si>
    <t>164-165</t>
  </si>
  <si>
    <t>244-245</t>
  </si>
  <si>
    <t>221-222</t>
  </si>
  <si>
    <t>261-262</t>
  </si>
  <si>
    <t>151-216 - 651</t>
  </si>
  <si>
    <t>267-268</t>
  </si>
  <si>
    <t>265-266</t>
  </si>
  <si>
    <t>56-57</t>
  </si>
  <si>
    <t>30-31</t>
  </si>
  <si>
    <t>14-15 - 1043</t>
  </si>
  <si>
    <t>12-13 - 1041</t>
  </si>
  <si>
    <t>18-19 - 1039</t>
  </si>
  <si>
    <t>16-17 - 1040</t>
  </si>
  <si>
    <t>54-55-279</t>
  </si>
  <si>
    <t>52-53-271-272 -974</t>
  </si>
  <si>
    <t>LILIANA PAOLA GUERRERO ALBARRACIN
SANDRA YANETH ROMO BENAVIDES</t>
  </si>
  <si>
    <t>58-59 - 969</t>
  </si>
  <si>
    <t>173-174 - 1090</t>
  </si>
  <si>
    <t>44-45 - 1096</t>
  </si>
  <si>
    <t>46-47  - 1092</t>
  </si>
  <si>
    <t>88-89-92-972</t>
  </si>
  <si>
    <t>72-86 - 624</t>
  </si>
  <si>
    <t>104-107-108-971</t>
  </si>
  <si>
    <t xml:space="preserve">HELBER AURELIO SILVA 
MARIELA CAJAMARCA DIAZ
</t>
  </si>
  <si>
    <t>140-141-404</t>
  </si>
  <si>
    <t>113-114 - 1042</t>
  </si>
  <si>
    <t>142-143 - 1033</t>
  </si>
  <si>
    <t>138-139</t>
  </si>
  <si>
    <t>185-186 - 986</t>
  </si>
  <si>
    <t>227-228</t>
  </si>
  <si>
    <t>225-226</t>
  </si>
  <si>
    <t>193-194 - 1054</t>
  </si>
  <si>
    <t>175-176</t>
  </si>
  <si>
    <t>223-224 - 602</t>
  </si>
  <si>
    <t>706 - 708</t>
  </si>
  <si>
    <t>660 - 803</t>
  </si>
  <si>
    <t>60-61 - 1097</t>
  </si>
  <si>
    <t>162-268</t>
  </si>
  <si>
    <t>26-27 - 970</t>
  </si>
  <si>
    <t>82 - 771 - 804</t>
  </si>
  <si>
    <t>171-172- 1157</t>
  </si>
  <si>
    <t>72-73 - 973</t>
  </si>
  <si>
    <t>111-112</t>
  </si>
  <si>
    <t>109-110-1060</t>
  </si>
  <si>
    <t>199-200</t>
  </si>
  <si>
    <t>229-230-806</t>
  </si>
  <si>
    <t>183-184- 815</t>
  </si>
  <si>
    <t>231-232- 817</t>
  </si>
  <si>
    <t>162-163 - 813</t>
  </si>
  <si>
    <t>197-198 - 805</t>
  </si>
  <si>
    <t>242-243 - 818</t>
  </si>
  <si>
    <t>167-168 - 684 - 1058</t>
  </si>
  <si>
    <t>209-210</t>
  </si>
  <si>
    <t>201-202 - 816</t>
  </si>
  <si>
    <t>188-189</t>
  </si>
  <si>
    <t>195-196</t>
  </si>
  <si>
    <t>182 - 590</t>
  </si>
  <si>
    <t>17/02/2017
10-11-2017</t>
  </si>
  <si>
    <t>65-66</t>
  </si>
  <si>
    <t>28-29</t>
  </si>
  <si>
    <t>42-43</t>
  </si>
  <si>
    <t>86-87-988</t>
  </si>
  <si>
    <t>237-238</t>
  </si>
  <si>
    <t>269-270 - 1100</t>
  </si>
  <si>
    <t>130-131-1027</t>
  </si>
  <si>
    <t>124-125-1013</t>
  </si>
  <si>
    <t>242 - 699</t>
  </si>
  <si>
    <t>241 - 707</t>
  </si>
  <si>
    <t>450 - 741 - 813</t>
  </si>
  <si>
    <t>451 - 743 - 812</t>
  </si>
  <si>
    <t>484 - 601</t>
  </si>
  <si>
    <t>583 - 602</t>
  </si>
  <si>
    <t>540 - 784</t>
  </si>
  <si>
    <t>556 - 604</t>
  </si>
  <si>
    <t>557 - 605</t>
  </si>
  <si>
    <t>559 - 606</t>
  </si>
  <si>
    <t>567 - 607</t>
  </si>
  <si>
    <t>568 - 608</t>
  </si>
  <si>
    <t>582 - 609</t>
  </si>
  <si>
    <t>573 - 584 - 617</t>
  </si>
  <si>
    <t>23 - 698</t>
  </si>
  <si>
    <t>48-49</t>
  </si>
  <si>
    <t>273-274</t>
  </si>
  <si>
    <t>134-135</t>
  </si>
  <si>
    <t>18 - 670</t>
  </si>
  <si>
    <t>50-51</t>
  </si>
  <si>
    <t>40-41 - 1070</t>
  </si>
  <si>
    <t>67-68-1122</t>
  </si>
  <si>
    <t>22 - 672</t>
  </si>
  <si>
    <t>34-35-161</t>
  </si>
  <si>
    <t>32-33</t>
  </si>
  <si>
    <t>38-39-1110</t>
  </si>
  <si>
    <t>27 - 674</t>
  </si>
  <si>
    <t>62-63</t>
  </si>
  <si>
    <t>144-145</t>
  </si>
  <si>
    <t>97-98</t>
  </si>
  <si>
    <t>99-100-1099</t>
  </si>
  <si>
    <t>136-137</t>
  </si>
  <si>
    <t>146-147-1030</t>
  </si>
  <si>
    <t>150-151</t>
  </si>
  <si>
    <t>148-149</t>
  </si>
  <si>
    <t>154-155-998</t>
  </si>
  <si>
    <t>219-220</t>
  </si>
  <si>
    <t>276-277-1135</t>
  </si>
  <si>
    <t>194 - 711</t>
  </si>
  <si>
    <t>260 - 293</t>
  </si>
  <si>
    <t>2-4-5-7-8-9-80-83-156-159-311-312-313-314-315-316-338-342-344-345-346-368-371-373-375-395-414-415-419-446-447-448-449-451-455-463-464-465-466-487-489-490-511-513-534-545-546-553-568-570-573-574-590-573-574-590-606-607-609-617-618-635-636-637-641-661-680-681-689-698-710-715-717-725 - 738 - 809 - 746-754 - 761 - 780 -787 -  791 - 795 - 796 - 823-824-844- 848-868-869-870-879-883 - 908 - 909 - 912 - 913 - 926 - 927 - 951 - 952 - 954 - 957 -  968 - 1015 - 1016 - 1045 - 1101 - 1102-1103 - 1104 - 1146 - 1199 - 1200 - 1201</t>
  </si>
  <si>
    <t>246 - 301 - 598</t>
  </si>
  <si>
    <t>Enero 4 de 2018</t>
  </si>
  <si>
    <t>Margarita Lucía Castañeda Vargas</t>
  </si>
  <si>
    <t>María Victoria Villamil Páez</t>
  </si>
  <si>
    <t>Directora General (E )</t>
  </si>
  <si>
    <t>Subdirectora General</t>
  </si>
  <si>
    <t xml:space="preserve">Subdirectora de Intervención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</si>
</sst>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 #,##0_ ;_ * \-#,##0_ ;_ * &quot;-&quot;_ ;_ @_ "/>
    <numFmt numFmtId="165" formatCode="_ * #,##0.00_ ;_ * \-#,##0.00_ ;_ * &quot;-&quot;??_ ;_ @_ "/>
    <numFmt numFmtId="166" formatCode="_ * #,##0_ ;_ * \-#,##0_ ;_ * &quot;-&quot;??_ ;_ @_ "/>
    <numFmt numFmtId="167" formatCode="[$$-240A]\ #,##0.00"/>
    <numFmt numFmtId="168" formatCode="0.0%"/>
    <numFmt numFmtId="169" formatCode="[$$-240A]\ #,##0"/>
    <numFmt numFmtId="170" formatCode="#,##0_ ;\-#,##0\ "/>
    <numFmt numFmtId="171" formatCode="\-"/>
    <numFmt numFmtId="172" formatCode="d/mm/yyyy;@"/>
    <numFmt numFmtId="173" formatCode="000"/>
    <numFmt numFmtId="174" formatCode="#,##0;[Red]#,##0"/>
    <numFmt numFmtId="175" formatCode="0;[Red]0"/>
    <numFmt numFmtId="176" formatCode="[$-C0A]d\-mmm\-yy;@"/>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sz val="10"/>
      <name val="Arial"/>
      <family val="2"/>
    </font>
    <font>
      <b/>
      <sz val="9"/>
      <name val="Arial"/>
      <family val="2"/>
    </font>
    <font>
      <b/>
      <sz val="16"/>
      <name val="Arial"/>
      <family val="2"/>
    </font>
    <font>
      <b/>
      <sz val="20"/>
      <name val="Arial"/>
      <family val="2"/>
    </font>
    <font>
      <sz val="20"/>
      <name val="Arial"/>
      <family val="2"/>
    </font>
    <font>
      <b/>
      <u/>
      <sz val="10"/>
      <name val="Arial"/>
      <family val="2"/>
    </font>
    <font>
      <sz val="11"/>
      <name val="Arial"/>
      <family val="2"/>
    </font>
    <font>
      <u/>
      <sz val="11"/>
      <name val="Arial"/>
      <family val="2"/>
    </font>
    <font>
      <u/>
      <sz val="10"/>
      <name val="Arial"/>
      <family val="2"/>
    </font>
    <font>
      <b/>
      <sz val="12"/>
      <name val="Arial"/>
      <family val="2"/>
    </font>
    <font>
      <sz val="9"/>
      <name val="Arial"/>
      <family val="2"/>
    </font>
    <font>
      <b/>
      <sz val="11"/>
      <name val="Arial"/>
      <family val="2"/>
    </font>
    <font>
      <sz val="12"/>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1"/>
    </font>
    <font>
      <sz val="10"/>
      <name val="Arial1"/>
    </font>
    <font>
      <b/>
      <sz val="7"/>
      <name val="Arial"/>
      <family val="2"/>
    </font>
    <font>
      <sz val="7"/>
      <name val="Arial"/>
      <family val="2"/>
    </font>
    <font>
      <sz val="11"/>
      <name val="Calibri"/>
      <family val="2"/>
      <scheme val="minor"/>
    </font>
  </fonts>
  <fills count="3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80">
    <border>
      <left/>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style="thin">
        <color indexed="64"/>
      </top>
      <bottom/>
      <diagonal/>
    </border>
    <border>
      <left/>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double">
        <color indexed="64"/>
      </right>
      <top/>
      <bottom/>
      <diagonal/>
    </border>
    <border>
      <left style="hair">
        <color indexed="64"/>
      </left>
      <right style="double">
        <color indexed="64"/>
      </right>
      <top style="hair">
        <color indexed="64"/>
      </top>
      <bottom/>
      <diagonal/>
    </border>
    <border>
      <left style="hair">
        <color indexed="64"/>
      </left>
      <right style="double">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style="hair">
        <color indexed="64"/>
      </top>
      <bottom/>
      <diagonal/>
    </border>
    <border>
      <left/>
      <right/>
      <top/>
      <bottom style="thin">
        <color indexed="64"/>
      </bottom>
      <diagonal/>
    </border>
    <border>
      <left/>
      <right style="double">
        <color indexed="64"/>
      </right>
      <top style="hair">
        <color indexed="64"/>
      </top>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double">
        <color indexed="64"/>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bottom style="medium">
        <color indexed="64"/>
      </bottom>
      <diagonal/>
    </border>
    <border>
      <left/>
      <right style="double">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
      <left style="hair">
        <color indexed="64"/>
      </left>
      <right style="hair">
        <color indexed="64"/>
      </right>
      <top/>
      <bottom style="medium">
        <color indexed="64"/>
      </bottom>
      <diagonal/>
    </border>
  </borders>
  <cellStyleXfs count="49">
    <xf numFmtId="0" fontId="0" fillId="0" borderId="0"/>
    <xf numFmtId="165" fontId="5" fillId="0" borderId="0" applyFont="0" applyFill="0" applyBorder="0" applyAlignment="0" applyProtection="0"/>
    <xf numFmtId="0" fontId="9" fillId="0" borderId="0"/>
    <xf numFmtId="9" fontId="5" fillId="0" borderId="0" applyFont="0" applyFill="0" applyBorder="0" applyAlignment="0" applyProtection="0"/>
    <xf numFmtId="0" fontId="4" fillId="0" borderId="0"/>
    <xf numFmtId="0" fontId="3" fillId="0" borderId="0"/>
    <xf numFmtId="0" fontId="2" fillId="0" borderId="0"/>
    <xf numFmtId="0" fontId="26" fillId="0" borderId="0" applyNumberFormat="0" applyFill="0" applyBorder="0" applyAlignment="0" applyProtection="0"/>
    <xf numFmtId="0" fontId="27" fillId="0" borderId="46" applyNumberFormat="0" applyFill="0" applyAlignment="0" applyProtection="0"/>
    <xf numFmtId="0" fontId="28" fillId="0" borderId="47" applyNumberFormat="0" applyFill="0" applyAlignment="0" applyProtection="0"/>
    <xf numFmtId="0" fontId="29" fillId="0" borderId="48"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49" applyNumberFormat="0" applyAlignment="0" applyProtection="0"/>
    <xf numFmtId="0" fontId="34" fillId="8" borderId="50" applyNumberFormat="0" applyAlignment="0" applyProtection="0"/>
    <xf numFmtId="0" fontId="35" fillId="8" borderId="49" applyNumberFormat="0" applyAlignment="0" applyProtection="0"/>
    <xf numFmtId="0" fontId="36" fillId="0" borderId="51" applyNumberFormat="0" applyFill="0" applyAlignment="0" applyProtection="0"/>
    <xf numFmtId="0" fontId="37" fillId="9" borderId="52"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4" applyNumberFormat="0" applyFill="0" applyAlignment="0" applyProtection="0"/>
    <xf numFmtId="0" fontId="4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1" fillId="34" borderId="0" applyNumberFormat="0" applyBorder="0" applyAlignment="0" applyProtection="0"/>
    <xf numFmtId="0" fontId="1" fillId="0" borderId="0"/>
    <xf numFmtId="0" fontId="1" fillId="10" borderId="53" applyNumberFormat="0" applyFont="0" applyAlignment="0" applyProtection="0"/>
  </cellStyleXfs>
  <cellXfs count="617">
    <xf numFmtId="0" fontId="0" fillId="0" borderId="0" xfId="0"/>
    <xf numFmtId="0" fontId="6" fillId="0" borderId="0" xfId="0" applyFont="1" applyAlignment="1">
      <alignment wrapText="1"/>
    </xf>
    <xf numFmtId="164" fontId="0" fillId="0" borderId="0" xfId="0" applyNumberFormat="1"/>
    <xf numFmtId="0" fontId="0" fillId="0" borderId="0" xfId="0" applyAlignment="1">
      <alignment wrapText="1"/>
    </xf>
    <xf numFmtId="164" fontId="6" fillId="0" borderId="0" xfId="0" applyNumberFormat="1" applyFont="1"/>
    <xf numFmtId="0" fontId="7" fillId="0" borderId="0" xfId="0" applyFont="1" applyAlignment="1">
      <alignment horizontal="center" wrapText="1"/>
    </xf>
    <xf numFmtId="0" fontId="0" fillId="0" borderId="2" xfId="0" applyBorder="1" applyAlignment="1">
      <alignment horizontal="center" wrapText="1"/>
    </xf>
    <xf numFmtId="166" fontId="5" fillId="0" borderId="2" xfId="1" applyNumberFormat="1" applyBorder="1"/>
    <xf numFmtId="0" fontId="8" fillId="0" borderId="2" xfId="0" applyFont="1" applyBorder="1" applyAlignment="1">
      <alignment horizontal="justify" vertical="center" wrapText="1"/>
    </xf>
    <xf numFmtId="0" fontId="0" fillId="0" borderId="2" xfId="0" applyBorder="1" applyAlignment="1">
      <alignment horizontal="justify" vertical="center" wrapText="1"/>
    </xf>
    <xf numFmtId="166" fontId="0" fillId="0" borderId="2" xfId="1" applyNumberFormat="1" applyFont="1" applyBorder="1"/>
    <xf numFmtId="0" fontId="8"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0" fillId="0" borderId="3" xfId="0" applyBorder="1" applyAlignment="1">
      <alignment horizontal="justify" vertical="center" wrapText="1"/>
    </xf>
    <xf numFmtId="164" fontId="8" fillId="0" borderId="2"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166" fontId="9" fillId="0" borderId="2" xfId="1" applyNumberFormat="1" applyFont="1" applyBorder="1"/>
    <xf numFmtId="0" fontId="5" fillId="0" borderId="4" xfId="0" applyFont="1" applyBorder="1" applyAlignment="1">
      <alignment horizontal="justify" vertical="center" wrapText="1"/>
    </xf>
    <xf numFmtId="166" fontId="5" fillId="0" borderId="2" xfId="1" applyNumberFormat="1" applyFont="1" applyBorder="1"/>
    <xf numFmtId="166" fontId="8" fillId="2" borderId="2" xfId="1" applyNumberFormat="1" applyFont="1" applyFill="1" applyBorder="1"/>
    <xf numFmtId="0" fontId="0" fillId="0" borderId="2" xfId="0" applyBorder="1" applyAlignment="1">
      <alignment horizontal="center" vertical="center" wrapText="1"/>
    </xf>
    <xf numFmtId="0" fontId="8" fillId="2" borderId="2" xfId="0" applyFont="1" applyFill="1" applyBorder="1" applyAlignment="1">
      <alignment wrapText="1"/>
    </xf>
    <xf numFmtId="0" fontId="0" fillId="2" borderId="2" xfId="0" applyFill="1" applyBorder="1" applyAlignment="1">
      <alignment horizontal="center" vertical="center" wrapText="1"/>
    </xf>
    <xf numFmtId="166" fontId="8" fillId="2" borderId="2" xfId="0" applyNumberFormat="1" applyFont="1" applyFill="1" applyBorder="1"/>
    <xf numFmtId="0" fontId="0" fillId="0" borderId="0" xfId="0" applyFill="1" applyBorder="1"/>
    <xf numFmtId="166" fontId="8" fillId="0" borderId="0" xfId="0" applyNumberFormat="1" applyFont="1" applyFill="1" applyBorder="1"/>
    <xf numFmtId="168" fontId="0" fillId="0" borderId="0" xfId="3" applyNumberFormat="1" applyFont="1"/>
    <xf numFmtId="0" fontId="8" fillId="0" borderId="5" xfId="0" applyFont="1" applyFill="1" applyBorder="1" applyAlignment="1">
      <alignment horizontal="left" vertical="center" wrapText="1"/>
    </xf>
    <xf numFmtId="0" fontId="8" fillId="0" borderId="5" xfId="0" applyFont="1" applyBorder="1" applyAlignment="1">
      <alignment horizontal="left" vertical="center" wrapText="1"/>
    </xf>
    <xf numFmtId="0" fontId="8" fillId="2" borderId="5" xfId="0" applyFont="1" applyFill="1" applyBorder="1" applyAlignment="1">
      <alignment horizontal="left" wrapText="1"/>
    </xf>
    <xf numFmtId="166" fontId="8" fillId="2" borderId="2" xfId="1" applyNumberFormat="1" applyFont="1" applyFill="1" applyBorder="1" applyAlignment="1">
      <alignment horizontal="center" vertical="center" wrapText="1"/>
    </xf>
    <xf numFmtId="166" fontId="8" fillId="0" borderId="5" xfId="1" applyNumberFormat="1" applyFont="1" applyFill="1" applyBorder="1" applyAlignment="1">
      <alignment horizontal="left" vertical="center" wrapText="1"/>
    </xf>
    <xf numFmtId="166" fontId="0" fillId="0" borderId="2" xfId="1" applyNumberFormat="1" applyFont="1" applyFill="1" applyBorder="1" applyAlignment="1">
      <alignment horizontal="justify" vertical="center" wrapText="1"/>
    </xf>
    <xf numFmtId="166" fontId="8" fillId="0" borderId="5" xfId="1" applyNumberFormat="1" applyFont="1" applyBorder="1" applyAlignment="1">
      <alignment horizontal="left" vertical="center" wrapText="1"/>
    </xf>
    <xf numFmtId="166" fontId="0" fillId="0" borderId="3" xfId="1" applyNumberFormat="1" applyFont="1" applyBorder="1" applyAlignment="1">
      <alignment horizontal="justify" vertical="center" wrapText="1"/>
    </xf>
    <xf numFmtId="166" fontId="5" fillId="0" borderId="4" xfId="1" applyNumberFormat="1" applyFont="1" applyBorder="1" applyAlignment="1">
      <alignment horizontal="justify" vertical="center" wrapText="1"/>
    </xf>
    <xf numFmtId="166" fontId="8" fillId="2" borderId="5" xfId="1" applyNumberFormat="1" applyFont="1" applyFill="1" applyBorder="1" applyAlignment="1">
      <alignment horizontal="left" wrapText="1"/>
    </xf>
    <xf numFmtId="166" fontId="0" fillId="0" borderId="2" xfId="1" applyNumberFormat="1" applyFont="1" applyFill="1" applyBorder="1" applyAlignment="1">
      <alignment horizontal="center" vertical="center" wrapText="1"/>
    </xf>
    <xf numFmtId="166" fontId="0" fillId="0" borderId="2" xfId="1" applyNumberFormat="1" applyFont="1" applyBorder="1" applyAlignment="1">
      <alignment horizontal="center" vertical="center" wrapText="1"/>
    </xf>
    <xf numFmtId="166" fontId="0" fillId="0" borderId="2" xfId="1" applyNumberFormat="1" applyFont="1" applyBorder="1" applyAlignment="1">
      <alignment horizontal="justify" vertical="center" wrapText="1"/>
    </xf>
    <xf numFmtId="0" fontId="0" fillId="0" borderId="2" xfId="0" applyBorder="1" applyAlignment="1">
      <alignment horizontal="justify" wrapText="1"/>
    </xf>
    <xf numFmtId="0" fontId="7" fillId="0" borderId="0" xfId="0" applyFont="1" applyAlignment="1">
      <alignment horizontal="right" wrapText="1"/>
    </xf>
    <xf numFmtId="0" fontId="6" fillId="0" borderId="0" xfId="0" applyFont="1" applyAlignment="1">
      <alignment horizontal="left"/>
    </xf>
    <xf numFmtId="166" fontId="6" fillId="0" borderId="0" xfId="1" applyNumberFormat="1" applyFont="1"/>
    <xf numFmtId="0" fontId="8" fillId="0" borderId="6" xfId="0" applyFont="1" applyFill="1" applyBorder="1" applyAlignment="1">
      <alignment horizontal="center" vertical="center" wrapText="1"/>
    </xf>
    <xf numFmtId="167" fontId="8"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3" fontId="10" fillId="0" borderId="6"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10" fillId="0"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69" fontId="8" fillId="0" borderId="6" xfId="0" applyNumberFormat="1" applyFont="1" applyFill="1" applyBorder="1" applyAlignment="1">
      <alignment horizontal="center" vertical="center" wrapText="1"/>
    </xf>
    <xf numFmtId="169" fontId="18" fillId="0" borderId="6" xfId="0" applyNumberFormat="1" applyFont="1" applyFill="1" applyBorder="1" applyAlignment="1">
      <alignment horizontal="center" vertical="center" wrapText="1"/>
    </xf>
    <xf numFmtId="3" fontId="8" fillId="0" borderId="6" xfId="0" applyNumberFormat="1" applyFont="1" applyFill="1" applyBorder="1" applyAlignment="1">
      <alignment horizontal="center" vertical="center" wrapText="1"/>
    </xf>
    <xf numFmtId="169" fontId="8" fillId="0" borderId="1"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66" fontId="8" fillId="0" borderId="0" xfId="1" applyNumberFormat="1" applyFont="1" applyFill="1" applyBorder="1" applyAlignment="1">
      <alignment horizontal="center" vertical="center" wrapText="1"/>
    </xf>
    <xf numFmtId="164" fontId="8" fillId="0" borderId="0" xfId="1" applyNumberFormat="1" applyFont="1" applyFill="1" applyBorder="1" applyAlignment="1">
      <alignment horizontal="center" wrapText="1"/>
    </xf>
    <xf numFmtId="3" fontId="19" fillId="0" borderId="9"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3" fontId="19" fillId="0" borderId="1" xfId="0"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173" fontId="5" fillId="0" borderId="28" xfId="0" applyNumberFormat="1" applyFont="1" applyFill="1" applyBorder="1" applyAlignment="1">
      <alignment horizontal="center" vertical="center" wrapText="1"/>
    </xf>
    <xf numFmtId="173" fontId="8" fillId="0" borderId="28" xfId="0" applyNumberFormat="1" applyFont="1" applyFill="1" applyBorder="1" applyAlignment="1">
      <alignment horizontal="center" vertical="center" wrapText="1"/>
    </xf>
    <xf numFmtId="173" fontId="8" fillId="0" borderId="9" xfId="0" applyNumberFormat="1" applyFont="1" applyFill="1" applyBorder="1" applyAlignment="1">
      <alignment vertical="center" wrapText="1"/>
    </xf>
    <xf numFmtId="0" fontId="19" fillId="0" borderId="6" xfId="0" applyFont="1" applyFill="1" applyBorder="1" applyAlignment="1">
      <alignment horizontal="center" vertical="center" wrapText="1"/>
    </xf>
    <xf numFmtId="3" fontId="19" fillId="0" borderId="6" xfId="0" applyNumberFormat="1" applyFont="1" applyFill="1" applyBorder="1" applyAlignment="1">
      <alignment horizontal="center" vertical="center" wrapText="1"/>
    </xf>
    <xf numFmtId="173" fontId="5" fillId="0" borderId="9" xfId="0" applyNumberFormat="1" applyFont="1" applyFill="1" applyBorder="1" applyAlignment="1">
      <alignment horizontal="center" vertical="center" wrapText="1"/>
    </xf>
    <xf numFmtId="173" fontId="8" fillId="0" borderId="9" xfId="0" applyNumberFormat="1" applyFont="1" applyFill="1" applyBorder="1" applyAlignment="1">
      <alignment horizontal="center" vertical="center" wrapText="1"/>
    </xf>
    <xf numFmtId="173" fontId="8" fillId="0" borderId="0" xfId="1" applyNumberFormat="1" applyFont="1" applyFill="1" applyBorder="1" applyAlignment="1">
      <alignment horizontal="center" wrapText="1"/>
    </xf>
    <xf numFmtId="3" fontId="19" fillId="0" borderId="28" xfId="0" applyNumberFormat="1" applyFont="1" applyFill="1" applyBorder="1" applyAlignment="1">
      <alignment horizontal="center" vertical="center" wrapText="1"/>
    </xf>
    <xf numFmtId="3" fontId="19" fillId="0" borderId="21" xfId="0" applyNumberFormat="1" applyFont="1" applyFill="1" applyBorder="1" applyAlignment="1">
      <alignment horizontal="center" vertical="center" wrapText="1"/>
    </xf>
    <xf numFmtId="3" fontId="10" fillId="0" borderId="9"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3" fontId="10" fillId="0" borderId="28" xfId="0" applyNumberFormat="1" applyFont="1" applyFill="1" applyBorder="1" applyAlignment="1">
      <alignment horizontal="center" vertical="center" wrapText="1"/>
    </xf>
    <xf numFmtId="3" fontId="10" fillId="0" borderId="37" xfId="0" applyNumberFormat="1" applyFont="1" applyFill="1" applyBorder="1" applyAlignment="1">
      <alignment horizontal="center" vertical="center" wrapText="1"/>
    </xf>
    <xf numFmtId="3" fontId="10" fillId="0" borderId="29" xfId="0" applyNumberFormat="1" applyFont="1" applyFill="1" applyBorder="1" applyAlignment="1">
      <alignment horizontal="center" vertical="center" wrapText="1"/>
    </xf>
    <xf numFmtId="3" fontId="19" fillId="0" borderId="37"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164" fontId="20" fillId="0" borderId="6" xfId="1" applyNumberFormat="1" applyFont="1" applyFill="1" applyBorder="1" applyAlignment="1">
      <alignment horizontal="center" vertical="center" wrapText="1"/>
    </xf>
    <xf numFmtId="164" fontId="20" fillId="0" borderId="10" xfId="1"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3" fontId="5" fillId="0" borderId="6" xfId="0" applyNumberFormat="1" applyFont="1" applyFill="1" applyBorder="1" applyAlignment="1">
      <alignment horizontal="left" vertical="center" wrapText="1"/>
    </xf>
    <xf numFmtId="0" fontId="5" fillId="0" borderId="28"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0" xfId="0" applyFont="1"/>
    <xf numFmtId="0" fontId="5" fillId="0" borderId="6" xfId="0"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3" fontId="20" fillId="0" borderId="6" xfId="1" applyNumberFormat="1" applyFont="1" applyFill="1" applyBorder="1" applyAlignment="1">
      <alignment horizontal="center" vertical="center" wrapText="1"/>
    </xf>
    <xf numFmtId="3" fontId="20" fillId="0" borderId="10" xfId="1" applyNumberFormat="1" applyFont="1" applyFill="1" applyBorder="1" applyAlignment="1">
      <alignment horizontal="center" vertical="center" wrapText="1"/>
    </xf>
    <xf numFmtId="169" fontId="5"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164" fontId="15" fillId="0" borderId="6" xfId="1" applyNumberFormat="1" applyFont="1" applyFill="1" applyBorder="1" applyAlignment="1">
      <alignment horizontal="center" vertical="center" wrapText="1"/>
    </xf>
    <xf numFmtId="3" fontId="19" fillId="0" borderId="29" xfId="0" applyNumberFormat="1" applyFont="1" applyFill="1" applyBorder="1" applyAlignment="1">
      <alignment horizontal="center" vertical="center" wrapText="1"/>
    </xf>
    <xf numFmtId="3" fontId="8" fillId="0" borderId="0" xfId="0" applyNumberFormat="1" applyFont="1"/>
    <xf numFmtId="3" fontId="5" fillId="0" borderId="0" xfId="0" applyNumberFormat="1" applyFont="1"/>
    <xf numFmtId="3" fontId="6" fillId="0" borderId="0"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6" xfId="0" applyNumberFormat="1" applyFont="1" applyFill="1" applyBorder="1" applyAlignment="1">
      <alignment horizontal="left" vertical="center" wrapText="1"/>
    </xf>
    <xf numFmtId="3" fontId="8" fillId="0" borderId="6"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wrapText="1"/>
    </xf>
    <xf numFmtId="172" fontId="5" fillId="0" borderId="10"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3" fontId="8" fillId="0" borderId="0" xfId="0" applyNumberFormat="1" applyFont="1" applyFill="1"/>
    <xf numFmtId="3" fontId="8" fillId="0" borderId="1" xfId="0" applyNumberFormat="1" applyFont="1" applyFill="1" applyBorder="1" applyAlignment="1">
      <alignment horizontal="center" vertical="center"/>
    </xf>
    <xf numFmtId="3" fontId="8" fillId="0" borderId="9"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9"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0" fontId="5" fillId="0" borderId="0" xfId="0" applyFont="1" applyFill="1"/>
    <xf numFmtId="174" fontId="8" fillId="0" borderId="6" xfId="0" applyNumberFormat="1" applyFont="1" applyFill="1" applyBorder="1" applyAlignment="1">
      <alignment horizontal="center" vertical="center" wrapText="1"/>
    </xf>
    <xf numFmtId="175" fontId="19" fillId="0" borderId="21" xfId="0" applyNumberFormat="1" applyFont="1" applyFill="1" applyBorder="1" applyAlignment="1">
      <alignment horizontal="center" vertical="center" wrapText="1"/>
    </xf>
    <xf numFmtId="174" fontId="5" fillId="0" borderId="6" xfId="0" applyNumberFormat="1" applyFont="1" applyFill="1" applyBorder="1" applyAlignment="1">
      <alignment horizontal="center" vertical="center" wrapText="1"/>
    </xf>
    <xf numFmtId="3" fontId="5" fillId="0" borderId="0" xfId="0" applyNumberFormat="1" applyFont="1" applyFill="1"/>
    <xf numFmtId="176" fontId="5" fillId="0" borderId="10"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wrapText="1"/>
    </xf>
    <xf numFmtId="14" fontId="8" fillId="0" borderId="6" xfId="0" applyNumberFormat="1"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176" fontId="5" fillId="0" borderId="0" xfId="0" applyNumberFormat="1" applyFont="1" applyAlignment="1">
      <alignment horizontal="center" vertical="center"/>
    </xf>
    <xf numFmtId="3" fontId="5" fillId="0" borderId="0" xfId="0" applyNumberFormat="1" applyFont="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76" fontId="5" fillId="0" borderId="0" xfId="0" applyNumberFormat="1" applyFont="1" applyFill="1" applyAlignment="1">
      <alignment horizontal="center" vertical="center"/>
    </xf>
    <xf numFmtId="3" fontId="5" fillId="0" borderId="0" xfId="0" applyNumberFormat="1" applyFont="1" applyFill="1" applyAlignment="1">
      <alignment horizontal="center" vertical="center"/>
    </xf>
    <xf numFmtId="0" fontId="8" fillId="0" borderId="1" xfId="0" applyFont="1" applyFill="1" applyBorder="1" applyAlignment="1">
      <alignment horizontal="center" vertical="center" wrapText="1"/>
    </xf>
    <xf numFmtId="174" fontId="8" fillId="0" borderId="1"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3" fontId="8" fillId="0" borderId="21" xfId="0" applyNumberFormat="1" applyFont="1" applyFill="1" applyBorder="1" applyAlignment="1">
      <alignment horizontal="center" vertical="center" wrapText="1"/>
    </xf>
    <xf numFmtId="3" fontId="5" fillId="0" borderId="9"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4" fontId="5" fillId="0" borderId="1"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8" fillId="0" borderId="37" xfId="0" applyNumberFormat="1" applyFont="1" applyFill="1" applyBorder="1" applyAlignment="1">
      <alignment horizontal="center" vertical="center" wrapText="1"/>
    </xf>
    <xf numFmtId="3" fontId="8" fillId="0" borderId="28" xfId="0" applyNumberFormat="1" applyFont="1" applyFill="1" applyBorder="1" applyAlignment="1">
      <alignment horizontal="center" vertical="center" wrapText="1"/>
    </xf>
    <xf numFmtId="3" fontId="5" fillId="0" borderId="44" xfId="0" applyNumberFormat="1" applyFont="1" applyFill="1" applyBorder="1" applyAlignment="1">
      <alignment horizontal="center" vertical="center" wrapText="1"/>
    </xf>
    <xf numFmtId="3" fontId="5" fillId="0" borderId="28" xfId="0" applyNumberFormat="1" applyFont="1" applyFill="1" applyBorder="1" applyAlignment="1">
      <alignment horizontal="center" vertical="center" wrapText="1"/>
    </xf>
    <xf numFmtId="176" fontId="5" fillId="0" borderId="29" xfId="0"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3" fontId="8" fillId="0" borderId="42" xfId="0" applyNumberFormat="1" applyFont="1" applyFill="1" applyBorder="1" applyAlignment="1">
      <alignment horizontal="center" vertical="center" wrapText="1"/>
    </xf>
    <xf numFmtId="3" fontId="5" fillId="0" borderId="42"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5" fillId="0" borderId="30" xfId="0" applyNumberFormat="1" applyFont="1" applyFill="1" applyBorder="1" applyAlignment="1">
      <alignment horizontal="center" vertical="center" wrapText="1"/>
    </xf>
    <xf numFmtId="3" fontId="8" fillId="0" borderId="44" xfId="0" applyNumberFormat="1" applyFont="1" applyFill="1" applyBorder="1" applyAlignment="1">
      <alignment horizontal="center" vertical="center" wrapText="1"/>
    </xf>
    <xf numFmtId="3" fontId="5" fillId="0" borderId="21"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174" fontId="8" fillId="0" borderId="28" xfId="0" applyNumberFormat="1" applyFont="1" applyFill="1" applyBorder="1" applyAlignment="1">
      <alignment horizontal="center" vertical="center" wrapText="1"/>
    </xf>
    <xf numFmtId="174" fontId="5" fillId="0" borderId="28"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3" fontId="8" fillId="0" borderId="40"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175" fontId="5" fillId="0" borderId="10" xfId="0" applyNumberFormat="1" applyFont="1" applyFill="1" applyBorder="1" applyAlignment="1">
      <alignment horizontal="center" vertical="center" wrapText="1"/>
    </xf>
    <xf numFmtId="3" fontId="8" fillId="0" borderId="29" xfId="0" applyNumberFormat="1" applyFont="1" applyFill="1" applyBorder="1" applyAlignment="1">
      <alignment horizontal="center" vertical="center" wrapText="1"/>
    </xf>
    <xf numFmtId="3" fontId="5" fillId="0" borderId="0" xfId="0" applyNumberFormat="1" applyFont="1" applyFill="1" applyAlignment="1"/>
    <xf numFmtId="0" fontId="5" fillId="0" borderId="9" xfId="0" applyFont="1" applyFill="1" applyBorder="1" applyAlignment="1">
      <alignment horizontal="center" vertical="center"/>
    </xf>
    <xf numFmtId="0" fontId="5" fillId="0" borderId="6" xfId="0" applyFont="1" applyFill="1" applyBorder="1" applyAlignment="1">
      <alignment horizontal="center" vertical="center"/>
    </xf>
    <xf numFmtId="164" fontId="8" fillId="0" borderId="6" xfId="1" applyNumberFormat="1" applyFont="1" applyFill="1" applyBorder="1" applyAlignment="1">
      <alignment horizontal="center" vertical="center" wrapText="1"/>
    </xf>
    <xf numFmtId="164" fontId="8" fillId="0" borderId="10" xfId="1" applyNumberFormat="1" applyFont="1" applyFill="1" applyBorder="1" applyAlignment="1">
      <alignment horizontal="center" vertical="center" wrapText="1"/>
    </xf>
    <xf numFmtId="0" fontId="5" fillId="0" borderId="0" xfId="0" applyFont="1" applyFill="1" applyAlignment="1">
      <alignment vertical="center"/>
    </xf>
    <xf numFmtId="173" fontId="5" fillId="0" borderId="0" xfId="0" applyNumberFormat="1" applyFont="1" applyAlignment="1">
      <alignment horizontal="center"/>
    </xf>
    <xf numFmtId="173" fontId="5" fillId="0" borderId="0" xfId="0" applyNumberFormat="1" applyFont="1"/>
    <xf numFmtId="174" fontId="5" fillId="0" borderId="0" xfId="0" applyNumberFormat="1" applyFont="1"/>
    <xf numFmtId="166" fontId="5" fillId="0" borderId="0" xfId="1" applyNumberFormat="1" applyFont="1"/>
    <xf numFmtId="0" fontId="5" fillId="0" borderId="0" xfId="0" applyFont="1" applyAlignment="1">
      <alignment wrapText="1"/>
    </xf>
    <xf numFmtId="3" fontId="19" fillId="0" borderId="19" xfId="0" applyNumberFormat="1" applyFont="1" applyFill="1" applyBorder="1" applyAlignment="1">
      <alignment horizontal="center" vertical="center" wrapText="1"/>
    </xf>
    <xf numFmtId="3" fontId="19" fillId="0" borderId="40" xfId="0" applyNumberFormat="1" applyFont="1" applyFill="1" applyBorder="1" applyAlignment="1">
      <alignment horizontal="center" vertical="center" wrapText="1"/>
    </xf>
    <xf numFmtId="3" fontId="5" fillId="0" borderId="1" xfId="0" applyNumberFormat="1" applyFont="1" applyFill="1" applyBorder="1" applyAlignment="1">
      <alignment horizontal="left" vertical="center" wrapText="1"/>
    </xf>
    <xf numFmtId="173" fontId="5" fillId="0" borderId="24"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3" fontId="19" fillId="0" borderId="44" xfId="0" applyNumberFormat="1" applyFont="1" applyFill="1" applyBorder="1" applyAlignment="1">
      <alignment horizontal="center" vertical="center" wrapText="1"/>
    </xf>
    <xf numFmtId="3" fontId="10" fillId="0" borderId="24"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0" fillId="0" borderId="23" xfId="0" applyNumberFormat="1" applyFont="1" applyFill="1" applyBorder="1" applyAlignment="1">
      <alignment horizontal="center" vertical="center" wrapText="1"/>
    </xf>
    <xf numFmtId="3" fontId="19" fillId="0" borderId="45" xfId="0" applyNumberFormat="1" applyFont="1" applyFill="1" applyBorder="1" applyAlignment="1">
      <alignment horizontal="center" vertical="center" wrapText="1"/>
    </xf>
    <xf numFmtId="3" fontId="5" fillId="0" borderId="43" xfId="0" applyNumberFormat="1" applyFont="1" applyFill="1" applyBorder="1" applyAlignment="1">
      <alignment horizontal="left" vertical="center" wrapText="1"/>
    </xf>
    <xf numFmtId="3" fontId="5" fillId="0" borderId="43"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3" fontId="5" fillId="0" borderId="0" xfId="0" applyNumberFormat="1" applyFont="1" applyFill="1" applyAlignment="1">
      <alignment horizontal="center" vertical="center" wrapText="1"/>
    </xf>
    <xf numFmtId="3" fontId="5" fillId="0" borderId="29" xfId="0" applyNumberFormat="1" applyFont="1" applyFill="1" applyBorder="1" applyAlignment="1">
      <alignment horizontal="center" vertical="center" wrapText="1"/>
    </xf>
    <xf numFmtId="0" fontId="5" fillId="0" borderId="0" xfId="0" applyFont="1" applyAlignment="1">
      <alignment horizontal="left" vertical="center"/>
    </xf>
    <xf numFmtId="0" fontId="8" fillId="0" borderId="0" xfId="0" applyFont="1" applyAlignment="1">
      <alignment horizontal="center" vertical="center"/>
    </xf>
    <xf numFmtId="0" fontId="5" fillId="0" borderId="0" xfId="0" applyFont="1" applyFill="1" applyAlignment="1">
      <alignment horizontal="left" vertical="center"/>
    </xf>
    <xf numFmtId="0" fontId="8"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10" xfId="0" applyFont="1" applyFill="1" applyBorder="1" applyAlignment="1">
      <alignment horizontal="center" vertical="center"/>
    </xf>
    <xf numFmtId="14" fontId="5" fillId="0" borderId="10" xfId="0" applyNumberFormat="1" applyFont="1" applyFill="1" applyBorder="1" applyAlignment="1">
      <alignment horizontal="center" vertical="center"/>
    </xf>
    <xf numFmtId="14" fontId="5" fillId="0" borderId="6" xfId="0" applyNumberFormat="1" applyFont="1" applyFill="1" applyBorder="1" applyAlignment="1">
      <alignment horizontal="center" vertical="center"/>
    </xf>
    <xf numFmtId="0" fontId="8" fillId="0" borderId="6" xfId="0" applyFont="1" applyFill="1" applyBorder="1" applyAlignment="1">
      <alignment horizontal="center" vertical="center"/>
    </xf>
    <xf numFmtId="3" fontId="5" fillId="35" borderId="0" xfId="0" applyNumberFormat="1" applyFont="1" applyFill="1" applyBorder="1"/>
    <xf numFmtId="3" fontId="8" fillId="35" borderId="0" xfId="0" applyNumberFormat="1" applyFont="1" applyFill="1" applyBorder="1"/>
    <xf numFmtId="0" fontId="16" fillId="35" borderId="0" xfId="0" applyFont="1" applyFill="1" applyBorder="1" applyAlignment="1">
      <alignment horizontal="center"/>
    </xf>
    <xf numFmtId="173" fontId="5" fillId="35" borderId="23" xfId="0" applyNumberFormat="1" applyFont="1" applyFill="1" applyBorder="1"/>
    <xf numFmtId="0" fontId="5" fillId="35" borderId="0" xfId="0" applyFont="1" applyFill="1" applyBorder="1"/>
    <xf numFmtId="172" fontId="8" fillId="35" borderId="6" xfId="1" applyNumberFormat="1" applyFont="1" applyFill="1" applyBorder="1" applyAlignment="1">
      <alignment horizontal="center"/>
    </xf>
    <xf numFmtId="0" fontId="5" fillId="35" borderId="0" xfId="0" applyFont="1" applyFill="1" applyBorder="1" applyAlignment="1">
      <alignment horizontal="left" wrapText="1"/>
    </xf>
    <xf numFmtId="0" fontId="5" fillId="35" borderId="24" xfId="0" applyFont="1" applyFill="1" applyBorder="1" applyAlignment="1">
      <alignment horizontal="left" wrapText="1"/>
    </xf>
    <xf numFmtId="165" fontId="8" fillId="35" borderId="1" xfId="1" applyFont="1" applyFill="1" applyBorder="1"/>
    <xf numFmtId="173" fontId="5" fillId="35" borderId="27" xfId="0" applyNumberFormat="1" applyFont="1" applyFill="1" applyBorder="1"/>
    <xf numFmtId="0" fontId="5" fillId="35" borderId="25" xfId="0" applyFont="1" applyFill="1" applyBorder="1"/>
    <xf numFmtId="3" fontId="5" fillId="35" borderId="25" xfId="0" applyNumberFormat="1" applyFont="1" applyFill="1" applyBorder="1"/>
    <xf numFmtId="0" fontId="5" fillId="35" borderId="26" xfId="0" applyFont="1" applyFill="1" applyBorder="1"/>
    <xf numFmtId="3" fontId="8" fillId="35" borderId="25" xfId="0" applyNumberFormat="1" applyFont="1" applyFill="1" applyBorder="1"/>
    <xf numFmtId="170" fontId="8" fillId="35" borderId="6" xfId="0" applyNumberFormat="1" applyFont="1" applyFill="1" applyBorder="1" applyAlignment="1">
      <alignment horizontal="center" vertical="center" wrapText="1"/>
    </xf>
    <xf numFmtId="164" fontId="8" fillId="35" borderId="6" xfId="0" applyNumberFormat="1" applyFont="1" applyFill="1" applyBorder="1" applyAlignment="1">
      <alignment vertical="center" wrapText="1"/>
    </xf>
    <xf numFmtId="173" fontId="5" fillId="35" borderId="8" xfId="0" applyNumberFormat="1" applyFont="1" applyFill="1" applyBorder="1" applyAlignment="1">
      <alignment horizontal="center" vertical="center" wrapText="1"/>
    </xf>
    <xf numFmtId="0" fontId="5" fillId="35" borderId="8" xfId="0" applyFont="1" applyFill="1" applyBorder="1" applyAlignment="1">
      <alignment horizontal="center" vertical="center" wrapText="1"/>
    </xf>
    <xf numFmtId="3" fontId="5" fillId="35" borderId="8" xfId="0" applyNumberFormat="1" applyFont="1" applyFill="1" applyBorder="1" applyAlignment="1">
      <alignment horizontal="center" vertical="center" wrapText="1"/>
    </xf>
    <xf numFmtId="0" fontId="5" fillId="35" borderId="8" xfId="0" applyFont="1" applyFill="1" applyBorder="1" applyAlignment="1"/>
    <xf numFmtId="3" fontId="5" fillId="35" borderId="8" xfId="0" applyNumberFormat="1" applyFont="1" applyFill="1" applyBorder="1" applyAlignment="1"/>
    <xf numFmtId="0" fontId="5" fillId="35" borderId="21" xfId="0" applyFont="1" applyFill="1" applyBorder="1" applyAlignment="1"/>
    <xf numFmtId="3" fontId="10" fillId="35" borderId="30" xfId="0" applyNumberFormat="1" applyFont="1" applyFill="1" applyBorder="1" applyAlignment="1">
      <alignment horizontal="center" vertical="center" wrapText="1"/>
    </xf>
    <xf numFmtId="3" fontId="10" fillId="35" borderId="29" xfId="0" applyNumberFormat="1" applyFont="1" applyFill="1" applyBorder="1" applyAlignment="1">
      <alignment horizontal="center" vertical="center" wrapText="1"/>
    </xf>
    <xf numFmtId="3" fontId="10" fillId="35" borderId="37" xfId="0" applyNumberFormat="1" applyFont="1" applyFill="1" applyBorder="1" applyAlignment="1">
      <alignment horizontal="center" vertical="center" wrapText="1"/>
    </xf>
    <xf numFmtId="3" fontId="10" fillId="35" borderId="40" xfId="0" applyNumberFormat="1" applyFont="1" applyFill="1" applyBorder="1" applyAlignment="1">
      <alignment horizontal="center" vertical="center" wrapText="1"/>
    </xf>
    <xf numFmtId="0" fontId="8" fillId="35" borderId="1" xfId="0" applyFont="1" applyFill="1" applyBorder="1" applyAlignment="1">
      <alignment horizontal="center" vertical="center" wrapText="1"/>
    </xf>
    <xf numFmtId="167" fontId="8" fillId="35" borderId="11" xfId="0" applyNumberFormat="1" applyFont="1" applyFill="1" applyBorder="1" applyAlignment="1">
      <alignment horizontal="center" vertical="center" wrapText="1"/>
    </xf>
    <xf numFmtId="0" fontId="8" fillId="35" borderId="11" xfId="0" applyFont="1" applyFill="1" applyBorder="1" applyAlignment="1">
      <alignment horizontal="center" vertical="center" wrapText="1"/>
    </xf>
    <xf numFmtId="173" fontId="8" fillId="35" borderId="1" xfId="0" applyNumberFormat="1" applyFont="1" applyFill="1" applyBorder="1" applyAlignment="1">
      <alignment horizontal="center" vertical="center" wrapText="1"/>
    </xf>
    <xf numFmtId="0" fontId="10" fillId="35" borderId="1" xfId="0" applyFont="1" applyFill="1" applyBorder="1" applyAlignment="1">
      <alignment horizontal="center" vertical="center" wrapText="1"/>
    </xf>
    <xf numFmtId="3" fontId="10" fillId="35" borderId="1" xfId="0" applyNumberFormat="1" applyFont="1" applyFill="1" applyBorder="1" applyAlignment="1">
      <alignment horizontal="center" vertical="center" wrapText="1"/>
    </xf>
    <xf numFmtId="3" fontId="10" fillId="35" borderId="36" xfId="0" applyNumberFormat="1" applyFont="1" applyFill="1" applyBorder="1" applyAlignment="1">
      <alignment horizontal="center" vertical="center" wrapText="1"/>
    </xf>
    <xf numFmtId="3" fontId="10" fillId="35" borderId="9" xfId="0" applyNumberFormat="1" applyFont="1" applyFill="1" applyBorder="1" applyAlignment="1">
      <alignment horizontal="center" vertical="center" wrapText="1"/>
    </xf>
    <xf numFmtId="3" fontId="10" fillId="35" borderId="6" xfId="0" applyNumberFormat="1" applyFont="1" applyFill="1" applyBorder="1" applyAlignment="1">
      <alignment horizontal="center" vertical="center" wrapText="1"/>
    </xf>
    <xf numFmtId="3" fontId="10" fillId="35" borderId="10" xfId="0" applyNumberFormat="1" applyFont="1" applyFill="1" applyBorder="1" applyAlignment="1">
      <alignment horizontal="center" vertical="center" wrapText="1"/>
    </xf>
    <xf numFmtId="3" fontId="10" fillId="35" borderId="19" xfId="0" applyNumberFormat="1" applyFont="1" applyFill="1" applyBorder="1" applyAlignment="1">
      <alignment horizontal="center" vertical="center" wrapText="1"/>
    </xf>
    <xf numFmtId="3" fontId="5" fillId="35" borderId="32" xfId="0" applyNumberFormat="1" applyFont="1" applyFill="1" applyBorder="1"/>
    <xf numFmtId="3" fontId="8" fillId="35" borderId="32" xfId="0" applyNumberFormat="1" applyFont="1" applyFill="1" applyBorder="1"/>
    <xf numFmtId="3" fontId="5" fillId="35" borderId="57" xfId="0" applyNumberFormat="1" applyFont="1" applyFill="1" applyBorder="1"/>
    <xf numFmtId="3" fontId="5" fillId="35" borderId="59" xfId="0" applyNumberFormat="1" applyFont="1" applyFill="1" applyBorder="1"/>
    <xf numFmtId="0" fontId="8" fillId="35" borderId="58" xfId="0" applyFont="1" applyFill="1" applyBorder="1" applyAlignment="1">
      <alignment horizontal="left" vertical="center"/>
    </xf>
    <xf numFmtId="0" fontId="8" fillId="35" borderId="58" xfId="0" applyFont="1" applyFill="1" applyBorder="1" applyAlignment="1">
      <alignment vertical="center"/>
    </xf>
    <xf numFmtId="0" fontId="7" fillId="35" borderId="58" xfId="0" applyFont="1" applyFill="1" applyBorder="1" applyAlignment="1">
      <alignment vertical="center"/>
    </xf>
    <xf numFmtId="0" fontId="8" fillId="35" borderId="60" xfId="0" applyFont="1" applyFill="1" applyBorder="1" applyAlignment="1">
      <alignment vertical="center"/>
    </xf>
    <xf numFmtId="3" fontId="5" fillId="35" borderId="61" xfId="0" applyNumberFormat="1" applyFont="1" applyFill="1" applyBorder="1"/>
    <xf numFmtId="0" fontId="8" fillId="35" borderId="62" xfId="0" applyFont="1" applyFill="1" applyBorder="1" applyAlignment="1">
      <alignment horizontal="center" vertical="center" wrapText="1"/>
    </xf>
    <xf numFmtId="3" fontId="19" fillId="35" borderId="63" xfId="0" applyNumberFormat="1" applyFont="1" applyFill="1" applyBorder="1" applyAlignment="1">
      <alignment horizontal="center" vertical="center" wrapText="1"/>
    </xf>
    <xf numFmtId="0" fontId="8" fillId="35" borderId="64" xfId="0" applyFont="1" applyFill="1" applyBorder="1" applyAlignment="1">
      <alignment horizontal="center" vertical="center" wrapText="1"/>
    </xf>
    <xf numFmtId="3" fontId="19" fillId="35" borderId="65" xfId="0" applyNumberFormat="1" applyFont="1" applyFill="1" applyBorder="1" applyAlignment="1">
      <alignment horizontal="center" vertical="center" wrapText="1"/>
    </xf>
    <xf numFmtId="3" fontId="19" fillId="0" borderId="65" xfId="0" applyNumberFormat="1" applyFont="1" applyFill="1" applyBorder="1" applyAlignment="1">
      <alignment horizontal="center" vertical="center" wrapText="1"/>
    </xf>
    <xf numFmtId="0" fontId="8" fillId="0" borderId="60" xfId="0" applyFont="1" applyFill="1" applyBorder="1" applyAlignment="1">
      <alignment horizontal="center" vertical="center" wrapText="1"/>
    </xf>
    <xf numFmtId="164" fontId="20" fillId="0" borderId="71" xfId="0" applyNumberFormat="1" applyFont="1" applyFill="1" applyBorder="1" applyAlignment="1">
      <alignment horizontal="center" vertical="center" wrapText="1"/>
    </xf>
    <xf numFmtId="0" fontId="5" fillId="0" borderId="60" xfId="0" applyFont="1" applyFill="1" applyBorder="1" applyAlignment="1">
      <alignment horizontal="center" vertical="center" wrapText="1"/>
    </xf>
    <xf numFmtId="3" fontId="8" fillId="0" borderId="64" xfId="0" applyNumberFormat="1" applyFont="1" applyFill="1" applyBorder="1" applyAlignment="1">
      <alignment horizontal="center" vertical="center" wrapText="1"/>
    </xf>
    <xf numFmtId="3" fontId="10" fillId="0" borderId="66" xfId="0" applyNumberFormat="1" applyFont="1" applyFill="1" applyBorder="1" applyAlignment="1">
      <alignment horizontal="center" vertical="center" wrapText="1"/>
    </xf>
    <xf numFmtId="3" fontId="8" fillId="0" borderId="6" xfId="0" applyNumberFormat="1" applyFont="1" applyFill="1" applyBorder="1" applyAlignment="1">
      <alignment horizontal="left" vertical="center"/>
    </xf>
    <xf numFmtId="3" fontId="8" fillId="0" borderId="10" xfId="0" applyNumberFormat="1" applyFont="1" applyFill="1" applyBorder="1" applyAlignment="1">
      <alignment horizontal="center" vertical="center"/>
    </xf>
    <xf numFmtId="3" fontId="42" fillId="0" borderId="60" xfId="0" applyNumberFormat="1" applyFont="1" applyFill="1" applyBorder="1" applyAlignment="1">
      <alignment horizontal="center" vertical="center" wrapText="1"/>
    </xf>
    <xf numFmtId="3" fontId="43" fillId="0" borderId="9" xfId="0" applyNumberFormat="1" applyFont="1" applyFill="1" applyBorder="1" applyAlignment="1">
      <alignment horizontal="center" vertical="center" wrapText="1"/>
    </xf>
    <xf numFmtId="3" fontId="43" fillId="0" borderId="60" xfId="0" applyNumberFormat="1" applyFont="1" applyFill="1" applyBorder="1" applyAlignment="1">
      <alignment horizontal="center" vertical="center" wrapText="1"/>
    </xf>
    <xf numFmtId="3" fontId="5" fillId="0" borderId="6"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0" fontId="8" fillId="0" borderId="60" xfId="0" applyFont="1" applyFill="1" applyBorder="1" applyAlignment="1">
      <alignment wrapText="1"/>
    </xf>
    <xf numFmtId="170" fontId="8" fillId="0" borderId="6" xfId="1" applyNumberFormat="1" applyFont="1" applyFill="1" applyBorder="1" applyAlignment="1">
      <alignment horizontal="center" wrapText="1"/>
    </xf>
    <xf numFmtId="164" fontId="8" fillId="0" borderId="6" xfId="1" applyNumberFormat="1" applyFont="1" applyFill="1" applyBorder="1" applyAlignment="1">
      <alignment horizontal="center" wrapText="1"/>
    </xf>
    <xf numFmtId="173" fontId="8" fillId="0" borderId="6" xfId="1" applyNumberFormat="1" applyFont="1" applyFill="1" applyBorder="1" applyAlignment="1">
      <alignment horizontal="center" wrapText="1"/>
    </xf>
    <xf numFmtId="3" fontId="10" fillId="0" borderId="6" xfId="1" applyNumberFormat="1" applyFont="1" applyFill="1" applyBorder="1" applyAlignment="1">
      <alignment horizontal="center" wrapText="1"/>
    </xf>
    <xf numFmtId="164" fontId="7" fillId="0" borderId="6" xfId="1" applyNumberFormat="1" applyFont="1" applyFill="1" applyBorder="1" applyAlignment="1">
      <alignment horizontal="center" wrapText="1"/>
    </xf>
    <xf numFmtId="170" fontId="10" fillId="0" borderId="10" xfId="1" applyNumberFormat="1" applyFont="1" applyFill="1" applyBorder="1" applyAlignment="1">
      <alignment horizontal="center" wrapText="1"/>
    </xf>
    <xf numFmtId="3" fontId="10" fillId="0" borderId="9" xfId="1" applyNumberFormat="1" applyFont="1" applyFill="1" applyBorder="1" applyAlignment="1">
      <alignment horizontal="center" wrapText="1"/>
    </xf>
    <xf numFmtId="3" fontId="10" fillId="0" borderId="67" xfId="1" applyNumberFormat="1" applyFont="1" applyFill="1" applyBorder="1" applyAlignment="1">
      <alignment horizontal="center" wrapText="1"/>
    </xf>
    <xf numFmtId="0" fontId="8" fillId="0" borderId="58" xfId="0" applyFont="1" applyFill="1" applyBorder="1" applyAlignment="1">
      <alignment wrapText="1"/>
    </xf>
    <xf numFmtId="3" fontId="7" fillId="0" borderId="0" xfId="1" applyNumberFormat="1" applyFont="1" applyFill="1" applyBorder="1" applyAlignment="1">
      <alignment horizontal="center" wrapText="1"/>
    </xf>
    <xf numFmtId="164" fontId="7" fillId="0" borderId="0" xfId="1" applyNumberFormat="1" applyFont="1" applyFill="1" applyBorder="1" applyAlignment="1">
      <alignment horizontal="center" wrapText="1"/>
    </xf>
    <xf numFmtId="3" fontId="5" fillId="0" borderId="0" xfId="0" applyNumberFormat="1" applyFont="1" applyFill="1" applyBorder="1"/>
    <xf numFmtId="3" fontId="8" fillId="0" borderId="0" xfId="0" applyNumberFormat="1" applyFont="1" applyFill="1" applyBorder="1"/>
    <xf numFmtId="3" fontId="5" fillId="0" borderId="59" xfId="0" applyNumberFormat="1" applyFont="1" applyFill="1" applyBorder="1"/>
    <xf numFmtId="164" fontId="44" fillId="0" borderId="0" xfId="1" applyNumberFormat="1" applyFont="1" applyFill="1" applyBorder="1" applyAlignment="1">
      <alignment horizontal="center" wrapText="1"/>
    </xf>
    <xf numFmtId="0" fontId="20" fillId="0" borderId="60" xfId="0" applyFont="1" applyFill="1" applyBorder="1" applyAlignment="1">
      <alignment vertical="center" wrapText="1"/>
    </xf>
    <xf numFmtId="164" fontId="20" fillId="0" borderId="6" xfId="1" applyNumberFormat="1" applyFont="1" applyFill="1" applyBorder="1" applyAlignment="1">
      <alignment vertical="center" wrapText="1"/>
    </xf>
    <xf numFmtId="164" fontId="20" fillId="0" borderId="0" xfId="1" applyNumberFormat="1" applyFont="1" applyFill="1" applyBorder="1" applyAlignment="1">
      <alignment horizontal="center" vertical="center" wrapText="1"/>
    </xf>
    <xf numFmtId="173" fontId="20" fillId="0" borderId="6" xfId="1" applyNumberFormat="1" applyFont="1" applyFill="1" applyBorder="1" applyAlignment="1">
      <alignment horizontal="center" vertical="center" wrapText="1"/>
    </xf>
    <xf numFmtId="3" fontId="15" fillId="0" borderId="9" xfId="0" applyNumberFormat="1" applyFont="1" applyFill="1" applyBorder="1" applyAlignment="1">
      <alignment vertical="center"/>
    </xf>
    <xf numFmtId="3" fontId="15" fillId="0" borderId="6" xfId="0" applyNumberFormat="1" applyFont="1" applyFill="1" applyBorder="1" applyAlignment="1">
      <alignment vertical="center"/>
    </xf>
    <xf numFmtId="3" fontId="20" fillId="0" borderId="6" xfId="0" applyNumberFormat="1" applyFont="1" applyFill="1" applyBorder="1" applyAlignment="1">
      <alignment horizontal="center" vertical="center"/>
    </xf>
    <xf numFmtId="3" fontId="20" fillId="0" borderId="6" xfId="0" applyNumberFormat="1" applyFont="1" applyFill="1" applyBorder="1" applyAlignment="1">
      <alignment vertical="center"/>
    </xf>
    <xf numFmtId="3" fontId="20" fillId="0" borderId="10" xfId="0" applyNumberFormat="1" applyFont="1" applyFill="1" applyBorder="1" applyAlignment="1">
      <alignment vertical="center"/>
    </xf>
    <xf numFmtId="3" fontId="20" fillId="0" borderId="10" xfId="0" applyNumberFormat="1" applyFont="1" applyFill="1" applyBorder="1" applyAlignment="1">
      <alignment horizontal="center" vertical="center"/>
    </xf>
    <xf numFmtId="3" fontId="20" fillId="0" borderId="65" xfId="0" applyNumberFormat="1" applyFont="1" applyFill="1" applyBorder="1" applyAlignment="1">
      <alignment horizontal="center" vertical="center"/>
    </xf>
    <xf numFmtId="0" fontId="15" fillId="0" borderId="0" xfId="0" applyFont="1" applyFill="1" applyAlignment="1">
      <alignmen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5" fillId="0" borderId="0" xfId="0" applyFont="1" applyFill="1" applyAlignment="1">
      <alignment horizontal="center" vertical="center" wrapText="1"/>
    </xf>
    <xf numFmtId="3" fontId="15" fillId="0" borderId="0" xfId="0" applyNumberFormat="1" applyFont="1" applyFill="1" applyAlignment="1">
      <alignment horizontal="center" vertical="center"/>
    </xf>
    <xf numFmtId="0" fontId="20" fillId="0" borderId="0" xfId="0" applyFont="1" applyFill="1" applyAlignment="1">
      <alignment horizontal="center" vertical="center"/>
    </xf>
    <xf numFmtId="0" fontId="20" fillId="0" borderId="68" xfId="0" applyFont="1" applyFill="1" applyBorder="1" applyAlignment="1">
      <alignment horizontal="center" vertical="center" wrapText="1"/>
    </xf>
    <xf numFmtId="170" fontId="20" fillId="0" borderId="69" xfId="1" applyNumberFormat="1" applyFont="1" applyFill="1" applyBorder="1" applyAlignment="1">
      <alignment horizontal="center" vertical="center" wrapText="1"/>
    </xf>
    <xf numFmtId="164" fontId="20" fillId="0" borderId="70" xfId="1" applyNumberFormat="1" applyFont="1" applyFill="1" applyBorder="1" applyAlignment="1">
      <alignment horizontal="center" wrapText="1"/>
    </xf>
    <xf numFmtId="0" fontId="20" fillId="0" borderId="69" xfId="0" applyFont="1" applyFill="1" applyBorder="1" applyAlignment="1">
      <alignment horizontal="center" vertical="center" wrapText="1"/>
    </xf>
    <xf numFmtId="173" fontId="20" fillId="0" borderId="70" xfId="1" applyNumberFormat="1" applyFont="1" applyFill="1" applyBorder="1" applyAlignment="1">
      <alignment horizontal="center" wrapText="1"/>
    </xf>
    <xf numFmtId="3" fontId="20" fillId="0" borderId="69" xfId="0" applyNumberFormat="1" applyFont="1" applyFill="1" applyBorder="1" applyAlignment="1">
      <alignment horizontal="center" vertical="center" wrapText="1"/>
    </xf>
    <xf numFmtId="0" fontId="15" fillId="0" borderId="70" xfId="0" applyFont="1" applyFill="1" applyBorder="1"/>
    <xf numFmtId="3" fontId="20" fillId="0" borderId="72" xfId="0" applyNumberFormat="1" applyFont="1" applyFill="1" applyBorder="1" applyAlignment="1">
      <alignment horizontal="center" vertical="center" wrapText="1"/>
    </xf>
    <xf numFmtId="3" fontId="20" fillId="0" borderId="73" xfId="0" applyNumberFormat="1" applyFont="1" applyFill="1" applyBorder="1" applyAlignment="1">
      <alignment horizontal="center" vertical="center" wrapText="1"/>
    </xf>
    <xf numFmtId="3" fontId="15" fillId="0" borderId="74" xfId="0" applyNumberFormat="1" applyFont="1" applyFill="1" applyBorder="1" applyAlignment="1">
      <alignment horizontal="center" vertical="center" wrapText="1"/>
    </xf>
    <xf numFmtId="0" fontId="15" fillId="0" borderId="0" xfId="0" applyFont="1" applyFill="1"/>
    <xf numFmtId="0" fontId="8" fillId="0" borderId="0" xfId="0" applyFont="1" applyFill="1" applyBorder="1" applyAlignment="1">
      <alignment wrapText="1"/>
    </xf>
    <xf numFmtId="173" fontId="5" fillId="0" borderId="0" xfId="0" applyNumberFormat="1" applyFont="1" applyFill="1"/>
    <xf numFmtId="0" fontId="7" fillId="0" borderId="0" xfId="0" applyFont="1" applyFill="1"/>
    <xf numFmtId="166" fontId="6" fillId="0" borderId="0" xfId="0" applyNumberFormat="1" applyFont="1" applyFill="1" applyBorder="1" applyAlignment="1">
      <alignment wrapText="1"/>
    </xf>
    <xf numFmtId="0" fontId="6" fillId="0" borderId="0" xfId="0" applyFont="1" applyFill="1" applyAlignment="1">
      <alignment wrapText="1"/>
    </xf>
    <xf numFmtId="0" fontId="6" fillId="0" borderId="0" xfId="0" applyFont="1" applyFill="1" applyAlignment="1">
      <alignment horizontal="center"/>
    </xf>
    <xf numFmtId="3" fontId="6" fillId="0" borderId="0" xfId="0" applyNumberFormat="1" applyFont="1" applyFill="1"/>
    <xf numFmtId="164" fontId="6" fillId="0" borderId="0" xfId="0" applyNumberFormat="1" applyFont="1" applyFill="1"/>
    <xf numFmtId="3" fontId="6" fillId="0" borderId="0" xfId="3" applyNumberFormat="1" applyFont="1" applyFill="1" applyBorder="1" applyAlignment="1">
      <alignment horizontal="center"/>
    </xf>
    <xf numFmtId="0" fontId="21" fillId="0" borderId="0" xfId="0" applyFont="1" applyFill="1" applyAlignment="1">
      <alignment horizontal="right"/>
    </xf>
    <xf numFmtId="0" fontId="20" fillId="0" borderId="41" xfId="0" applyFont="1" applyFill="1" applyBorder="1" applyAlignment="1">
      <alignment horizontal="center"/>
    </xf>
    <xf numFmtId="0" fontId="20" fillId="0" borderId="0" xfId="0" applyFont="1" applyFill="1" applyAlignment="1">
      <alignment horizontal="center"/>
    </xf>
    <xf numFmtId="0" fontId="7" fillId="0" borderId="0" xfId="0" applyFont="1" applyFill="1" applyAlignment="1">
      <alignment horizontal="right" wrapText="1"/>
    </xf>
    <xf numFmtId="0" fontId="7" fillId="0" borderId="0" xfId="0" applyFont="1" applyFill="1" applyAlignment="1">
      <alignment horizontal="center" wrapText="1"/>
    </xf>
    <xf numFmtId="0" fontId="7" fillId="0" borderId="0" xfId="0" applyFont="1" applyFill="1" applyAlignment="1">
      <alignment horizontal="right"/>
    </xf>
    <xf numFmtId="0" fontId="7" fillId="0" borderId="0" xfId="0" applyFont="1" applyFill="1" applyAlignment="1">
      <alignment horizontal="left"/>
    </xf>
    <xf numFmtId="166" fontId="6" fillId="0" borderId="0" xfId="1" applyNumberFormat="1" applyFont="1" applyFill="1"/>
    <xf numFmtId="0" fontId="6" fillId="0" borderId="0" xfId="0" applyFont="1" applyFill="1" applyAlignment="1">
      <alignment horizontal="left"/>
    </xf>
    <xf numFmtId="0" fontId="16" fillId="35" borderId="0" xfId="0" applyFont="1" applyFill="1" applyBorder="1" applyAlignment="1">
      <alignment horizontal="center" vertical="center"/>
    </xf>
    <xf numFmtId="170" fontId="8" fillId="35" borderId="7" xfId="0" applyNumberFormat="1" applyFont="1" applyFill="1" applyBorder="1" applyAlignment="1">
      <alignment horizontal="center" vertical="center" wrapText="1"/>
    </xf>
    <xf numFmtId="164" fontId="8" fillId="35" borderId="9" xfId="0" applyNumberFormat="1" applyFont="1" applyFill="1" applyBorder="1" applyAlignment="1">
      <alignment vertical="center" wrapText="1"/>
    </xf>
    <xf numFmtId="3" fontId="10" fillId="35" borderId="8" xfId="0" applyNumberFormat="1" applyFont="1" applyFill="1" applyBorder="1" applyAlignment="1">
      <alignment horizontal="center" vertical="center" wrapText="1"/>
    </xf>
    <xf numFmtId="3" fontId="10" fillId="35" borderId="7" xfId="0" applyNumberFormat="1" applyFont="1" applyFill="1" applyBorder="1" applyAlignment="1">
      <alignment horizontal="center" vertical="center" wrapText="1"/>
    </xf>
    <xf numFmtId="167" fontId="8" fillId="35" borderId="1" xfId="0" applyNumberFormat="1" applyFont="1" applyFill="1" applyBorder="1" applyAlignment="1">
      <alignment horizontal="center" vertical="center" wrapText="1"/>
    </xf>
    <xf numFmtId="173" fontId="8" fillId="35" borderId="6" xfId="0" applyNumberFormat="1" applyFont="1" applyFill="1" applyBorder="1" applyAlignment="1">
      <alignment horizontal="center" vertical="center" wrapText="1"/>
    </xf>
    <xf numFmtId="0" fontId="10" fillId="35" borderId="6" xfId="0" applyFont="1" applyFill="1" applyBorder="1" applyAlignment="1">
      <alignment horizontal="center" vertical="center" wrapText="1"/>
    </xf>
    <xf numFmtId="3" fontId="10" fillId="35" borderId="24" xfId="0" applyNumberFormat="1" applyFont="1" applyFill="1" applyBorder="1" applyAlignment="1">
      <alignment horizontal="center" vertical="center" wrapText="1"/>
    </xf>
    <xf numFmtId="3" fontId="10" fillId="35" borderId="11" xfId="0" applyNumberFormat="1" applyFont="1" applyFill="1" applyBorder="1" applyAlignment="1">
      <alignment horizontal="center" vertical="center" wrapText="1"/>
    </xf>
    <xf numFmtId="3" fontId="10" fillId="35" borderId="39" xfId="0" applyNumberFormat="1" applyFont="1" applyFill="1" applyBorder="1" applyAlignment="1">
      <alignment horizontal="center" vertical="center" wrapText="1"/>
    </xf>
    <xf numFmtId="172" fontId="10" fillId="35" borderId="37" xfId="0" applyNumberFormat="1" applyFont="1" applyFill="1" applyBorder="1" applyAlignment="1">
      <alignment horizontal="center" vertical="center" wrapText="1"/>
    </xf>
    <xf numFmtId="3" fontId="10" fillId="35" borderId="28" xfId="0" applyNumberFormat="1" applyFont="1" applyFill="1" applyBorder="1" applyAlignment="1">
      <alignment horizontal="center" vertical="center" wrapText="1"/>
    </xf>
    <xf numFmtId="14" fontId="10" fillId="35" borderId="1" xfId="0" applyNumberFormat="1" applyFont="1" applyFill="1" applyBorder="1" applyAlignment="1">
      <alignment horizontal="center" vertical="center" wrapText="1"/>
    </xf>
    <xf numFmtId="172" fontId="5" fillId="0" borderId="0" xfId="0" applyNumberFormat="1" applyFont="1"/>
    <xf numFmtId="14" fontId="5" fillId="0" borderId="0" xfId="0" applyNumberFormat="1" applyFont="1"/>
    <xf numFmtId="0" fontId="8" fillId="0" borderId="0" xfId="0" applyFont="1"/>
    <xf numFmtId="172" fontId="5" fillId="0" borderId="0" xfId="0" applyNumberFormat="1" applyFont="1" applyFill="1"/>
    <xf numFmtId="0" fontId="5" fillId="0" borderId="0" xfId="0" applyFont="1" applyFill="1" applyAlignment="1">
      <alignment wrapText="1"/>
    </xf>
    <xf numFmtId="14" fontId="5" fillId="0" borderId="0" xfId="0" applyNumberFormat="1" applyFont="1" applyFill="1"/>
    <xf numFmtId="0" fontId="8" fillId="0" borderId="0" xfId="0" applyFont="1" applyFill="1"/>
    <xf numFmtId="0" fontId="5" fillId="35" borderId="0" xfId="0" applyFont="1" applyFill="1" applyBorder="1" applyAlignment="1"/>
    <xf numFmtId="3" fontId="5" fillId="35" borderId="0" xfId="0" applyNumberFormat="1" applyFont="1" applyFill="1" applyBorder="1" applyAlignment="1"/>
    <xf numFmtId="173" fontId="5" fillId="35" borderId="0" xfId="0" applyNumberFormat="1" applyFont="1" applyFill="1" applyBorder="1"/>
    <xf numFmtId="173" fontId="5" fillId="35" borderId="0" xfId="0" applyNumberFormat="1" applyFont="1" applyFill="1" applyBorder="1" applyAlignment="1">
      <alignment horizontal="center" vertical="center" wrapText="1"/>
    </xf>
    <xf numFmtId="0" fontId="5" fillId="35" borderId="0" xfId="0" applyFont="1" applyFill="1" applyBorder="1" applyAlignment="1">
      <alignment horizontal="center" vertical="center" wrapText="1"/>
    </xf>
    <xf numFmtId="3" fontId="5" fillId="35" borderId="0" xfId="0" applyNumberFormat="1" applyFont="1" applyFill="1" applyBorder="1" applyAlignment="1">
      <alignment horizontal="center" vertical="center" wrapText="1"/>
    </xf>
    <xf numFmtId="0" fontId="5" fillId="35" borderId="22" xfId="0" applyFont="1" applyFill="1" applyBorder="1" applyAlignment="1"/>
    <xf numFmtId="0" fontId="5" fillId="0" borderId="1" xfId="0" applyFont="1" applyFill="1" applyBorder="1" applyAlignment="1">
      <alignment horizontal="center" vertical="center"/>
    </xf>
    <xf numFmtId="172" fontId="5" fillId="0" borderId="37"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43" xfId="0" applyFont="1" applyFill="1" applyBorder="1" applyAlignment="1">
      <alignment horizontal="center" vertical="center"/>
    </xf>
    <xf numFmtId="3" fontId="5" fillId="0" borderId="11" xfId="0" applyNumberFormat="1" applyFont="1" applyFill="1" applyBorder="1" applyAlignment="1">
      <alignment horizontal="center" vertical="center"/>
    </xf>
    <xf numFmtId="172" fontId="5" fillId="0" borderId="44"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wrapText="1"/>
    </xf>
    <xf numFmtId="3" fontId="5" fillId="0" borderId="43" xfId="0" applyNumberFormat="1" applyFont="1" applyFill="1" applyBorder="1" applyAlignment="1">
      <alignment horizontal="center" vertical="center"/>
    </xf>
    <xf numFmtId="14" fontId="5" fillId="0" borderId="43" xfId="0" applyNumberFormat="1" applyFont="1" applyFill="1" applyBorder="1" applyAlignment="1">
      <alignment horizontal="center" vertical="center"/>
    </xf>
    <xf numFmtId="3" fontId="8" fillId="0" borderId="11" xfId="0" applyNumberFormat="1" applyFont="1" applyFill="1" applyBorder="1" applyAlignment="1">
      <alignment horizontal="center" vertical="center"/>
    </xf>
    <xf numFmtId="0" fontId="5" fillId="35" borderId="32" xfId="0" applyFont="1" applyFill="1" applyBorder="1" applyAlignment="1"/>
    <xf numFmtId="3" fontId="5" fillId="35" borderId="32" xfId="0" applyNumberFormat="1" applyFont="1" applyFill="1" applyBorder="1" applyAlignment="1"/>
    <xf numFmtId="3" fontId="19" fillId="35" borderId="59" xfId="0" applyNumberFormat="1" applyFont="1" applyFill="1" applyBorder="1" applyAlignment="1">
      <alignment horizontal="center" vertical="center" wrapText="1"/>
    </xf>
    <xf numFmtId="3" fontId="19" fillId="0" borderId="63" xfId="0" applyNumberFormat="1" applyFont="1" applyFill="1" applyBorder="1" applyAlignment="1">
      <alignment horizontal="center" vertical="center" wrapText="1"/>
    </xf>
    <xf numFmtId="3" fontId="19" fillId="0" borderId="61" xfId="0" applyNumberFormat="1" applyFont="1" applyFill="1" applyBorder="1" applyAlignment="1">
      <alignment horizontal="center" vertical="center" wrapText="1"/>
    </xf>
    <xf numFmtId="14" fontId="5" fillId="0" borderId="0" xfId="0" applyNumberFormat="1" applyFont="1" applyFill="1" applyAlignment="1">
      <alignment horizontal="center" vertical="center" wrapText="1"/>
    </xf>
    <xf numFmtId="0" fontId="8" fillId="0" borderId="64"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64" xfId="0" applyFont="1" applyFill="1" applyBorder="1" applyAlignment="1">
      <alignment horizontal="center" vertical="center" wrapText="1"/>
    </xf>
    <xf numFmtId="3" fontId="8" fillId="0" borderId="60" xfId="2" applyNumberFormat="1" applyFont="1" applyFill="1" applyBorder="1" applyAlignment="1">
      <alignment horizontal="center" vertical="center" wrapText="1"/>
    </xf>
    <xf numFmtId="3" fontId="5" fillId="0" borderId="9" xfId="2" applyNumberFormat="1" applyFont="1" applyFill="1" applyBorder="1" applyAlignment="1">
      <alignment horizontal="center" vertical="center" wrapText="1"/>
    </xf>
    <xf numFmtId="3" fontId="5" fillId="0" borderId="60" xfId="2" applyNumberFormat="1" applyFont="1" applyFill="1" applyBorder="1" applyAlignment="1">
      <alignment horizontal="center" vertical="center" wrapText="1"/>
    </xf>
    <xf numFmtId="14" fontId="8" fillId="0" borderId="6" xfId="0" applyNumberFormat="1" applyFont="1" applyFill="1" applyBorder="1" applyAlignment="1">
      <alignment horizontal="center" vertical="center"/>
    </xf>
    <xf numFmtId="3" fontId="8" fillId="0" borderId="20" xfId="0" applyNumberFormat="1" applyFont="1" applyFill="1" applyBorder="1" applyAlignment="1">
      <alignment horizontal="center" vertical="center" wrapText="1"/>
    </xf>
    <xf numFmtId="3" fontId="8" fillId="0" borderId="9" xfId="0" applyNumberFormat="1" applyFont="1" applyFill="1" applyBorder="1" applyAlignment="1">
      <alignment vertical="center" wrapText="1"/>
    </xf>
    <xf numFmtId="172" fontId="8" fillId="0" borderId="10" xfId="0" applyNumberFormat="1" applyFont="1" applyFill="1" applyBorder="1" applyAlignment="1">
      <alignment horizontal="center" vertical="center"/>
    </xf>
    <xf numFmtId="3" fontId="8" fillId="0" borderId="75" xfId="0" applyNumberFormat="1" applyFont="1" applyFill="1" applyBorder="1" applyAlignment="1">
      <alignment wrapText="1"/>
    </xf>
    <xf numFmtId="3" fontId="8" fillId="0" borderId="12" xfId="1" applyNumberFormat="1" applyFont="1" applyFill="1" applyBorder="1" applyAlignment="1">
      <alignment horizontal="center" wrapText="1"/>
    </xf>
    <xf numFmtId="3" fontId="8" fillId="0" borderId="13" xfId="1" applyNumberFormat="1" applyFont="1" applyFill="1" applyBorder="1" applyAlignment="1">
      <alignment horizontal="center" wrapText="1"/>
    </xf>
    <xf numFmtId="3" fontId="8" fillId="0" borderId="14" xfId="1" applyNumberFormat="1" applyFont="1" applyFill="1" applyBorder="1" applyAlignment="1">
      <alignment horizontal="center" wrapText="1"/>
    </xf>
    <xf numFmtId="3" fontId="10" fillId="0" borderId="12" xfId="1" applyNumberFormat="1" applyFont="1" applyFill="1" applyBorder="1" applyAlignment="1">
      <alignment horizontal="center" wrapText="1"/>
    </xf>
    <xf numFmtId="3" fontId="7" fillId="0" borderId="15" xfId="1" applyNumberFormat="1" applyFont="1" applyFill="1" applyBorder="1" applyAlignment="1">
      <alignment horizontal="center" wrapText="1"/>
    </xf>
    <xf numFmtId="3" fontId="10" fillId="0" borderId="16" xfId="1" applyNumberFormat="1" applyFont="1" applyFill="1" applyBorder="1" applyAlignment="1">
      <alignment horizontal="center" wrapText="1"/>
    </xf>
    <xf numFmtId="3" fontId="10" fillId="0" borderId="13" xfId="1" applyNumberFormat="1" applyFont="1" applyFill="1" applyBorder="1" applyAlignment="1">
      <alignment horizontal="center" wrapText="1"/>
    </xf>
    <xf numFmtId="3" fontId="10" fillId="0" borderId="76" xfId="1" applyNumberFormat="1" applyFont="1" applyFill="1" applyBorder="1" applyAlignment="1">
      <alignment horizontal="center" wrapText="1"/>
    </xf>
    <xf numFmtId="173" fontId="44" fillId="0" borderId="0" xfId="1" applyNumberFormat="1" applyFont="1" applyFill="1" applyBorder="1" applyAlignment="1">
      <alignment horizontal="center" wrapText="1"/>
    </xf>
    <xf numFmtId="3" fontId="15" fillId="0" borderId="65" xfId="0" applyNumberFormat="1" applyFont="1" applyFill="1" applyBorder="1" applyAlignment="1">
      <alignment horizontal="center" vertical="center"/>
    </xf>
    <xf numFmtId="172" fontId="15" fillId="0" borderId="0" xfId="0" applyNumberFormat="1" applyFont="1" applyFill="1" applyAlignment="1">
      <alignment vertical="center"/>
    </xf>
    <xf numFmtId="0" fontId="15" fillId="0" borderId="0" xfId="0" applyFont="1" applyFill="1" applyAlignment="1">
      <alignment vertical="center" wrapText="1"/>
    </xf>
    <xf numFmtId="14" fontId="15" fillId="0" borderId="0" xfId="0" applyNumberFormat="1" applyFont="1" applyFill="1" applyAlignment="1">
      <alignment vertical="center"/>
    </xf>
    <xf numFmtId="3" fontId="15" fillId="0" borderId="0" xfId="0" applyNumberFormat="1" applyFont="1" applyFill="1" applyAlignment="1">
      <alignment vertical="center"/>
    </xf>
    <xf numFmtId="0" fontId="20" fillId="0" borderId="0" xfId="0" applyFont="1" applyFill="1" applyAlignment="1">
      <alignment vertical="center"/>
    </xf>
    <xf numFmtId="166" fontId="20" fillId="0" borderId="69" xfId="1" applyNumberFormat="1" applyFont="1" applyFill="1" applyBorder="1" applyAlignment="1">
      <alignment horizontal="center" vertical="center" wrapText="1"/>
    </xf>
    <xf numFmtId="172" fontId="15" fillId="0" borderId="0" xfId="0" applyNumberFormat="1" applyFont="1" applyFill="1"/>
    <xf numFmtId="0" fontId="15" fillId="0" borderId="0" xfId="0" applyFont="1" applyFill="1" applyAlignment="1">
      <alignment wrapText="1"/>
    </xf>
    <xf numFmtId="14" fontId="15" fillId="0" borderId="0" xfId="0" applyNumberFormat="1" applyFont="1" applyFill="1"/>
    <xf numFmtId="3" fontId="15" fillId="0" borderId="0" xfId="0" applyNumberFormat="1" applyFont="1" applyFill="1"/>
    <xf numFmtId="0" fontId="20" fillId="0" borderId="0" xfId="0" applyFont="1" applyFill="1"/>
    <xf numFmtId="164" fontId="5" fillId="0" borderId="0" xfId="0" applyNumberFormat="1" applyFont="1" applyFill="1"/>
    <xf numFmtId="14" fontId="5" fillId="0" borderId="1"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xf>
    <xf numFmtId="175" fontId="5" fillId="0" borderId="6" xfId="0" applyNumberFormat="1" applyFont="1" applyFill="1" applyBorder="1" applyAlignment="1">
      <alignment horizontal="center" vertical="center"/>
    </xf>
    <xf numFmtId="173" fontId="5" fillId="35" borderId="0" xfId="0" applyNumberFormat="1" applyFont="1" applyFill="1" applyBorder="1" applyAlignment="1">
      <alignment horizontal="center"/>
    </xf>
    <xf numFmtId="172" fontId="10" fillId="35" borderId="10" xfId="0" applyNumberFormat="1" applyFont="1" applyFill="1" applyBorder="1" applyAlignment="1">
      <alignment horizontal="center" vertical="center" wrapText="1"/>
    </xf>
    <xf numFmtId="0" fontId="5" fillId="35" borderId="58" xfId="0" applyFont="1" applyFill="1" applyBorder="1" applyAlignment="1">
      <alignment horizontal="left" vertical="center"/>
    </xf>
    <xf numFmtId="0" fontId="5" fillId="35" borderId="58" xfId="0" applyFont="1" applyFill="1" applyBorder="1" applyAlignment="1">
      <alignment vertical="center"/>
    </xf>
    <xf numFmtId="14" fontId="5" fillId="0" borderId="6" xfId="0" applyNumberFormat="1" applyFont="1" applyFill="1" applyBorder="1" applyAlignment="1">
      <alignment vertical="center" wrapText="1"/>
    </xf>
    <xf numFmtId="14" fontId="5" fillId="0" borderId="0" xfId="0" applyNumberFormat="1" applyFont="1" applyFill="1" applyAlignment="1">
      <alignment vertical="center" wrapText="1"/>
    </xf>
    <xf numFmtId="15" fontId="5" fillId="0" borderId="10" xfId="0" applyNumberFormat="1" applyFont="1" applyFill="1" applyBorder="1" applyAlignment="1">
      <alignment vertical="center" wrapText="1"/>
    </xf>
    <xf numFmtId="3" fontId="8" fillId="0" borderId="64" xfId="2" applyNumberFormat="1" applyFont="1" applyFill="1" applyBorder="1" applyAlignment="1">
      <alignment horizontal="center" vertical="center" wrapText="1"/>
    </xf>
    <xf numFmtId="3" fontId="5" fillId="0" borderId="28" xfId="2" applyNumberFormat="1" applyFont="1" applyFill="1" applyBorder="1" applyAlignment="1">
      <alignment horizontal="center" vertical="center" wrapText="1"/>
    </xf>
    <xf numFmtId="3" fontId="5" fillId="0" borderId="28" xfId="2" applyNumberFormat="1" applyFont="1" applyFill="1" applyBorder="1" applyAlignment="1">
      <alignment horizontal="justify" vertical="center" wrapText="1"/>
    </xf>
    <xf numFmtId="3" fontId="5" fillId="0" borderId="30" xfId="2" applyNumberFormat="1" applyFont="1" applyFill="1" applyBorder="1" applyAlignment="1">
      <alignment horizontal="justify" vertical="center" wrapText="1"/>
    </xf>
    <xf numFmtId="15" fontId="5" fillId="0" borderId="37" xfId="0" applyNumberFormat="1" applyFont="1" applyFill="1" applyBorder="1" applyAlignment="1">
      <alignment vertical="center" wrapText="1"/>
    </xf>
    <xf numFmtId="0" fontId="5" fillId="0" borderId="43" xfId="0" applyFont="1" applyFill="1" applyBorder="1" applyAlignment="1">
      <alignment vertical="center" wrapText="1"/>
    </xf>
    <xf numFmtId="15" fontId="5" fillId="0" borderId="44" xfId="0" applyNumberFormat="1" applyFont="1" applyFill="1" applyBorder="1" applyAlignment="1">
      <alignment vertical="center" wrapText="1"/>
    </xf>
    <xf numFmtId="3" fontId="19" fillId="0" borderId="66" xfId="0" applyNumberFormat="1" applyFont="1" applyFill="1" applyBorder="1" applyAlignment="1">
      <alignment horizontal="center" vertical="center" wrapText="1"/>
    </xf>
    <xf numFmtId="0" fontId="20" fillId="0" borderId="60" xfId="0" applyFont="1" applyFill="1" applyBorder="1" applyAlignment="1">
      <alignment horizontal="center" vertical="center" wrapText="1"/>
    </xf>
    <xf numFmtId="3" fontId="15" fillId="0" borderId="9" xfId="0" applyNumberFormat="1" applyFont="1" applyFill="1" applyBorder="1" applyAlignment="1">
      <alignment horizontal="center" vertical="center"/>
    </xf>
    <xf numFmtId="3" fontId="15" fillId="0" borderId="77"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173" fontId="5" fillId="0" borderId="0" xfId="0" applyNumberFormat="1" applyFont="1" applyFill="1" applyAlignment="1">
      <alignment horizontal="center"/>
    </xf>
    <xf numFmtId="173" fontId="5" fillId="35" borderId="32" xfId="0" applyNumberFormat="1" applyFont="1" applyFill="1" applyBorder="1" applyAlignment="1">
      <alignment horizontal="center"/>
    </xf>
    <xf numFmtId="173" fontId="5" fillId="35" borderId="32" xfId="0" applyNumberFormat="1" applyFont="1" applyFill="1" applyBorder="1" applyAlignment="1"/>
    <xf numFmtId="173" fontId="5" fillId="35" borderId="0" xfId="0" applyNumberFormat="1" applyFont="1" applyFill="1" applyBorder="1" applyAlignment="1"/>
    <xf numFmtId="0" fontId="8" fillId="35" borderId="6" xfId="0" applyFont="1" applyFill="1" applyBorder="1" applyAlignment="1">
      <alignment horizontal="center" vertical="center" wrapText="1"/>
    </xf>
    <xf numFmtId="0" fontId="5" fillId="0" borderId="6" xfId="0" applyFont="1" applyFill="1" applyBorder="1" applyAlignment="1">
      <alignment vertical="center" wrapText="1"/>
    </xf>
    <xf numFmtId="0" fontId="8" fillId="0" borderId="29" xfId="0" applyFont="1" applyFill="1" applyBorder="1" applyAlignment="1">
      <alignment horizontal="center" vertical="center" wrapText="1"/>
    </xf>
    <xf numFmtId="171" fontId="10" fillId="0" borderId="1" xfId="0" applyNumberFormat="1" applyFont="1" applyFill="1" applyBorder="1" applyAlignment="1">
      <alignment horizontal="center" vertical="center" wrapText="1"/>
    </xf>
    <xf numFmtId="171" fontId="10" fillId="0" borderId="10" xfId="0" applyNumberFormat="1"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170" fontId="8" fillId="0" borderId="12" xfId="1" applyNumberFormat="1" applyFont="1" applyFill="1" applyBorder="1" applyAlignment="1">
      <alignment horizontal="center" wrapText="1"/>
    </xf>
    <xf numFmtId="164" fontId="8" fillId="0" borderId="12" xfId="1" applyNumberFormat="1" applyFont="1" applyFill="1" applyBorder="1" applyAlignment="1">
      <alignment horizontal="center" wrapText="1"/>
    </xf>
    <xf numFmtId="164" fontId="8" fillId="0" borderId="13" xfId="1" applyNumberFormat="1" applyFont="1" applyFill="1" applyBorder="1" applyAlignment="1">
      <alignment horizontal="center" wrapText="1"/>
    </xf>
    <xf numFmtId="164" fontId="8" fillId="0" borderId="14" xfId="1" applyNumberFormat="1" applyFont="1" applyFill="1" applyBorder="1" applyAlignment="1">
      <alignment horizontal="center" wrapText="1"/>
    </xf>
    <xf numFmtId="164" fontId="5" fillId="0" borderId="13" xfId="1" applyNumberFormat="1" applyFont="1" applyFill="1" applyBorder="1" applyAlignment="1">
      <alignment horizontal="center" wrapText="1"/>
    </xf>
    <xf numFmtId="164" fontId="5" fillId="0" borderId="12" xfId="1" applyNumberFormat="1" applyFont="1" applyFill="1" applyBorder="1" applyAlignment="1">
      <alignment horizontal="center" wrapText="1"/>
    </xf>
    <xf numFmtId="171" fontId="7" fillId="0" borderId="15" xfId="1" applyNumberFormat="1" applyFont="1" applyFill="1" applyBorder="1" applyAlignment="1">
      <alignment horizontal="center" wrapText="1"/>
    </xf>
    <xf numFmtId="171" fontId="10" fillId="0" borderId="16" xfId="1" applyNumberFormat="1" applyFont="1" applyFill="1" applyBorder="1" applyAlignment="1">
      <alignment horizontal="center" wrapText="1"/>
    </xf>
    <xf numFmtId="3" fontId="10" fillId="0" borderId="38" xfId="1" applyNumberFormat="1" applyFont="1" applyFill="1" applyBorder="1" applyAlignment="1">
      <alignment horizontal="center" wrapText="1"/>
    </xf>
    <xf numFmtId="3" fontId="10" fillId="0" borderId="18" xfId="1" applyNumberFormat="1" applyFont="1" applyFill="1" applyBorder="1" applyAlignment="1">
      <alignment horizontal="center" wrapText="1"/>
    </xf>
    <xf numFmtId="164" fontId="5" fillId="0" borderId="0" xfId="1" applyNumberFormat="1" applyFont="1" applyFill="1" applyBorder="1" applyAlignment="1">
      <alignment horizontal="center" wrapText="1"/>
    </xf>
    <xf numFmtId="164" fontId="45" fillId="0" borderId="0" xfId="1" applyNumberFormat="1" applyFont="1" applyFill="1" applyBorder="1" applyAlignment="1">
      <alignment horizontal="center" vertical="center" wrapText="1"/>
    </xf>
    <xf numFmtId="3" fontId="7" fillId="0" borderId="0" xfId="1" applyNumberFormat="1" applyFont="1" applyFill="1" applyBorder="1" applyAlignment="1">
      <alignment horizontal="center" vertical="center" wrapText="1"/>
    </xf>
    <xf numFmtId="3" fontId="15" fillId="0" borderId="6" xfId="0" applyNumberFormat="1" applyFont="1" applyFill="1" applyBorder="1" applyAlignment="1">
      <alignment horizontal="center" vertical="center"/>
    </xf>
    <xf numFmtId="166" fontId="20" fillId="0" borderId="0" xfId="1" applyNumberFormat="1" applyFont="1" applyFill="1" applyBorder="1" applyAlignment="1">
      <alignment horizontal="center"/>
    </xf>
    <xf numFmtId="3" fontId="10" fillId="35" borderId="63" xfId="0" applyNumberFormat="1" applyFont="1" applyFill="1" applyBorder="1" applyAlignment="1">
      <alignment horizontal="center" vertical="center" wrapText="1"/>
    </xf>
    <xf numFmtId="3" fontId="10" fillId="0" borderId="63" xfId="0" applyNumberFormat="1" applyFont="1" applyFill="1" applyBorder="1" applyAlignment="1">
      <alignment horizontal="center" vertical="center" wrapText="1"/>
    </xf>
    <xf numFmtId="0" fontId="8" fillId="0" borderId="75" xfId="0" applyFont="1" applyFill="1" applyBorder="1" applyAlignment="1">
      <alignment wrapText="1"/>
    </xf>
    <xf numFmtId="3" fontId="10" fillId="0" borderId="78" xfId="1" applyNumberFormat="1" applyFont="1" applyFill="1" applyBorder="1" applyAlignment="1">
      <alignment horizontal="center" wrapText="1"/>
    </xf>
    <xf numFmtId="164" fontId="15" fillId="0" borderId="70" xfId="1" applyNumberFormat="1" applyFont="1" applyFill="1" applyBorder="1" applyAlignment="1">
      <alignment horizontal="center" wrapText="1"/>
    </xf>
    <xf numFmtId="3" fontId="20" fillId="0" borderId="74" xfId="0" applyNumberFormat="1" applyFont="1" applyFill="1" applyBorder="1" applyAlignment="1">
      <alignment horizontal="center" vertical="center" wrapText="1"/>
    </xf>
    <xf numFmtId="174" fontId="5" fillId="0" borderId="6" xfId="0" applyNumberFormat="1" applyFont="1" applyFill="1" applyBorder="1" applyAlignment="1">
      <alignment horizontal="center" vertical="center"/>
    </xf>
    <xf numFmtId="174" fontId="5" fillId="35" borderId="0" xfId="0" applyNumberFormat="1" applyFont="1" applyFill="1" applyBorder="1" applyAlignment="1"/>
    <xf numFmtId="0" fontId="17" fillId="35" borderId="0" xfId="0" applyFont="1" applyFill="1" applyBorder="1" applyAlignment="1">
      <alignment horizontal="center" vertical="center"/>
    </xf>
    <xf numFmtId="174" fontId="5" fillId="35" borderId="0" xfId="0" applyNumberFormat="1" applyFont="1" applyFill="1" applyBorder="1"/>
    <xf numFmtId="170" fontId="8" fillId="35" borderId="1" xfId="1" applyNumberFormat="1" applyFont="1" applyFill="1" applyBorder="1" applyAlignment="1">
      <alignment horizontal="center"/>
    </xf>
    <xf numFmtId="166" fontId="5" fillId="35" borderId="0" xfId="0" applyNumberFormat="1" applyFont="1" applyFill="1" applyBorder="1" applyAlignment="1">
      <alignment horizontal="center" wrapText="1"/>
    </xf>
    <xf numFmtId="174" fontId="5" fillId="35" borderId="0" xfId="0" applyNumberFormat="1" applyFont="1" applyFill="1" applyBorder="1" applyAlignment="1">
      <alignment horizontal="center" vertical="center" wrapText="1"/>
    </xf>
    <xf numFmtId="3" fontId="8" fillId="35" borderId="8" xfId="0" applyNumberFormat="1" applyFont="1" applyFill="1" applyBorder="1" applyAlignment="1">
      <alignment horizontal="center" vertical="center" wrapText="1"/>
    </xf>
    <xf numFmtId="3" fontId="8" fillId="35" borderId="7" xfId="0" applyNumberFormat="1" applyFont="1" applyFill="1" applyBorder="1" applyAlignment="1">
      <alignment horizontal="center" vertical="center" wrapText="1"/>
    </xf>
    <xf numFmtId="3" fontId="8" fillId="35" borderId="10" xfId="0" applyNumberFormat="1" applyFont="1" applyFill="1" applyBorder="1" applyAlignment="1">
      <alignment horizontal="center" vertical="center" wrapText="1"/>
    </xf>
    <xf numFmtId="3" fontId="8" fillId="35" borderId="21" xfId="0" applyNumberFormat="1" applyFont="1" applyFill="1" applyBorder="1" applyAlignment="1">
      <alignment horizontal="center" vertical="center" wrapText="1"/>
    </xf>
    <xf numFmtId="174" fontId="8" fillId="35" borderId="6" xfId="0" applyNumberFormat="1" applyFont="1" applyFill="1" applyBorder="1" applyAlignment="1">
      <alignment horizontal="center" vertical="center" wrapText="1"/>
    </xf>
    <xf numFmtId="3" fontId="8" fillId="35" borderId="6" xfId="0" applyNumberFormat="1" applyFont="1" applyFill="1" applyBorder="1" applyAlignment="1">
      <alignment horizontal="center" vertical="center" wrapText="1"/>
    </xf>
    <xf numFmtId="3" fontId="8" fillId="35" borderId="24" xfId="0" applyNumberFormat="1" applyFont="1" applyFill="1" applyBorder="1" applyAlignment="1">
      <alignment horizontal="center" vertical="center" wrapText="1"/>
    </xf>
    <xf numFmtId="3" fontId="8" fillId="35" borderId="11" xfId="0" applyNumberFormat="1" applyFont="1" applyFill="1" applyBorder="1" applyAlignment="1">
      <alignment horizontal="center" vertical="center" wrapText="1"/>
    </xf>
    <xf numFmtId="3" fontId="8" fillId="35" borderId="36" xfId="0" applyNumberFormat="1" applyFont="1" applyFill="1" applyBorder="1" applyAlignment="1">
      <alignment horizontal="center" vertical="center" wrapText="1"/>
    </xf>
    <xf numFmtId="3" fontId="8" fillId="35" borderId="22"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3" fontId="8" fillId="0" borderId="30" xfId="0" applyNumberFormat="1" applyFont="1" applyFill="1" applyBorder="1" applyAlignment="1">
      <alignment horizontal="center" vertical="center" wrapText="1"/>
    </xf>
    <xf numFmtId="0" fontId="46" fillId="0" borderId="6" xfId="0" applyFont="1" applyFill="1" applyBorder="1" applyAlignment="1">
      <alignment horizontal="center" vertical="center"/>
    </xf>
    <xf numFmtId="0" fontId="46" fillId="0" borderId="28" xfId="0" applyFont="1" applyFill="1" applyBorder="1" applyAlignment="1">
      <alignment horizontal="center" vertical="center"/>
    </xf>
    <xf numFmtId="176" fontId="8" fillId="0" borderId="6" xfId="0" applyNumberFormat="1" applyFont="1" applyFill="1" applyBorder="1" applyAlignment="1">
      <alignment horizontal="center" vertical="center" wrapText="1"/>
    </xf>
    <xf numFmtId="0" fontId="46" fillId="0" borderId="6" xfId="47" applyFont="1" applyFill="1" applyBorder="1" applyAlignment="1">
      <alignment horizontal="center" vertical="center" wrapText="1"/>
    </xf>
    <xf numFmtId="0" fontId="5" fillId="0" borderId="26" xfId="0" applyFont="1" applyFill="1" applyBorder="1" applyAlignment="1">
      <alignment vertical="center" wrapText="1"/>
    </xf>
    <xf numFmtId="0" fontId="5" fillId="0" borderId="6" xfId="47" applyFont="1" applyFill="1" applyBorder="1" applyAlignment="1">
      <alignment horizontal="center" vertical="center"/>
    </xf>
    <xf numFmtId="0" fontId="5" fillId="0" borderId="0" xfId="0" applyFont="1" applyFill="1" applyAlignment="1">
      <alignment vertical="center" wrapText="1"/>
    </xf>
    <xf numFmtId="3" fontId="8" fillId="0" borderId="1" xfId="0" applyNumberFormat="1" applyFont="1" applyFill="1" applyBorder="1" applyAlignment="1">
      <alignment vertical="center" wrapText="1"/>
    </xf>
    <xf numFmtId="3" fontId="8" fillId="0" borderId="29" xfId="0" applyNumberFormat="1" applyFont="1" applyFill="1" applyBorder="1" applyAlignment="1">
      <alignment vertical="center" wrapText="1"/>
    </xf>
    <xf numFmtId="173" fontId="8" fillId="0" borderId="28" xfId="0" applyNumberFormat="1" applyFont="1" applyFill="1" applyBorder="1" applyAlignment="1">
      <alignment vertical="center" wrapText="1"/>
    </xf>
    <xf numFmtId="174" fontId="8" fillId="0" borderId="1" xfId="0" applyNumberFormat="1" applyFont="1" applyFill="1" applyBorder="1" applyAlignment="1">
      <alignment vertical="center" wrapText="1"/>
    </xf>
    <xf numFmtId="174" fontId="8" fillId="0" borderId="10" xfId="0" applyNumberFormat="1" applyFont="1" applyFill="1" applyBorder="1" applyAlignment="1">
      <alignment vertical="center" wrapText="1"/>
    </xf>
    <xf numFmtId="3" fontId="8" fillId="0" borderId="28" xfId="0" applyNumberFormat="1" applyFont="1" applyFill="1" applyBorder="1" applyAlignment="1">
      <alignment vertical="center" wrapText="1"/>
    </xf>
    <xf numFmtId="3" fontId="8" fillId="0" borderId="6" xfId="0" applyNumberFormat="1" applyFont="1" applyFill="1" applyBorder="1" applyAlignment="1">
      <alignment vertical="center" wrapText="1"/>
    </xf>
    <xf numFmtId="0" fontId="8" fillId="0" borderId="6" xfId="0" applyFont="1" applyFill="1" applyBorder="1" applyAlignment="1">
      <alignment vertical="center" wrapText="1"/>
    </xf>
    <xf numFmtId="176" fontId="8" fillId="0" borderId="10" xfId="0" applyNumberFormat="1" applyFont="1" applyFill="1" applyBorder="1" applyAlignment="1">
      <alignment vertical="center"/>
    </xf>
    <xf numFmtId="3" fontId="5" fillId="0" borderId="9" xfId="0" applyNumberFormat="1" applyFont="1" applyFill="1" applyBorder="1" applyAlignment="1">
      <alignment vertical="center"/>
    </xf>
    <xf numFmtId="3" fontId="8" fillId="0" borderId="6" xfId="0" applyNumberFormat="1" applyFont="1" applyFill="1" applyBorder="1" applyAlignment="1">
      <alignment vertical="center"/>
    </xf>
    <xf numFmtId="3" fontId="8" fillId="0" borderId="12" xfId="1" applyNumberFormat="1" applyFont="1" applyFill="1" applyBorder="1" applyAlignment="1">
      <alignment horizontal="center" vertical="center" wrapText="1"/>
    </xf>
    <xf numFmtId="174" fontId="8" fillId="0" borderId="12" xfId="1" applyNumberFormat="1" applyFont="1" applyFill="1" applyBorder="1" applyAlignment="1">
      <alignment horizontal="center" wrapText="1"/>
    </xf>
    <xf numFmtId="174" fontId="8" fillId="0" borderId="15" xfId="1" applyNumberFormat="1" applyFont="1" applyFill="1" applyBorder="1" applyAlignment="1">
      <alignment horizontal="center" wrapText="1"/>
    </xf>
    <xf numFmtId="174" fontId="8" fillId="0" borderId="12" xfId="1" applyNumberFormat="1" applyFont="1" applyFill="1" applyBorder="1" applyAlignment="1">
      <alignment horizontal="center" vertical="center" wrapText="1"/>
    </xf>
    <xf numFmtId="176" fontId="8" fillId="0" borderId="12" xfId="1" applyNumberFormat="1" applyFont="1" applyFill="1" applyBorder="1" applyAlignment="1">
      <alignment horizontal="center" wrapText="1"/>
    </xf>
    <xf numFmtId="174" fontId="8" fillId="0" borderId="0" xfId="1" applyNumberFormat="1" applyFont="1" applyFill="1" applyBorder="1" applyAlignment="1">
      <alignment horizontal="center" wrapText="1"/>
    </xf>
    <xf numFmtId="3" fontId="8" fillId="0" borderId="0" xfId="1" applyNumberFormat="1" applyFont="1" applyFill="1" applyBorder="1" applyAlignment="1">
      <alignment horizontal="center" wrapText="1"/>
    </xf>
    <xf numFmtId="170" fontId="8" fillId="0" borderId="6" xfId="1" applyNumberFormat="1"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173" fontId="8" fillId="0" borderId="6" xfId="1" applyNumberFormat="1" applyFont="1" applyFill="1" applyBorder="1" applyAlignment="1">
      <alignment horizontal="center" vertical="center" wrapText="1"/>
    </xf>
    <xf numFmtId="174" fontId="8" fillId="0" borderId="6" xfId="1" applyNumberFormat="1" applyFont="1" applyFill="1" applyBorder="1" applyAlignment="1">
      <alignment horizontal="center" vertical="center" wrapText="1"/>
    </xf>
    <xf numFmtId="3" fontId="8" fillId="0" borderId="6" xfId="1" applyNumberFormat="1" applyFont="1" applyFill="1" applyBorder="1" applyAlignment="1">
      <alignment horizontal="center" vertical="center" wrapText="1"/>
    </xf>
    <xf numFmtId="3" fontId="8" fillId="0" borderId="9" xfId="0" applyNumberFormat="1" applyFont="1" applyFill="1" applyBorder="1" applyAlignment="1">
      <alignment vertical="center"/>
    </xf>
    <xf numFmtId="3" fontId="8" fillId="0" borderId="10" xfId="0" applyNumberFormat="1" applyFont="1" applyFill="1" applyBorder="1" applyAlignment="1">
      <alignment vertical="center"/>
    </xf>
    <xf numFmtId="174" fontId="5" fillId="0" borderId="0" xfId="0" applyNumberFormat="1" applyFont="1" applyFill="1"/>
    <xf numFmtId="0" fontId="5" fillId="0" borderId="0" xfId="0" applyFont="1" applyFill="1" applyAlignment="1">
      <alignment horizontal="right"/>
    </xf>
    <xf numFmtId="0" fontId="5" fillId="0" borderId="0" xfId="0" applyFont="1" applyFill="1" applyBorder="1"/>
    <xf numFmtId="0" fontId="8" fillId="0" borderId="0" xfId="0" applyFont="1" applyFill="1" applyBorder="1" applyAlignment="1">
      <alignment horizontal="center"/>
    </xf>
    <xf numFmtId="0" fontId="8" fillId="0" borderId="31" xfId="0" applyFont="1" applyFill="1" applyBorder="1" applyAlignment="1">
      <alignment horizontal="center"/>
    </xf>
    <xf numFmtId="166" fontId="8" fillId="0" borderId="0" xfId="1" applyNumberFormat="1" applyFont="1" applyFill="1" applyBorder="1" applyAlignment="1">
      <alignment horizontal="center"/>
    </xf>
    <xf numFmtId="0" fontId="8" fillId="0" borderId="0" xfId="0" applyFont="1" applyFill="1" applyAlignment="1">
      <alignment horizontal="center"/>
    </xf>
    <xf numFmtId="174" fontId="8" fillId="0" borderId="13" xfId="1" applyNumberFormat="1" applyFont="1" applyFill="1" applyBorder="1" applyAlignment="1">
      <alignment horizontal="center" wrapText="1"/>
    </xf>
    <xf numFmtId="174" fontId="5" fillId="35" borderId="32" xfId="0" applyNumberFormat="1" applyFont="1" applyFill="1" applyBorder="1" applyAlignment="1"/>
    <xf numFmtId="3" fontId="8" fillId="35" borderId="63" xfId="0" applyNumberFormat="1" applyFont="1" applyFill="1" applyBorder="1" applyAlignment="1">
      <alignment horizontal="center" vertical="center" wrapText="1"/>
    </xf>
    <xf numFmtId="3" fontId="5" fillId="35" borderId="59"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3" fontId="8" fillId="0" borderId="60" xfId="0" applyNumberFormat="1" applyFont="1" applyFill="1" applyBorder="1" applyAlignment="1">
      <alignment horizontal="center" vertical="center" wrapText="1"/>
    </xf>
    <xf numFmtId="3" fontId="5" fillId="0" borderId="60" xfId="0" applyNumberFormat="1" applyFont="1" applyFill="1" applyBorder="1" applyAlignment="1">
      <alignment horizontal="center" vertical="center" wrapText="1"/>
    </xf>
    <xf numFmtId="3" fontId="8" fillId="0" borderId="66" xfId="0" applyNumberFormat="1" applyFont="1" applyFill="1" applyBorder="1" applyAlignment="1">
      <alignment horizontal="center" vertical="center" wrapText="1"/>
    </xf>
    <xf numFmtId="3" fontId="8" fillId="0" borderId="63" xfId="0" applyNumberFormat="1" applyFont="1" applyFill="1" applyBorder="1" applyAlignment="1">
      <alignment horizontal="center" vertical="center" wrapText="1"/>
    </xf>
    <xf numFmtId="3" fontId="5" fillId="0" borderId="63" xfId="0" applyNumberFormat="1" applyFont="1" applyFill="1" applyBorder="1" applyAlignment="1">
      <alignment horizontal="center" vertical="center" wrapText="1"/>
    </xf>
    <xf numFmtId="174" fontId="8" fillId="0" borderId="66"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3" fontId="8" fillId="0" borderId="67" xfId="0" applyNumberFormat="1" applyFont="1" applyFill="1" applyBorder="1" applyAlignment="1">
      <alignment horizontal="center" vertical="center" wrapText="1"/>
    </xf>
    <xf numFmtId="0" fontId="46" fillId="0" borderId="0" xfId="0" applyFont="1" applyFill="1" applyBorder="1" applyAlignment="1">
      <alignment horizontal="center" vertical="center"/>
    </xf>
    <xf numFmtId="174" fontId="5" fillId="0" borderId="0" xfId="0" applyNumberFormat="1" applyFont="1" applyFill="1" applyBorder="1" applyAlignment="1">
      <alignment horizontal="center" vertical="center"/>
    </xf>
    <xf numFmtId="3" fontId="8" fillId="0" borderId="64" xfId="0" applyNumberFormat="1" applyFont="1" applyFill="1" applyBorder="1" applyAlignment="1">
      <alignment vertical="center" wrapText="1"/>
    </xf>
    <xf numFmtId="3" fontId="8" fillId="0" borderId="66" xfId="0" applyNumberFormat="1" applyFont="1" applyFill="1" applyBorder="1" applyAlignment="1">
      <alignment vertical="center" wrapText="1"/>
    </xf>
    <xf numFmtId="3" fontId="8" fillId="0" borderId="75" xfId="0" applyNumberFormat="1" applyFont="1" applyFill="1" applyBorder="1" applyAlignment="1">
      <alignment horizontal="center" vertical="center" wrapText="1"/>
    </xf>
    <xf numFmtId="174" fontId="8" fillId="0" borderId="76" xfId="1" applyNumberFormat="1" applyFont="1" applyFill="1" applyBorder="1" applyAlignment="1">
      <alignment horizontal="center" wrapText="1"/>
    </xf>
    <xf numFmtId="0" fontId="8" fillId="0" borderId="60" xfId="0" applyFont="1" applyFill="1" applyBorder="1" applyAlignment="1">
      <alignment vertical="center" wrapText="1"/>
    </xf>
    <xf numFmtId="3" fontId="8" fillId="0" borderId="67" xfId="0" applyNumberFormat="1" applyFont="1" applyFill="1" applyBorder="1" applyAlignment="1">
      <alignment vertical="center"/>
    </xf>
    <xf numFmtId="0" fontId="8" fillId="0" borderId="68" xfId="0" applyFont="1" applyFill="1" applyBorder="1" applyAlignment="1">
      <alignment horizontal="center" vertical="center" wrapText="1"/>
    </xf>
    <xf numFmtId="3" fontId="8" fillId="0" borderId="79" xfId="1" applyNumberFormat="1" applyFont="1" applyFill="1" applyBorder="1" applyAlignment="1">
      <alignment horizontal="center" vertical="center" wrapText="1"/>
    </xf>
    <xf numFmtId="0" fontId="5" fillId="0" borderId="70" xfId="0" applyFont="1" applyFill="1" applyBorder="1"/>
    <xf numFmtId="0" fontId="5" fillId="0" borderId="70" xfId="0" applyFont="1" applyFill="1" applyBorder="1" applyAlignment="1">
      <alignment horizontal="center"/>
    </xf>
    <xf numFmtId="0" fontId="8" fillId="0" borderId="69" xfId="0" applyFont="1" applyFill="1" applyBorder="1" applyAlignment="1">
      <alignment horizontal="center" vertical="center" wrapText="1"/>
    </xf>
    <xf numFmtId="173" fontId="5" fillId="0" borderId="70" xfId="0" applyNumberFormat="1" applyFont="1" applyFill="1" applyBorder="1" applyAlignment="1">
      <alignment horizontal="center"/>
    </xf>
    <xf numFmtId="174" fontId="8" fillId="0" borderId="69" xfId="0" applyNumberFormat="1" applyFont="1" applyFill="1" applyBorder="1" applyAlignment="1">
      <alignment horizontal="center" vertical="center" wrapText="1"/>
    </xf>
    <xf numFmtId="174" fontId="8" fillId="0" borderId="77" xfId="0" applyNumberFormat="1" applyFont="1" applyFill="1" applyBorder="1" applyAlignment="1">
      <alignment horizontal="center" vertical="center" wrapText="1"/>
    </xf>
    <xf numFmtId="176" fontId="8" fillId="35" borderId="10" xfId="0" applyNumberFormat="1" applyFont="1" applyFill="1" applyBorder="1" applyAlignment="1">
      <alignment horizontal="center" vertical="center" wrapText="1"/>
    </xf>
    <xf numFmtId="3" fontId="8" fillId="35" borderId="9" xfId="0" applyNumberFormat="1" applyFont="1" applyFill="1" applyBorder="1" applyAlignment="1">
      <alignment horizontal="center" vertical="center" wrapText="1"/>
    </xf>
    <xf numFmtId="3" fontId="11" fillId="0" borderId="6"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15" fillId="35" borderId="0" xfId="0" applyFont="1" applyFill="1" applyBorder="1" applyAlignment="1">
      <alignment horizontal="left" vertical="center" wrapText="1"/>
    </xf>
    <xf numFmtId="0" fontId="15" fillId="35" borderId="24" xfId="0" applyFont="1" applyFill="1" applyBorder="1" applyAlignment="1">
      <alignment horizontal="left" vertical="center" wrapText="1"/>
    </xf>
    <xf numFmtId="0" fontId="8" fillId="35" borderId="58" xfId="0" applyFont="1" applyFill="1" applyBorder="1" applyAlignment="1">
      <alignment horizontal="center" vertical="center"/>
    </xf>
    <xf numFmtId="0" fontId="8" fillId="35" borderId="0" xfId="0" applyFont="1" applyFill="1" applyBorder="1" applyAlignment="1">
      <alignment horizontal="center" vertical="center"/>
    </xf>
    <xf numFmtId="0" fontId="14" fillId="35" borderId="58" xfId="0" applyFont="1" applyFill="1" applyBorder="1" applyAlignment="1">
      <alignment horizontal="center" vertical="center"/>
    </xf>
    <xf numFmtId="0" fontId="14" fillId="35" borderId="0" xfId="0" applyFont="1" applyFill="1" applyBorder="1" applyAlignment="1">
      <alignment horizontal="center" vertical="center"/>
    </xf>
    <xf numFmtId="0" fontId="5" fillId="35" borderId="56" xfId="0" applyFont="1" applyFill="1" applyBorder="1" applyAlignment="1">
      <alignment horizontal="center"/>
    </xf>
    <xf numFmtId="0" fontId="5" fillId="35" borderId="32" xfId="0" applyFont="1" applyFill="1" applyBorder="1" applyAlignment="1">
      <alignment horizontal="center"/>
    </xf>
    <xf numFmtId="3" fontId="5" fillId="35" borderId="32" xfId="0" applyNumberFormat="1" applyFont="1" applyFill="1" applyBorder="1" applyAlignment="1">
      <alignment horizontal="center"/>
    </xf>
    <xf numFmtId="0" fontId="5" fillId="35" borderId="23" xfId="0" applyFont="1" applyFill="1" applyBorder="1" applyAlignment="1">
      <alignment horizontal="center"/>
    </xf>
    <xf numFmtId="0" fontId="5" fillId="35" borderId="0" xfId="0" applyFont="1" applyFill="1" applyBorder="1" applyAlignment="1">
      <alignment horizontal="center"/>
    </xf>
    <xf numFmtId="3" fontId="5" fillId="35" borderId="0" xfId="0" applyNumberFormat="1" applyFont="1" applyFill="1" applyBorder="1" applyAlignment="1">
      <alignment horizontal="center"/>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0" fontId="15" fillId="35" borderId="0" xfId="0" applyFont="1" applyFill="1" applyBorder="1" applyAlignment="1">
      <alignment horizontal="left" vertical="center"/>
    </xf>
    <xf numFmtId="0" fontId="12" fillId="0" borderId="6" xfId="0" applyFont="1" applyBorder="1" applyAlignment="1">
      <alignment horizontal="center" vertical="center" wrapText="1"/>
    </xf>
    <xf numFmtId="3" fontId="12" fillId="0" borderId="6" xfId="0" applyNumberFormat="1" applyFont="1" applyBorder="1" applyAlignment="1">
      <alignment horizontal="center" vertical="center" wrapText="1"/>
    </xf>
    <xf numFmtId="0" fontId="8" fillId="35" borderId="55" xfId="0" applyFont="1" applyFill="1" applyBorder="1" applyAlignment="1">
      <alignment horizontal="center"/>
    </xf>
    <xf numFmtId="0" fontId="8" fillId="35" borderId="32" xfId="0" applyFont="1" applyFill="1" applyBorder="1" applyAlignment="1">
      <alignment horizontal="center"/>
    </xf>
    <xf numFmtId="0" fontId="13" fillId="3" borderId="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0" fillId="0" borderId="41" xfId="0" applyFont="1" applyFill="1" applyBorder="1" applyAlignment="1">
      <alignment horizontal="center"/>
    </xf>
    <xf numFmtId="166" fontId="20" fillId="0" borderId="31" xfId="1" applyNumberFormat="1" applyFont="1" applyFill="1" applyBorder="1" applyAlignment="1">
      <alignment horizontal="center"/>
    </xf>
    <xf numFmtId="3" fontId="13" fillId="3" borderId="6" xfId="0" applyNumberFormat="1" applyFont="1" applyFill="1" applyBorder="1" applyAlignment="1">
      <alignment horizontal="center" vertical="center" wrapText="1"/>
    </xf>
    <xf numFmtId="3" fontId="13" fillId="3" borderId="1" xfId="0" applyNumberFormat="1" applyFont="1" applyFill="1" applyBorder="1" applyAlignment="1">
      <alignment horizontal="center" vertical="center" wrapText="1"/>
    </xf>
    <xf numFmtId="0" fontId="5" fillId="0" borderId="6" xfId="0" applyFont="1" applyBorder="1" applyAlignment="1">
      <alignment horizontal="center" wrapText="1"/>
    </xf>
    <xf numFmtId="0" fontId="5" fillId="0" borderId="1" xfId="0" applyFont="1" applyBorder="1" applyAlignment="1">
      <alignment horizontal="center" wrapText="1"/>
    </xf>
    <xf numFmtId="0" fontId="15" fillId="35" borderId="0" xfId="0" applyFont="1" applyFill="1" applyBorder="1" applyAlignment="1">
      <alignment horizontal="justify" vertical="center" wrapText="1"/>
    </xf>
    <xf numFmtId="0" fontId="8" fillId="35" borderId="58"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58" xfId="0" applyFont="1" applyFill="1" applyBorder="1" applyAlignment="1">
      <alignment horizontal="center"/>
    </xf>
    <xf numFmtId="0" fontId="8" fillId="35" borderId="0" xfId="0" applyFont="1" applyFill="1" applyBorder="1" applyAlignment="1">
      <alignment horizontal="center"/>
    </xf>
    <xf numFmtId="0" fontId="14" fillId="35" borderId="58" xfId="0" applyFont="1" applyFill="1" applyBorder="1" applyAlignment="1">
      <alignment horizontal="center" wrapText="1"/>
    </xf>
    <xf numFmtId="0" fontId="14" fillId="35" borderId="0" xfId="0" applyFont="1" applyFill="1" applyBorder="1" applyAlignment="1">
      <alignment horizontal="center" wrapText="1"/>
    </xf>
    <xf numFmtId="0" fontId="15" fillId="35" borderId="0" xfId="0" applyFont="1" applyFill="1" applyBorder="1" applyAlignment="1">
      <alignment horizontal="left"/>
    </xf>
    <xf numFmtId="0" fontId="15" fillId="35" borderId="0" xfId="0" applyFont="1" applyFill="1" applyBorder="1" applyAlignment="1">
      <alignment horizontal="left" wrapText="1"/>
    </xf>
    <xf numFmtId="0" fontId="5" fillId="35" borderId="0" xfId="0" applyFont="1" applyFill="1" applyBorder="1" applyAlignment="1">
      <alignment horizontal="left" vertical="center" wrapText="1"/>
    </xf>
    <xf numFmtId="0" fontId="5" fillId="35" borderId="0" xfId="0" applyFont="1" applyFill="1" applyBorder="1" applyAlignment="1">
      <alignment horizontal="justify" vertical="center" wrapText="1"/>
    </xf>
    <xf numFmtId="0" fontId="14" fillId="35" borderId="58" xfId="0" applyFont="1" applyFill="1" applyBorder="1" applyAlignment="1">
      <alignment horizontal="center"/>
    </xf>
    <xf numFmtId="0" fontId="14" fillId="35" borderId="0" xfId="0" applyFont="1" applyFill="1" applyBorder="1" applyAlignment="1">
      <alignment horizontal="center"/>
    </xf>
    <xf numFmtId="0" fontId="5" fillId="3"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5" fillId="35" borderId="0" xfId="0" applyFont="1" applyFill="1" applyBorder="1" applyAlignment="1">
      <alignment horizontal="left" vertical="center"/>
    </xf>
    <xf numFmtId="3" fontId="8" fillId="0" borderId="6"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3" fontId="5" fillId="3" borderId="1" xfId="0" applyNumberFormat="1" applyFont="1" applyFill="1" applyBorder="1" applyAlignment="1">
      <alignment horizontal="center" vertical="center" wrapText="1"/>
    </xf>
    <xf numFmtId="3" fontId="8" fillId="0" borderId="1" xfId="0" applyNumberFormat="1" applyFont="1" applyBorder="1" applyAlignment="1">
      <alignment horizontal="center" vertical="center" wrapText="1"/>
    </xf>
    <xf numFmtId="3" fontId="5" fillId="3" borderId="6" xfId="0" applyNumberFormat="1" applyFont="1" applyFill="1" applyBorder="1" applyAlignment="1">
      <alignment horizontal="center" vertical="center" wrapText="1"/>
    </xf>
    <xf numFmtId="0" fontId="0" fillId="0" borderId="3" xfId="0" applyBorder="1" applyAlignment="1">
      <alignment horizontal="left" vertical="center" wrapText="1"/>
    </xf>
    <xf numFmtId="0" fontId="0" fillId="0" borderId="17" xfId="0" applyBorder="1" applyAlignment="1">
      <alignment horizontal="left" vertical="center" wrapText="1"/>
    </xf>
    <xf numFmtId="0" fontId="0" fillId="0" borderId="33" xfId="0" applyBorder="1" applyAlignment="1">
      <alignment horizontal="left" vertical="center" wrapText="1"/>
    </xf>
    <xf numFmtId="0" fontId="0" fillId="0" borderId="2" xfId="0" applyBorder="1" applyAlignment="1">
      <alignment horizontal="center" vertical="center" wrapText="1"/>
    </xf>
    <xf numFmtId="0" fontId="8" fillId="2" borderId="2" xfId="0" applyFont="1" applyFill="1" applyBorder="1" applyAlignment="1">
      <alignment horizontal="left" wrapText="1"/>
    </xf>
    <xf numFmtId="0" fontId="8" fillId="0" borderId="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0" fillId="0" borderId="2" xfId="0" applyFill="1" applyBorder="1" applyAlignment="1">
      <alignment horizontal="justify" vertical="center" wrapText="1"/>
    </xf>
    <xf numFmtId="0" fontId="0" fillId="0" borderId="3" xfId="0" applyBorder="1" applyAlignment="1">
      <alignment horizontal="justify" vertical="center" wrapText="1"/>
    </xf>
    <xf numFmtId="0" fontId="0" fillId="0" borderId="17" xfId="0" applyBorder="1" applyAlignment="1">
      <alignment horizontal="justify" vertical="center" wrapText="1"/>
    </xf>
    <xf numFmtId="0" fontId="0" fillId="0" borderId="3"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3" xfId="0" applyBorder="1" applyAlignment="1">
      <alignment horizontal="justify" wrapText="1"/>
    </xf>
    <xf numFmtId="0" fontId="0" fillId="0" borderId="17" xfId="0" applyBorder="1" applyAlignment="1">
      <alignment horizontal="justify" wrapText="1"/>
    </xf>
    <xf numFmtId="0" fontId="0" fillId="0" borderId="33" xfId="0" applyBorder="1" applyAlignment="1">
      <alignment horizontal="justify" wrapText="1"/>
    </xf>
  </cellXfs>
  <cellStyles count="49">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a" xfId="12" builtinId="26" customBuiltin="1"/>
    <cellStyle name="Cálculo" xfId="17" builtinId="22" customBuiltin="1"/>
    <cellStyle name="Celda de comprobación" xfId="19" builtinId="23" customBuiltin="1"/>
    <cellStyle name="Celda vinculada" xfId="18" builtinId="24" customBuiltin="1"/>
    <cellStyle name="Encabezado 1" xfId="8" builtinId="16" customBuiltin="1"/>
    <cellStyle name="Encabezado 4" xfId="11"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5" builtinId="20" customBuiltin="1"/>
    <cellStyle name="Incorrecto" xfId="13" builtinId="27" customBuiltin="1"/>
    <cellStyle name="Millares" xfId="1" builtinId="3"/>
    <cellStyle name="Neutral" xfId="14" builtinId="28" customBuiltin="1"/>
    <cellStyle name="Normal" xfId="0" builtinId="0"/>
    <cellStyle name="Normal 2" xfId="4"/>
    <cellStyle name="Normal 2 2" xfId="2"/>
    <cellStyle name="Normal 3" xfId="5"/>
    <cellStyle name="Normal 4" xfId="6"/>
    <cellStyle name="Normal 5" xfId="47"/>
    <cellStyle name="Notas 2" xfId="48"/>
    <cellStyle name="Porcentaje" xfId="3" builtinId="5"/>
    <cellStyle name="Salida" xfId="16" builtinId="21" customBuiltin="1"/>
    <cellStyle name="Texto de advertencia" xfId="20" builtinId="11" customBuiltin="1"/>
    <cellStyle name="Texto explicativo" xfId="21" builtinId="53" customBuiltin="1"/>
    <cellStyle name="Título" xfId="7" builtinId="15" customBuiltin="1"/>
    <cellStyle name="Título 2" xfId="9" builtinId="17" customBuiltin="1"/>
    <cellStyle name="Título 3" xfId="10" builtinId="18" customBuiltin="1"/>
    <cellStyle name="Total" xfId="22"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226219</xdr:colOff>
      <xdr:row>0</xdr:row>
      <xdr:rowOff>80962</xdr:rowOff>
    </xdr:from>
    <xdr:to>
      <xdr:col>0</xdr:col>
      <xdr:colOff>1464469</xdr:colOff>
      <xdr:row>1</xdr:row>
      <xdr:rowOff>642937</xdr:rowOff>
    </xdr:to>
    <xdr:pic>
      <xdr:nvPicPr>
        <xdr:cNvPr id="1054" name="1 Imagen" descr="IDPCBYN">
          <a:extLst>
            <a:ext uri="{FF2B5EF4-FFF2-40B4-BE49-F238E27FC236}">
              <a16:creationId xmlns:a16="http://schemas.microsoft.com/office/drawing/2014/main" xmlns="" id="{00000000-0008-0000-0000-00001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9" y="80962"/>
          <a:ext cx="1238250" cy="1252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202406</xdr:colOff>
      <xdr:row>0</xdr:row>
      <xdr:rowOff>45243</xdr:rowOff>
    </xdr:from>
    <xdr:to>
      <xdr:col>0</xdr:col>
      <xdr:colOff>1440656</xdr:colOff>
      <xdr:row>1</xdr:row>
      <xdr:rowOff>607218</xdr:rowOff>
    </xdr:to>
    <xdr:pic>
      <xdr:nvPicPr>
        <xdr:cNvPr id="2061" name="1 Imagen" descr="IDPCBYN">
          <a:extLst>
            <a:ext uri="{FF2B5EF4-FFF2-40B4-BE49-F238E27FC236}">
              <a16:creationId xmlns:a16="http://schemas.microsoft.com/office/drawing/2014/main" xmlns="" id="{00000000-0008-0000-0100-00000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406" y="45243"/>
          <a:ext cx="1238250" cy="1252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369094</xdr:colOff>
      <xdr:row>0</xdr:row>
      <xdr:rowOff>9534</xdr:rowOff>
    </xdr:from>
    <xdr:to>
      <xdr:col>0</xdr:col>
      <xdr:colOff>1500673</xdr:colOff>
      <xdr:row>1</xdr:row>
      <xdr:rowOff>530221</xdr:rowOff>
    </xdr:to>
    <xdr:pic>
      <xdr:nvPicPr>
        <xdr:cNvPr id="3085" name="1 Imagen" descr="IDPCBYN">
          <a:extLst>
            <a:ext uri="{FF2B5EF4-FFF2-40B4-BE49-F238E27FC236}">
              <a16:creationId xmlns:a16="http://schemas.microsoft.com/office/drawing/2014/main" xmlns="" id="{00000000-0008-0000-0200-00000D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094" y="9534"/>
          <a:ext cx="1131579" cy="11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202407</xdr:colOff>
      <xdr:row>0</xdr:row>
      <xdr:rowOff>45244</xdr:rowOff>
    </xdr:from>
    <xdr:to>
      <xdr:col>0</xdr:col>
      <xdr:colOff>1440657</xdr:colOff>
      <xdr:row>1</xdr:row>
      <xdr:rowOff>607219</xdr:rowOff>
    </xdr:to>
    <xdr:pic>
      <xdr:nvPicPr>
        <xdr:cNvPr id="4109" name="1 Imagen" descr="IDPCBYN">
          <a:extLst>
            <a:ext uri="{FF2B5EF4-FFF2-40B4-BE49-F238E27FC236}">
              <a16:creationId xmlns:a16="http://schemas.microsoft.com/office/drawing/2014/main" xmlns=""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407" y="45244"/>
          <a:ext cx="1238250" cy="1252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305159</xdr:colOff>
      <xdr:row>0</xdr:row>
      <xdr:rowOff>58291</xdr:rowOff>
    </xdr:from>
    <xdr:to>
      <xdr:col>0</xdr:col>
      <xdr:colOff>1524359</xdr:colOff>
      <xdr:row>1</xdr:row>
      <xdr:rowOff>620266</xdr:rowOff>
    </xdr:to>
    <xdr:pic>
      <xdr:nvPicPr>
        <xdr:cNvPr id="5134" name="1 Imagen" descr="IDPCBYN">
          <a:extLst>
            <a:ext uri="{FF2B5EF4-FFF2-40B4-BE49-F238E27FC236}">
              <a16:creationId xmlns:a16="http://schemas.microsoft.com/office/drawing/2014/main" xmlns="" id="{00000000-0008-0000-0400-00000E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159" y="58291"/>
          <a:ext cx="1219200" cy="1253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821531</xdr:colOff>
      <xdr:row>321</xdr:row>
      <xdr:rowOff>0</xdr:rowOff>
    </xdr:from>
    <xdr:to>
      <xdr:col>4</xdr:col>
      <xdr:colOff>738187</xdr:colOff>
      <xdr:row>321</xdr:row>
      <xdr:rowOff>0</xdr:rowOff>
    </xdr:to>
    <xdr:cxnSp macro="">
      <xdr:nvCxnSpPr>
        <xdr:cNvPr id="5" name="4 Conector recto">
          <a:extLst>
            <a:ext uri="{FF2B5EF4-FFF2-40B4-BE49-F238E27FC236}">
              <a16:creationId xmlns:a16="http://schemas.microsoft.com/office/drawing/2014/main" xmlns="" id="{00000000-0008-0000-0400-000005000000}"/>
            </a:ext>
          </a:extLst>
        </xdr:cNvPr>
        <xdr:cNvCxnSpPr/>
      </xdr:nvCxnSpPr>
      <xdr:spPr>
        <a:xfrm>
          <a:off x="4167187" y="60948094"/>
          <a:ext cx="2952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91"/>
  <sheetViews>
    <sheetView tabSelected="1" zoomScale="80" zoomScaleNormal="80" zoomScaleSheetLayoutView="40" workbookViewId="0">
      <selection sqref="A1:A2"/>
    </sheetView>
  </sheetViews>
  <sheetFormatPr baseColWidth="10" defaultRowHeight="12.75"/>
  <cols>
    <col min="1" max="1" width="27.140625" style="87" customWidth="1"/>
    <col min="2" max="2" width="22.85546875" style="87" customWidth="1"/>
    <col min="3" max="3" width="23.28515625" style="87" customWidth="1"/>
    <col min="4" max="4" width="23" style="87" customWidth="1"/>
    <col min="5" max="5" width="23.85546875" style="87" customWidth="1"/>
    <col min="6" max="6" width="30.5703125" style="87" customWidth="1"/>
    <col min="7" max="7" width="32.85546875" style="87" customWidth="1"/>
    <col min="8" max="8" width="13.85546875" style="172" customWidth="1"/>
    <col min="9" max="9" width="14.140625" style="87" customWidth="1"/>
    <col min="10" max="10" width="14.5703125" style="97" bestFit="1" customWidth="1"/>
    <col min="11" max="11" width="12.5703125" style="87" customWidth="1"/>
    <col min="12" max="12" width="15" style="97" customWidth="1"/>
    <col min="13" max="13" width="13.5703125" style="87" customWidth="1"/>
    <col min="14" max="15" width="10.85546875" style="97" bestFit="1" customWidth="1"/>
    <col min="16" max="16" width="13" style="97" bestFit="1" customWidth="1"/>
    <col min="17" max="17" width="13.85546875" style="97" bestFit="1" customWidth="1"/>
    <col min="18" max="22" width="13" style="97" bestFit="1" customWidth="1"/>
    <col min="23" max="23" width="12.7109375" style="97" bestFit="1" customWidth="1"/>
    <col min="24" max="24" width="13" style="97" bestFit="1" customWidth="1"/>
    <col min="25" max="25" width="13.85546875" style="97" bestFit="1" customWidth="1"/>
    <col min="26" max="26" width="14.140625" style="96" bestFit="1" customWidth="1"/>
    <col min="27" max="27" width="16.5703125" style="97" customWidth="1"/>
    <col min="28" max="28" width="11.42578125" style="87"/>
    <col min="29" max="29" width="36.5703125" style="192" customWidth="1"/>
    <col min="30" max="30" width="11.42578125" style="126"/>
    <col min="31" max="31" width="14.42578125" style="126" bestFit="1" customWidth="1"/>
    <col min="32" max="33" width="11.42578125" style="126"/>
    <col min="34" max="34" width="14.42578125" style="126" bestFit="1" customWidth="1"/>
    <col min="35" max="35" width="11.42578125" style="126"/>
    <col min="36" max="36" width="14.140625" style="125" customWidth="1"/>
    <col min="37" max="37" width="12.85546875" style="126" customWidth="1"/>
    <col min="38" max="38" width="13.5703125" style="128" bestFit="1" customWidth="1"/>
    <col min="39" max="39" width="14.42578125" style="193" bestFit="1" customWidth="1"/>
    <col min="40" max="16384" width="11.42578125" style="87"/>
  </cols>
  <sheetData>
    <row r="1" spans="1:39" ht="54.75" customHeight="1">
      <c r="A1" s="574"/>
      <c r="B1" s="568" t="s">
        <v>65</v>
      </c>
      <c r="C1" s="568"/>
      <c r="D1" s="564" t="s">
        <v>68</v>
      </c>
      <c r="E1" s="564"/>
      <c r="F1" s="564"/>
      <c r="G1" s="564"/>
      <c r="H1" s="564"/>
      <c r="I1" s="564"/>
      <c r="J1" s="565"/>
      <c r="K1" s="564"/>
      <c r="L1" s="565"/>
      <c r="M1" s="564"/>
      <c r="N1" s="564"/>
      <c r="O1" s="564"/>
      <c r="P1" s="564"/>
      <c r="Q1" s="564"/>
      <c r="R1" s="564"/>
      <c r="S1" s="572" t="s">
        <v>66</v>
      </c>
      <c r="T1" s="572"/>
      <c r="U1" s="572"/>
      <c r="V1" s="572"/>
      <c r="W1" s="547" t="s">
        <v>64</v>
      </c>
      <c r="X1" s="547"/>
      <c r="Y1" s="547"/>
      <c r="Z1" s="547"/>
      <c r="AA1" s="547"/>
    </row>
    <row r="2" spans="1:39" ht="54.75" customHeight="1" thickBot="1">
      <c r="A2" s="575"/>
      <c r="B2" s="569" t="s">
        <v>69</v>
      </c>
      <c r="C2" s="569"/>
      <c r="D2" s="561" t="s">
        <v>60</v>
      </c>
      <c r="E2" s="561"/>
      <c r="F2" s="561"/>
      <c r="G2" s="561"/>
      <c r="H2" s="561"/>
      <c r="I2" s="561"/>
      <c r="J2" s="562"/>
      <c r="K2" s="561"/>
      <c r="L2" s="562"/>
      <c r="M2" s="561"/>
      <c r="N2" s="561"/>
      <c r="O2" s="561"/>
      <c r="P2" s="561"/>
      <c r="Q2" s="561"/>
      <c r="R2" s="561"/>
      <c r="S2" s="573" t="s">
        <v>67</v>
      </c>
      <c r="T2" s="573"/>
      <c r="U2" s="573"/>
      <c r="V2" s="573"/>
      <c r="W2" s="548">
        <v>1</v>
      </c>
      <c r="X2" s="548"/>
      <c r="Y2" s="548"/>
      <c r="Z2" s="548"/>
      <c r="AA2" s="548"/>
    </row>
    <row r="3" spans="1:39" s="112" customFormat="1" ht="15.75" customHeight="1">
      <c r="A3" s="566" t="s">
        <v>145</v>
      </c>
      <c r="B3" s="567"/>
      <c r="C3" s="567"/>
      <c r="D3" s="567"/>
      <c r="E3" s="567"/>
      <c r="F3" s="567"/>
      <c r="G3" s="567"/>
      <c r="H3" s="555"/>
      <c r="I3" s="556"/>
      <c r="J3" s="557"/>
      <c r="K3" s="556"/>
      <c r="L3" s="557"/>
      <c r="M3" s="556"/>
      <c r="N3" s="238"/>
      <c r="O3" s="238"/>
      <c r="P3" s="238"/>
      <c r="Q3" s="238"/>
      <c r="R3" s="238"/>
      <c r="S3" s="238"/>
      <c r="T3" s="238"/>
      <c r="U3" s="238"/>
      <c r="V3" s="238"/>
      <c r="W3" s="238"/>
      <c r="X3" s="238"/>
      <c r="Y3" s="238"/>
      <c r="Z3" s="239"/>
      <c r="AA3" s="240"/>
      <c r="AC3" s="194"/>
      <c r="AD3" s="131"/>
      <c r="AE3" s="131"/>
      <c r="AF3" s="131"/>
      <c r="AG3" s="131"/>
      <c r="AH3" s="131"/>
      <c r="AI3" s="131"/>
      <c r="AJ3" s="130"/>
      <c r="AK3" s="131"/>
      <c r="AL3" s="133"/>
      <c r="AM3" s="195"/>
    </row>
    <row r="4" spans="1:39" s="112" customFormat="1">
      <c r="A4" s="551" t="s">
        <v>170</v>
      </c>
      <c r="B4" s="552"/>
      <c r="C4" s="552"/>
      <c r="D4" s="552"/>
      <c r="E4" s="552"/>
      <c r="F4" s="552"/>
      <c r="G4" s="552"/>
      <c r="H4" s="558"/>
      <c r="I4" s="559"/>
      <c r="J4" s="560"/>
      <c r="K4" s="559"/>
      <c r="L4" s="560"/>
      <c r="M4" s="559"/>
      <c r="N4" s="201"/>
      <c r="O4" s="201"/>
      <c r="P4" s="201"/>
      <c r="Q4" s="201"/>
      <c r="R4" s="201"/>
      <c r="S4" s="201"/>
      <c r="T4" s="201"/>
      <c r="U4" s="201"/>
      <c r="V4" s="201"/>
      <c r="W4" s="201"/>
      <c r="X4" s="201"/>
      <c r="Y4" s="201"/>
      <c r="Z4" s="202"/>
      <c r="AA4" s="241"/>
      <c r="AC4" s="194"/>
      <c r="AD4" s="131"/>
      <c r="AE4" s="131"/>
      <c r="AF4" s="131"/>
      <c r="AG4" s="131"/>
      <c r="AH4" s="131"/>
      <c r="AI4" s="131"/>
      <c r="AJ4" s="130"/>
      <c r="AK4" s="131"/>
      <c r="AL4" s="133"/>
      <c r="AM4" s="195"/>
    </row>
    <row r="5" spans="1:39" s="112" customFormat="1">
      <c r="A5" s="551" t="s">
        <v>70</v>
      </c>
      <c r="B5" s="552"/>
      <c r="C5" s="552"/>
      <c r="D5" s="552"/>
      <c r="E5" s="552"/>
      <c r="F5" s="552"/>
      <c r="G5" s="552"/>
      <c r="H5" s="558"/>
      <c r="I5" s="559"/>
      <c r="J5" s="560"/>
      <c r="K5" s="559"/>
      <c r="L5" s="560"/>
      <c r="M5" s="559"/>
      <c r="N5" s="201"/>
      <c r="O5" s="201"/>
      <c r="P5" s="201"/>
      <c r="Q5" s="201"/>
      <c r="R5" s="201"/>
      <c r="S5" s="201"/>
      <c r="T5" s="201"/>
      <c r="U5" s="201"/>
      <c r="V5" s="201"/>
      <c r="W5" s="201"/>
      <c r="X5" s="201"/>
      <c r="Y5" s="201"/>
      <c r="Z5" s="202"/>
      <c r="AA5" s="241"/>
      <c r="AC5" s="194"/>
      <c r="AD5" s="131"/>
      <c r="AE5" s="131"/>
      <c r="AF5" s="131"/>
      <c r="AG5" s="131"/>
      <c r="AH5" s="131"/>
      <c r="AI5" s="131"/>
      <c r="AJ5" s="130"/>
      <c r="AK5" s="131"/>
      <c r="AL5" s="133"/>
      <c r="AM5" s="195"/>
    </row>
    <row r="6" spans="1:39" s="112" customFormat="1">
      <c r="A6" s="551" t="s">
        <v>71</v>
      </c>
      <c r="B6" s="552"/>
      <c r="C6" s="552"/>
      <c r="D6" s="552"/>
      <c r="E6" s="552"/>
      <c r="F6" s="552"/>
      <c r="G6" s="552"/>
      <c r="H6" s="558"/>
      <c r="I6" s="559"/>
      <c r="J6" s="560"/>
      <c r="K6" s="559"/>
      <c r="L6" s="560"/>
      <c r="M6" s="559"/>
      <c r="N6" s="201"/>
      <c r="O6" s="201"/>
      <c r="P6" s="201"/>
      <c r="Q6" s="201"/>
      <c r="R6" s="201"/>
      <c r="S6" s="201"/>
      <c r="T6" s="201"/>
      <c r="U6" s="201"/>
      <c r="V6" s="201"/>
      <c r="W6" s="201"/>
      <c r="X6" s="201"/>
      <c r="Y6" s="201"/>
      <c r="Z6" s="202"/>
      <c r="AA6" s="241"/>
      <c r="AC6" s="194"/>
      <c r="AD6" s="131"/>
      <c r="AE6" s="131"/>
      <c r="AF6" s="131"/>
      <c r="AG6" s="131"/>
      <c r="AH6" s="131"/>
      <c r="AI6" s="131"/>
      <c r="AJ6" s="130"/>
      <c r="AK6" s="131"/>
      <c r="AL6" s="133"/>
      <c r="AM6" s="195"/>
    </row>
    <row r="7" spans="1:39" s="112" customFormat="1">
      <c r="A7" s="551" t="s">
        <v>72</v>
      </c>
      <c r="B7" s="552"/>
      <c r="C7" s="552"/>
      <c r="D7" s="552"/>
      <c r="E7" s="552"/>
      <c r="F7" s="552"/>
      <c r="G7" s="552"/>
      <c r="H7" s="558"/>
      <c r="I7" s="559"/>
      <c r="J7" s="560"/>
      <c r="K7" s="559"/>
      <c r="L7" s="560"/>
      <c r="M7" s="559"/>
      <c r="N7" s="201"/>
      <c r="O7" s="201"/>
      <c r="P7" s="201"/>
      <c r="Q7" s="201"/>
      <c r="R7" s="201"/>
      <c r="S7" s="201"/>
      <c r="T7" s="201"/>
      <c r="U7" s="201"/>
      <c r="V7" s="201"/>
      <c r="W7" s="201"/>
      <c r="X7" s="201"/>
      <c r="Y7" s="201"/>
      <c r="Z7" s="202"/>
      <c r="AA7" s="241"/>
      <c r="AC7" s="194"/>
      <c r="AD7" s="131"/>
      <c r="AE7" s="131"/>
      <c r="AF7" s="131"/>
      <c r="AG7" s="131"/>
      <c r="AH7" s="131"/>
      <c r="AI7" s="131"/>
      <c r="AJ7" s="130"/>
      <c r="AK7" s="131"/>
      <c r="AL7" s="133"/>
      <c r="AM7" s="195"/>
    </row>
    <row r="8" spans="1:39" s="112" customFormat="1">
      <c r="A8" s="553" t="s">
        <v>73</v>
      </c>
      <c r="B8" s="554"/>
      <c r="C8" s="554"/>
      <c r="D8" s="554"/>
      <c r="E8" s="554"/>
      <c r="F8" s="554"/>
      <c r="G8" s="554"/>
      <c r="H8" s="558"/>
      <c r="I8" s="559"/>
      <c r="J8" s="560"/>
      <c r="K8" s="559"/>
      <c r="L8" s="560"/>
      <c r="M8" s="559"/>
      <c r="N8" s="201"/>
      <c r="O8" s="201"/>
      <c r="P8" s="201"/>
      <c r="Q8" s="201"/>
      <c r="R8" s="201"/>
      <c r="S8" s="201"/>
      <c r="T8" s="201"/>
      <c r="U8" s="201"/>
      <c r="V8" s="201"/>
      <c r="W8" s="201"/>
      <c r="X8" s="201"/>
      <c r="Y8" s="201"/>
      <c r="Z8" s="202"/>
      <c r="AA8" s="241"/>
      <c r="AC8" s="194"/>
      <c r="AD8" s="131"/>
      <c r="AE8" s="131"/>
      <c r="AF8" s="131"/>
      <c r="AG8" s="131"/>
      <c r="AH8" s="131"/>
      <c r="AI8" s="131"/>
      <c r="AJ8" s="130"/>
      <c r="AK8" s="131"/>
      <c r="AL8" s="133"/>
      <c r="AM8" s="195"/>
    </row>
    <row r="9" spans="1:39" ht="26.25" customHeight="1">
      <c r="A9" s="242" t="s">
        <v>54</v>
      </c>
      <c r="B9" s="563" t="s">
        <v>74</v>
      </c>
      <c r="C9" s="563"/>
      <c r="D9" s="563"/>
      <c r="E9" s="203"/>
      <c r="F9" s="203"/>
      <c r="G9" s="203"/>
      <c r="H9" s="204"/>
      <c r="I9" s="205"/>
      <c r="J9" s="201"/>
      <c r="K9" s="205"/>
      <c r="L9" s="201"/>
      <c r="M9" s="205"/>
      <c r="N9" s="201"/>
      <c r="O9" s="201"/>
      <c r="P9" s="201"/>
      <c r="Q9" s="201"/>
      <c r="R9" s="201"/>
      <c r="S9" s="201"/>
      <c r="T9" s="201"/>
      <c r="U9" s="201"/>
      <c r="V9" s="201"/>
      <c r="W9" s="201"/>
      <c r="X9" s="201"/>
      <c r="Y9" s="201"/>
      <c r="Z9" s="202"/>
      <c r="AA9" s="241"/>
    </row>
    <row r="10" spans="1:39" ht="23.25" customHeight="1">
      <c r="A10" s="242" t="s">
        <v>53</v>
      </c>
      <c r="B10" s="549" t="s">
        <v>75</v>
      </c>
      <c r="C10" s="549"/>
      <c r="D10" s="549"/>
      <c r="E10" s="549"/>
      <c r="F10" s="549"/>
      <c r="G10" s="550"/>
      <c r="H10" s="204"/>
      <c r="I10" s="205"/>
      <c r="J10" s="201"/>
      <c r="K10" s="205"/>
      <c r="L10" s="201"/>
      <c r="M10" s="205"/>
      <c r="N10" s="201"/>
      <c r="O10" s="201"/>
      <c r="P10" s="201"/>
      <c r="Q10" s="201"/>
      <c r="R10" s="201"/>
      <c r="S10" s="201"/>
      <c r="T10" s="201"/>
      <c r="U10" s="201"/>
      <c r="V10" s="201"/>
      <c r="W10" s="201"/>
      <c r="X10" s="201"/>
      <c r="Y10" s="201"/>
      <c r="Z10" s="202"/>
      <c r="AA10" s="241"/>
    </row>
    <row r="11" spans="1:39" ht="30.75" customHeight="1">
      <c r="A11" s="243" t="s">
        <v>55</v>
      </c>
      <c r="B11" s="576" t="s">
        <v>76</v>
      </c>
      <c r="C11" s="576"/>
      <c r="D11" s="576"/>
      <c r="E11" s="576"/>
      <c r="F11" s="576"/>
      <c r="G11" s="576"/>
      <c r="H11" s="204"/>
      <c r="I11" s="205"/>
      <c r="J11" s="201"/>
      <c r="K11" s="205"/>
      <c r="L11" s="201"/>
      <c r="M11" s="205"/>
      <c r="N11" s="201"/>
      <c r="O11" s="201"/>
      <c r="P11" s="201"/>
      <c r="Q11" s="201"/>
      <c r="R11" s="201"/>
      <c r="S11" s="201"/>
      <c r="T11" s="201"/>
      <c r="U11" s="201"/>
      <c r="V11" s="201"/>
      <c r="W11" s="201"/>
      <c r="X11" s="201"/>
      <c r="Y11" s="201"/>
      <c r="Z11" s="202"/>
      <c r="AA11" s="241"/>
    </row>
    <row r="12" spans="1:39" ht="13.5" customHeight="1">
      <c r="A12" s="244" t="s">
        <v>59</v>
      </c>
      <c r="B12" s="206">
        <v>43104</v>
      </c>
      <c r="C12" s="207"/>
      <c r="D12" s="207"/>
      <c r="E12" s="207"/>
      <c r="F12" s="207"/>
      <c r="G12" s="208"/>
      <c r="H12" s="204"/>
      <c r="I12" s="205"/>
      <c r="J12" s="201"/>
      <c r="K12" s="205"/>
      <c r="L12" s="201"/>
      <c r="M12" s="205"/>
      <c r="N12" s="201"/>
      <c r="O12" s="201"/>
      <c r="P12" s="201"/>
      <c r="Q12" s="201"/>
      <c r="R12" s="201"/>
      <c r="S12" s="201"/>
      <c r="T12" s="201"/>
      <c r="U12" s="201"/>
      <c r="V12" s="201"/>
      <c r="W12" s="201"/>
      <c r="X12" s="201"/>
      <c r="Y12" s="201"/>
      <c r="Z12" s="202"/>
      <c r="AA12" s="241"/>
    </row>
    <row r="13" spans="1:39" ht="13.5" customHeight="1">
      <c r="A13" s="245" t="s">
        <v>56</v>
      </c>
      <c r="B13" s="209"/>
      <c r="C13" s="207"/>
      <c r="D13" s="207"/>
      <c r="E13" s="207"/>
      <c r="F13" s="207"/>
      <c r="G13" s="208"/>
      <c r="H13" s="210"/>
      <c r="I13" s="211"/>
      <c r="J13" s="212"/>
      <c r="K13" s="211"/>
      <c r="L13" s="212"/>
      <c r="M13" s="211"/>
      <c r="N13" s="212"/>
      <c r="O13" s="212"/>
      <c r="P13" s="212"/>
      <c r="Q13" s="212"/>
      <c r="R13" s="212"/>
      <c r="S13" s="212"/>
      <c r="T13" s="212"/>
      <c r="U13" s="212"/>
      <c r="V13" s="212"/>
      <c r="W13" s="212"/>
      <c r="X13" s="212"/>
      <c r="Y13" s="212"/>
      <c r="Z13" s="214"/>
      <c r="AA13" s="246"/>
    </row>
    <row r="14" spans="1:39" ht="28.5" customHeight="1">
      <c r="A14" s="247" t="s">
        <v>89</v>
      </c>
      <c r="B14" s="215">
        <f>B42</f>
        <v>550166852</v>
      </c>
      <c r="C14" s="216"/>
      <c r="D14" s="211"/>
      <c r="E14" s="211"/>
      <c r="F14" s="211"/>
      <c r="G14" s="213"/>
      <c r="H14" s="217"/>
      <c r="I14" s="218"/>
      <c r="J14" s="219"/>
      <c r="K14" s="220"/>
      <c r="L14" s="221"/>
      <c r="M14" s="222"/>
      <c r="N14" s="223" t="s">
        <v>57</v>
      </c>
      <c r="O14" s="224" t="s">
        <v>21</v>
      </c>
      <c r="P14" s="224" t="s">
        <v>20</v>
      </c>
      <c r="Q14" s="224" t="s">
        <v>19</v>
      </c>
      <c r="R14" s="224" t="s">
        <v>18</v>
      </c>
      <c r="S14" s="224" t="s">
        <v>10</v>
      </c>
      <c r="T14" s="224" t="s">
        <v>11</v>
      </c>
      <c r="U14" s="224" t="s">
        <v>12</v>
      </c>
      <c r="V14" s="224" t="s">
        <v>13</v>
      </c>
      <c r="W14" s="224" t="s">
        <v>14</v>
      </c>
      <c r="X14" s="224" t="s">
        <v>15</v>
      </c>
      <c r="Y14" s="225" t="s">
        <v>16</v>
      </c>
      <c r="Z14" s="226" t="s">
        <v>17</v>
      </c>
      <c r="AA14" s="248" t="s">
        <v>9</v>
      </c>
    </row>
    <row r="15" spans="1:39" ht="43.5" customHeight="1">
      <c r="A15" s="249" t="s">
        <v>22</v>
      </c>
      <c r="B15" s="228" t="s">
        <v>0</v>
      </c>
      <c r="C15" s="229" t="s">
        <v>2</v>
      </c>
      <c r="D15" s="227" t="s">
        <v>1</v>
      </c>
      <c r="E15" s="227" t="s">
        <v>61</v>
      </c>
      <c r="F15" s="227" t="s">
        <v>172</v>
      </c>
      <c r="G15" s="227" t="s">
        <v>3</v>
      </c>
      <c r="H15" s="230" t="s">
        <v>63</v>
      </c>
      <c r="I15" s="231" t="s">
        <v>4</v>
      </c>
      <c r="J15" s="232" t="s">
        <v>5</v>
      </c>
      <c r="K15" s="232" t="s">
        <v>6</v>
      </c>
      <c r="L15" s="232" t="s">
        <v>5</v>
      </c>
      <c r="M15" s="233" t="s">
        <v>62</v>
      </c>
      <c r="N15" s="234" t="s">
        <v>7</v>
      </c>
      <c r="O15" s="235" t="s">
        <v>7</v>
      </c>
      <c r="P15" s="235" t="s">
        <v>7</v>
      </c>
      <c r="Q15" s="235" t="s">
        <v>7</v>
      </c>
      <c r="R15" s="235" t="s">
        <v>7</v>
      </c>
      <c r="S15" s="235" t="s">
        <v>7</v>
      </c>
      <c r="T15" s="235" t="s">
        <v>7</v>
      </c>
      <c r="U15" s="235" t="s">
        <v>7</v>
      </c>
      <c r="V15" s="235" t="s">
        <v>7</v>
      </c>
      <c r="W15" s="235" t="s">
        <v>7</v>
      </c>
      <c r="X15" s="235" t="s">
        <v>7</v>
      </c>
      <c r="Y15" s="236" t="s">
        <v>7</v>
      </c>
      <c r="Z15" s="237" t="s">
        <v>8</v>
      </c>
      <c r="AA15" s="250"/>
      <c r="AC15" s="235" t="s">
        <v>188</v>
      </c>
      <c r="AD15" s="235" t="s">
        <v>189</v>
      </c>
      <c r="AE15" s="235" t="s">
        <v>167</v>
      </c>
      <c r="AF15" s="236" t="s">
        <v>190</v>
      </c>
      <c r="AG15" s="234" t="s">
        <v>168</v>
      </c>
      <c r="AH15" s="235" t="s">
        <v>167</v>
      </c>
      <c r="AI15" s="235" t="s">
        <v>190</v>
      </c>
      <c r="AJ15" s="235" t="s">
        <v>191</v>
      </c>
      <c r="AK15" s="235" t="s">
        <v>192</v>
      </c>
      <c r="AL15" s="235" t="s">
        <v>193</v>
      </c>
      <c r="AM15" s="235" t="s">
        <v>194</v>
      </c>
    </row>
    <row r="16" spans="1:39" s="112" customFormat="1" ht="110.25" customHeight="1">
      <c r="A16" s="252" t="s">
        <v>77</v>
      </c>
      <c r="B16" s="52">
        <f>480000000-29833148</f>
        <v>450166852</v>
      </c>
      <c r="C16" s="88" t="s">
        <v>78</v>
      </c>
      <c r="D16" s="88" t="s">
        <v>79</v>
      </c>
      <c r="E16" s="88" t="s">
        <v>80</v>
      </c>
      <c r="F16" s="88" t="s">
        <v>87</v>
      </c>
      <c r="G16" s="88" t="s">
        <v>81</v>
      </c>
      <c r="H16" s="65"/>
      <c r="I16" s="50"/>
      <c r="J16" s="51"/>
      <c r="K16" s="51"/>
      <c r="L16" s="51"/>
      <c r="M16" s="48"/>
      <c r="N16" s="74"/>
      <c r="O16" s="47"/>
      <c r="P16" s="47"/>
      <c r="Q16" s="47"/>
      <c r="R16" s="47"/>
      <c r="S16" s="47"/>
      <c r="T16" s="47"/>
      <c r="U16" s="47"/>
      <c r="V16" s="47"/>
      <c r="W16" s="47"/>
      <c r="X16" s="47"/>
      <c r="Y16" s="48"/>
      <c r="Z16" s="75">
        <f t="shared" ref="Z16:Z29" si="0">SUM(N16:Y16)</f>
        <v>0</v>
      </c>
      <c r="AA16" s="251">
        <f t="shared" ref="AA16:AA29" si="1">L16-Z16</f>
        <v>0</v>
      </c>
      <c r="AC16" s="196"/>
      <c r="AD16" s="167">
        <f t="shared" ref="AD16:AD29" si="2">I16</f>
        <v>0</v>
      </c>
      <c r="AE16" s="111">
        <f t="shared" ref="AE16:AE29" si="3">J16</f>
        <v>0</v>
      </c>
      <c r="AF16" s="197"/>
      <c r="AG16" s="109">
        <f t="shared" ref="AG16:AG29" si="4">K16</f>
        <v>0</v>
      </c>
      <c r="AH16" s="111">
        <f t="shared" ref="AH16:AH29" si="5">L16</f>
        <v>0</v>
      </c>
      <c r="AI16" s="167"/>
      <c r="AJ16" s="88"/>
      <c r="AK16" s="111">
        <f>M16</f>
        <v>0</v>
      </c>
      <c r="AL16" s="111"/>
      <c r="AM16" s="101">
        <f>AE16-AH16</f>
        <v>0</v>
      </c>
    </row>
    <row r="17" spans="1:39" s="112" customFormat="1" ht="108.75" customHeight="1">
      <c r="A17" s="254" t="s">
        <v>77</v>
      </c>
      <c r="B17" s="92">
        <f t="shared" ref="B17:B28" si="6">J17</f>
        <v>51977683</v>
      </c>
      <c r="C17" s="88" t="s">
        <v>78</v>
      </c>
      <c r="D17" s="88" t="s">
        <v>79</v>
      </c>
      <c r="E17" s="88" t="s">
        <v>80</v>
      </c>
      <c r="F17" s="88" t="s">
        <v>87</v>
      </c>
      <c r="G17" s="88" t="s">
        <v>81</v>
      </c>
      <c r="H17" s="64">
        <v>47</v>
      </c>
      <c r="I17" s="61">
        <v>31</v>
      </c>
      <c r="J17" s="62">
        <f>53770764-1793081</f>
        <v>51977683</v>
      </c>
      <c r="K17" s="62" t="s">
        <v>1223</v>
      </c>
      <c r="L17" s="62">
        <f>52280762-303079</f>
        <v>51977683</v>
      </c>
      <c r="M17" s="63">
        <v>27</v>
      </c>
      <c r="N17" s="74"/>
      <c r="O17" s="47"/>
      <c r="P17" s="68">
        <v>6516153</v>
      </c>
      <c r="Q17" s="68">
        <v>4546153</v>
      </c>
      <c r="R17" s="68">
        <v>4546153</v>
      </c>
      <c r="S17" s="68">
        <v>4546153</v>
      </c>
      <c r="T17" s="68">
        <v>4546153</v>
      </c>
      <c r="U17" s="68">
        <v>4546153</v>
      </c>
      <c r="V17" s="68">
        <f>4546153</f>
        <v>4546153</v>
      </c>
      <c r="W17" s="68">
        <v>4546153</v>
      </c>
      <c r="X17" s="68">
        <f>4546153</f>
        <v>4546153</v>
      </c>
      <c r="Y17" s="63">
        <f>4546153+4546153</f>
        <v>9092306</v>
      </c>
      <c r="Z17" s="75">
        <f t="shared" si="0"/>
        <v>51977683</v>
      </c>
      <c r="AA17" s="251">
        <f t="shared" si="1"/>
        <v>0</v>
      </c>
      <c r="AC17" s="83" t="s">
        <v>195</v>
      </c>
      <c r="AD17" s="167">
        <f t="shared" si="2"/>
        <v>31</v>
      </c>
      <c r="AE17" s="111">
        <f t="shared" si="3"/>
        <v>51977683</v>
      </c>
      <c r="AF17" s="198">
        <v>42747</v>
      </c>
      <c r="AG17" s="109" t="str">
        <f t="shared" si="4"/>
        <v>69-70</v>
      </c>
      <c r="AH17" s="111">
        <f t="shared" si="5"/>
        <v>51977683</v>
      </c>
      <c r="AI17" s="199">
        <v>42753</v>
      </c>
      <c r="AJ17" s="88" t="s">
        <v>296</v>
      </c>
      <c r="AK17" s="111">
        <f t="shared" ref="AK17:AK40" si="7">M17</f>
        <v>27</v>
      </c>
      <c r="AL17" s="111">
        <v>52730079</v>
      </c>
      <c r="AM17" s="101">
        <f t="shared" ref="AM17:AM40" si="8">AE17-AH17</f>
        <v>0</v>
      </c>
    </row>
    <row r="18" spans="1:39" s="112" customFormat="1" ht="105" customHeight="1">
      <c r="A18" s="254" t="s">
        <v>77</v>
      </c>
      <c r="B18" s="92">
        <f t="shared" si="6"/>
        <v>40166707</v>
      </c>
      <c r="C18" s="88" t="s">
        <v>78</v>
      </c>
      <c r="D18" s="88" t="s">
        <v>79</v>
      </c>
      <c r="E18" s="88" t="s">
        <v>80</v>
      </c>
      <c r="F18" s="88" t="s">
        <v>87</v>
      </c>
      <c r="G18" s="88" t="s">
        <v>81</v>
      </c>
      <c r="H18" s="64">
        <v>44</v>
      </c>
      <c r="I18" s="61">
        <v>52</v>
      </c>
      <c r="J18" s="62">
        <f>42810202-2643495</f>
        <v>40166707</v>
      </c>
      <c r="K18" s="62" t="s">
        <v>1224</v>
      </c>
      <c r="L18" s="62">
        <f>40784707+2025495-2025495-618000</f>
        <v>40166707</v>
      </c>
      <c r="M18" s="63">
        <v>35</v>
      </c>
      <c r="N18" s="76"/>
      <c r="O18" s="51"/>
      <c r="P18" s="62"/>
      <c r="Q18" s="62"/>
      <c r="R18" s="62"/>
      <c r="S18" s="62"/>
      <c r="T18" s="62"/>
      <c r="U18" s="62">
        <f>12360000-3093293</f>
        <v>9266707</v>
      </c>
      <c r="V18" s="62">
        <v>6180000</v>
      </c>
      <c r="W18" s="62">
        <f>6180000</f>
        <v>6180000</v>
      </c>
      <c r="X18" s="62">
        <f>6180000</f>
        <v>6180000</v>
      </c>
      <c r="Y18" s="79">
        <f>6180000</f>
        <v>6180000</v>
      </c>
      <c r="Z18" s="75">
        <f t="shared" si="0"/>
        <v>33986707</v>
      </c>
      <c r="AA18" s="251">
        <f t="shared" si="1"/>
        <v>6180000</v>
      </c>
      <c r="AC18" s="83" t="s">
        <v>196</v>
      </c>
      <c r="AD18" s="167">
        <f t="shared" si="2"/>
        <v>52</v>
      </c>
      <c r="AE18" s="111">
        <f t="shared" si="3"/>
        <v>40166707</v>
      </c>
      <c r="AF18" s="198">
        <v>42752</v>
      </c>
      <c r="AG18" s="109" t="str">
        <f t="shared" si="4"/>
        <v>90-91</v>
      </c>
      <c r="AH18" s="111">
        <f t="shared" si="5"/>
        <v>40166707</v>
      </c>
      <c r="AI18" s="199">
        <v>42754</v>
      </c>
      <c r="AJ18" s="88" t="s">
        <v>297</v>
      </c>
      <c r="AK18" s="111">
        <f t="shared" si="7"/>
        <v>35</v>
      </c>
      <c r="AL18" s="111">
        <v>31578028</v>
      </c>
      <c r="AM18" s="101">
        <f t="shared" si="8"/>
        <v>0</v>
      </c>
    </row>
    <row r="19" spans="1:39" s="112" customFormat="1" ht="104.25" customHeight="1">
      <c r="A19" s="254" t="s">
        <v>77</v>
      </c>
      <c r="B19" s="92">
        <f t="shared" si="6"/>
        <v>25000000</v>
      </c>
      <c r="C19" s="88" t="s">
        <v>78</v>
      </c>
      <c r="D19" s="88" t="s">
        <v>79</v>
      </c>
      <c r="E19" s="88" t="s">
        <v>80</v>
      </c>
      <c r="F19" s="88" t="s">
        <v>87</v>
      </c>
      <c r="G19" s="88" t="s">
        <v>81</v>
      </c>
      <c r="H19" s="64">
        <v>50</v>
      </c>
      <c r="I19" s="61">
        <v>103</v>
      </c>
      <c r="J19" s="62">
        <f>25712500-712500</f>
        <v>25000000</v>
      </c>
      <c r="K19" s="62" t="s">
        <v>1225</v>
      </c>
      <c r="L19" s="62">
        <f>25000000+712500-712500</f>
        <v>25000000</v>
      </c>
      <c r="M19" s="63">
        <v>111</v>
      </c>
      <c r="N19" s="76"/>
      <c r="O19" s="51"/>
      <c r="P19" s="62">
        <v>2083333</v>
      </c>
      <c r="Q19" s="62">
        <v>2500000</v>
      </c>
      <c r="R19" s="62">
        <v>2500000</v>
      </c>
      <c r="S19" s="62">
        <f>2500000</f>
        <v>2500000</v>
      </c>
      <c r="T19" s="62"/>
      <c r="U19" s="62">
        <f>1833333+3166667</f>
        <v>5000000</v>
      </c>
      <c r="V19" s="62">
        <f t="shared" ref="V19:W23" si="9">2500000</f>
        <v>2500000</v>
      </c>
      <c r="W19" s="62">
        <f t="shared" si="9"/>
        <v>2500000</v>
      </c>
      <c r="X19" s="62">
        <f>2500000</f>
        <v>2500000</v>
      </c>
      <c r="Y19" s="79">
        <f>2500000+416667</f>
        <v>2916667</v>
      </c>
      <c r="Z19" s="75">
        <f t="shared" si="0"/>
        <v>25000000</v>
      </c>
      <c r="AA19" s="251">
        <f t="shared" si="1"/>
        <v>0</v>
      </c>
      <c r="AC19" s="83" t="s">
        <v>197</v>
      </c>
      <c r="AD19" s="167">
        <f t="shared" si="2"/>
        <v>103</v>
      </c>
      <c r="AE19" s="111">
        <f t="shared" si="3"/>
        <v>25000000</v>
      </c>
      <c r="AF19" s="198">
        <v>42761</v>
      </c>
      <c r="AG19" s="109" t="str">
        <f t="shared" si="4"/>
        <v>252-253</v>
      </c>
      <c r="AH19" s="111">
        <f t="shared" si="5"/>
        <v>25000000</v>
      </c>
      <c r="AI19" s="199">
        <v>42772</v>
      </c>
      <c r="AJ19" s="88" t="s">
        <v>380</v>
      </c>
      <c r="AK19" s="111">
        <v>111</v>
      </c>
      <c r="AL19" s="111">
        <v>1121838353</v>
      </c>
      <c r="AM19" s="101">
        <f t="shared" si="8"/>
        <v>0</v>
      </c>
    </row>
    <row r="20" spans="1:39" s="112" customFormat="1" ht="106.5" customHeight="1">
      <c r="A20" s="254" t="s">
        <v>77</v>
      </c>
      <c r="B20" s="92">
        <f t="shared" si="6"/>
        <v>25000000</v>
      </c>
      <c r="C20" s="88" t="s">
        <v>78</v>
      </c>
      <c r="D20" s="88" t="s">
        <v>79</v>
      </c>
      <c r="E20" s="88" t="s">
        <v>80</v>
      </c>
      <c r="F20" s="88" t="s">
        <v>87</v>
      </c>
      <c r="G20" s="88" t="s">
        <v>81</v>
      </c>
      <c r="H20" s="64">
        <v>51</v>
      </c>
      <c r="I20" s="61">
        <v>104</v>
      </c>
      <c r="J20" s="62">
        <f>25712500-712500</f>
        <v>25000000</v>
      </c>
      <c r="K20" s="62" t="s">
        <v>1226</v>
      </c>
      <c r="L20" s="62">
        <f>25000000+712500-712500</f>
        <v>25000000</v>
      </c>
      <c r="M20" s="63">
        <v>87</v>
      </c>
      <c r="N20" s="76"/>
      <c r="O20" s="51"/>
      <c r="P20" s="62">
        <v>2500000</v>
      </c>
      <c r="Q20" s="62">
        <v>2500000</v>
      </c>
      <c r="R20" s="62">
        <f>2500000</f>
        <v>2500000</v>
      </c>
      <c r="S20" s="62">
        <f>2500000</f>
        <v>2500000</v>
      </c>
      <c r="T20" s="62">
        <v>2500000</v>
      </c>
      <c r="U20" s="62">
        <v>2500000</v>
      </c>
      <c r="V20" s="62">
        <f t="shared" si="9"/>
        <v>2500000</v>
      </c>
      <c r="W20" s="62">
        <f t="shared" si="9"/>
        <v>2500000</v>
      </c>
      <c r="X20" s="62">
        <f>2500000</f>
        <v>2500000</v>
      </c>
      <c r="Y20" s="79">
        <f>2500000</f>
        <v>2500000</v>
      </c>
      <c r="Z20" s="75">
        <f t="shared" si="0"/>
        <v>25000000</v>
      </c>
      <c r="AA20" s="251">
        <f t="shared" si="1"/>
        <v>0</v>
      </c>
      <c r="AC20" s="83" t="s">
        <v>197</v>
      </c>
      <c r="AD20" s="167">
        <f t="shared" si="2"/>
        <v>104</v>
      </c>
      <c r="AE20" s="111">
        <f t="shared" si="3"/>
        <v>25000000</v>
      </c>
      <c r="AF20" s="198">
        <v>42761</v>
      </c>
      <c r="AG20" s="109" t="str">
        <f t="shared" si="4"/>
        <v>217-218</v>
      </c>
      <c r="AH20" s="111">
        <f t="shared" si="5"/>
        <v>25000000</v>
      </c>
      <c r="AI20" s="199">
        <v>42767</v>
      </c>
      <c r="AJ20" s="88" t="s">
        <v>381</v>
      </c>
      <c r="AK20" s="111">
        <f t="shared" si="7"/>
        <v>87</v>
      </c>
      <c r="AL20" s="111">
        <v>1020714197</v>
      </c>
      <c r="AM20" s="101">
        <f t="shared" si="8"/>
        <v>0</v>
      </c>
    </row>
    <row r="21" spans="1:39" s="112" customFormat="1" ht="106.5" customHeight="1">
      <c r="A21" s="254" t="s">
        <v>77</v>
      </c>
      <c r="B21" s="92">
        <f t="shared" si="6"/>
        <v>25000000</v>
      </c>
      <c r="C21" s="88" t="s">
        <v>78</v>
      </c>
      <c r="D21" s="88" t="s">
        <v>79</v>
      </c>
      <c r="E21" s="88" t="s">
        <v>80</v>
      </c>
      <c r="F21" s="88" t="s">
        <v>87</v>
      </c>
      <c r="G21" s="88" t="s">
        <v>81</v>
      </c>
      <c r="H21" s="64">
        <v>52</v>
      </c>
      <c r="I21" s="61">
        <v>105</v>
      </c>
      <c r="J21" s="62">
        <f>25712500-712500</f>
        <v>25000000</v>
      </c>
      <c r="K21" s="62" t="s">
        <v>1227</v>
      </c>
      <c r="L21" s="62">
        <f>25000000+712500-712500</f>
        <v>25000000</v>
      </c>
      <c r="M21" s="63">
        <v>112</v>
      </c>
      <c r="N21" s="76"/>
      <c r="O21" s="51"/>
      <c r="P21" s="62">
        <v>2083333</v>
      </c>
      <c r="Q21" s="62">
        <v>2500000</v>
      </c>
      <c r="R21" s="62">
        <f>2500000</f>
        <v>2500000</v>
      </c>
      <c r="S21" s="62"/>
      <c r="T21" s="62">
        <v>3583333</v>
      </c>
      <c r="U21" s="62">
        <f>2500000+1416667</f>
        <v>3916667</v>
      </c>
      <c r="V21" s="62">
        <f t="shared" si="9"/>
        <v>2500000</v>
      </c>
      <c r="W21" s="62">
        <f t="shared" si="9"/>
        <v>2500000</v>
      </c>
      <c r="X21" s="62">
        <f>2500000</f>
        <v>2500000</v>
      </c>
      <c r="Y21" s="95">
        <f>2500000+416667</f>
        <v>2916667</v>
      </c>
      <c r="Z21" s="75">
        <f t="shared" si="0"/>
        <v>25000000</v>
      </c>
      <c r="AA21" s="251">
        <f t="shared" si="1"/>
        <v>0</v>
      </c>
      <c r="AC21" s="83" t="s">
        <v>197</v>
      </c>
      <c r="AD21" s="167">
        <f t="shared" si="2"/>
        <v>105</v>
      </c>
      <c r="AE21" s="111">
        <f t="shared" si="3"/>
        <v>25000000</v>
      </c>
      <c r="AF21" s="198">
        <v>42761</v>
      </c>
      <c r="AG21" s="109" t="str">
        <f t="shared" si="4"/>
        <v>254-255</v>
      </c>
      <c r="AH21" s="111">
        <f t="shared" si="5"/>
        <v>25000000</v>
      </c>
      <c r="AI21" s="199">
        <v>42772</v>
      </c>
      <c r="AJ21" s="88" t="s">
        <v>382</v>
      </c>
      <c r="AK21" s="111">
        <f t="shared" si="7"/>
        <v>112</v>
      </c>
      <c r="AL21" s="111">
        <v>79957674</v>
      </c>
      <c r="AM21" s="101">
        <f t="shared" si="8"/>
        <v>0</v>
      </c>
    </row>
    <row r="22" spans="1:39" s="112" customFormat="1" ht="106.5" customHeight="1">
      <c r="A22" s="254" t="s">
        <v>77</v>
      </c>
      <c r="B22" s="92">
        <f t="shared" si="6"/>
        <v>25000000</v>
      </c>
      <c r="C22" s="88" t="s">
        <v>78</v>
      </c>
      <c r="D22" s="88" t="s">
        <v>79</v>
      </c>
      <c r="E22" s="88" t="s">
        <v>80</v>
      </c>
      <c r="F22" s="88" t="s">
        <v>87</v>
      </c>
      <c r="G22" s="88" t="s">
        <v>81</v>
      </c>
      <c r="H22" s="64">
        <v>53</v>
      </c>
      <c r="I22" s="61">
        <v>106</v>
      </c>
      <c r="J22" s="62">
        <f>25712500-712500</f>
        <v>25000000</v>
      </c>
      <c r="K22" s="62" t="s">
        <v>1228</v>
      </c>
      <c r="L22" s="62">
        <f>25000000+712500-712500</f>
        <v>25000000</v>
      </c>
      <c r="M22" s="63">
        <v>84</v>
      </c>
      <c r="N22" s="76"/>
      <c r="O22" s="51"/>
      <c r="P22" s="62">
        <v>2500000</v>
      </c>
      <c r="Q22" s="62">
        <v>2500000</v>
      </c>
      <c r="R22" s="62">
        <f>2500000</f>
        <v>2500000</v>
      </c>
      <c r="S22" s="62">
        <f>2500000</f>
        <v>2500000</v>
      </c>
      <c r="T22" s="62">
        <f>2500000</f>
        <v>2500000</v>
      </c>
      <c r="U22" s="62">
        <v>2500000</v>
      </c>
      <c r="V22" s="62">
        <f t="shared" si="9"/>
        <v>2500000</v>
      </c>
      <c r="W22" s="62">
        <f t="shared" si="9"/>
        <v>2500000</v>
      </c>
      <c r="X22" s="62">
        <f>2500000</f>
        <v>2500000</v>
      </c>
      <c r="Y22" s="95">
        <f>2500000</f>
        <v>2500000</v>
      </c>
      <c r="Z22" s="75">
        <f t="shared" si="0"/>
        <v>25000000</v>
      </c>
      <c r="AA22" s="251">
        <f t="shared" si="1"/>
        <v>0</v>
      </c>
      <c r="AC22" s="83" t="s">
        <v>197</v>
      </c>
      <c r="AD22" s="167">
        <f t="shared" si="2"/>
        <v>106</v>
      </c>
      <c r="AE22" s="111">
        <f t="shared" si="3"/>
        <v>25000000</v>
      </c>
      <c r="AF22" s="198">
        <v>42761</v>
      </c>
      <c r="AG22" s="109" t="str">
        <f t="shared" si="4"/>
        <v>215-216</v>
      </c>
      <c r="AH22" s="111">
        <f t="shared" si="5"/>
        <v>25000000</v>
      </c>
      <c r="AI22" s="199">
        <v>42767</v>
      </c>
      <c r="AJ22" s="88" t="s">
        <v>383</v>
      </c>
      <c r="AK22" s="111">
        <f t="shared" si="7"/>
        <v>84</v>
      </c>
      <c r="AL22" s="111">
        <v>40046895</v>
      </c>
      <c r="AM22" s="101">
        <f t="shared" si="8"/>
        <v>0</v>
      </c>
    </row>
    <row r="23" spans="1:39" s="112" customFormat="1" ht="106.5" customHeight="1">
      <c r="A23" s="254" t="s">
        <v>77</v>
      </c>
      <c r="B23" s="92">
        <f t="shared" si="6"/>
        <v>25000000</v>
      </c>
      <c r="C23" s="88" t="s">
        <v>78</v>
      </c>
      <c r="D23" s="88" t="s">
        <v>79</v>
      </c>
      <c r="E23" s="88" t="s">
        <v>80</v>
      </c>
      <c r="F23" s="88" t="s">
        <v>87</v>
      </c>
      <c r="G23" s="88" t="s">
        <v>81</v>
      </c>
      <c r="H23" s="64">
        <v>54</v>
      </c>
      <c r="I23" s="61">
        <v>107</v>
      </c>
      <c r="J23" s="62">
        <f>25712500-712500</f>
        <v>25000000</v>
      </c>
      <c r="K23" s="62" t="s">
        <v>1229</v>
      </c>
      <c r="L23" s="62">
        <f>25000000+712500-712500</f>
        <v>25000000</v>
      </c>
      <c r="M23" s="63">
        <v>103</v>
      </c>
      <c r="N23" s="76"/>
      <c r="O23" s="51"/>
      <c r="P23" s="62">
        <v>2333333</v>
      </c>
      <c r="Q23" s="62">
        <v>2500000</v>
      </c>
      <c r="R23" s="62">
        <f>2500000</f>
        <v>2500000</v>
      </c>
      <c r="S23" s="62">
        <v>2500000</v>
      </c>
      <c r="T23" s="62">
        <v>2500000</v>
      </c>
      <c r="U23" s="62">
        <f>2500000</f>
        <v>2500000</v>
      </c>
      <c r="V23" s="62">
        <f t="shared" si="9"/>
        <v>2500000</v>
      </c>
      <c r="W23" s="62">
        <f t="shared" si="9"/>
        <v>2500000</v>
      </c>
      <c r="X23" s="62">
        <f>2500000</f>
        <v>2500000</v>
      </c>
      <c r="Y23" s="95">
        <f>2500000+166667</f>
        <v>2666667</v>
      </c>
      <c r="Z23" s="75">
        <f t="shared" si="0"/>
        <v>25000000</v>
      </c>
      <c r="AA23" s="251">
        <f t="shared" si="1"/>
        <v>0</v>
      </c>
      <c r="AC23" s="83" t="s">
        <v>197</v>
      </c>
      <c r="AD23" s="167">
        <f t="shared" si="2"/>
        <v>107</v>
      </c>
      <c r="AE23" s="111">
        <f t="shared" si="3"/>
        <v>25000000</v>
      </c>
      <c r="AF23" s="198">
        <v>42761</v>
      </c>
      <c r="AG23" s="109" t="str">
        <f t="shared" si="4"/>
        <v>233-234</v>
      </c>
      <c r="AH23" s="111">
        <f t="shared" si="5"/>
        <v>25000000</v>
      </c>
      <c r="AI23" s="199">
        <v>42769</v>
      </c>
      <c r="AJ23" s="88" t="s">
        <v>384</v>
      </c>
      <c r="AK23" s="111">
        <f t="shared" si="7"/>
        <v>103</v>
      </c>
      <c r="AL23" s="111">
        <v>52528360</v>
      </c>
      <c r="AM23" s="101">
        <f t="shared" si="8"/>
        <v>0</v>
      </c>
    </row>
    <row r="24" spans="1:39" s="112" customFormat="1" ht="106.5" customHeight="1">
      <c r="A24" s="254" t="s">
        <v>77</v>
      </c>
      <c r="B24" s="92">
        <f t="shared" si="6"/>
        <v>64000000</v>
      </c>
      <c r="C24" s="88" t="s">
        <v>78</v>
      </c>
      <c r="D24" s="88" t="s">
        <v>79</v>
      </c>
      <c r="E24" s="88" t="s">
        <v>80</v>
      </c>
      <c r="F24" s="88" t="s">
        <v>87</v>
      </c>
      <c r="G24" s="88" t="s">
        <v>81</v>
      </c>
      <c r="H24" s="64">
        <v>45</v>
      </c>
      <c r="I24" s="61">
        <v>202</v>
      </c>
      <c r="J24" s="62">
        <v>64000000</v>
      </c>
      <c r="K24" s="62">
        <v>353</v>
      </c>
      <c r="L24" s="62">
        <v>64000000</v>
      </c>
      <c r="M24" s="63">
        <v>162</v>
      </c>
      <c r="N24" s="76"/>
      <c r="O24" s="51"/>
      <c r="P24" s="62"/>
      <c r="Q24" s="62">
        <v>5600000</v>
      </c>
      <c r="R24" s="62">
        <f>8000000</f>
        <v>8000000</v>
      </c>
      <c r="S24" s="62">
        <f>8000000</f>
        <v>8000000</v>
      </c>
      <c r="T24" s="62">
        <v>8000000</v>
      </c>
      <c r="U24" s="62">
        <v>8000000</v>
      </c>
      <c r="V24" s="62">
        <f>8000000</f>
        <v>8000000</v>
      </c>
      <c r="W24" s="62">
        <f>8000000</f>
        <v>8000000</v>
      </c>
      <c r="X24" s="62">
        <f>8000000</f>
        <v>8000000</v>
      </c>
      <c r="Y24" s="95"/>
      <c r="Z24" s="75">
        <f t="shared" si="0"/>
        <v>61600000</v>
      </c>
      <c r="AA24" s="251">
        <f t="shared" si="1"/>
        <v>2400000</v>
      </c>
      <c r="AC24" s="83" t="s">
        <v>460</v>
      </c>
      <c r="AD24" s="167">
        <f t="shared" si="2"/>
        <v>202</v>
      </c>
      <c r="AE24" s="111">
        <f t="shared" si="3"/>
        <v>64000000</v>
      </c>
      <c r="AF24" s="198">
        <v>42794</v>
      </c>
      <c r="AG24" s="109">
        <f t="shared" si="4"/>
        <v>353</v>
      </c>
      <c r="AH24" s="111">
        <f t="shared" si="5"/>
        <v>64000000</v>
      </c>
      <c r="AI24" s="199">
        <v>42804</v>
      </c>
      <c r="AJ24" s="88" t="s">
        <v>506</v>
      </c>
      <c r="AK24" s="111">
        <f t="shared" si="7"/>
        <v>162</v>
      </c>
      <c r="AL24" s="111">
        <v>39689918</v>
      </c>
      <c r="AM24" s="101">
        <f t="shared" si="8"/>
        <v>0</v>
      </c>
    </row>
    <row r="25" spans="1:39" s="112" customFormat="1" ht="106.5" customHeight="1">
      <c r="A25" s="254" t="s">
        <v>77</v>
      </c>
      <c r="B25" s="92">
        <f t="shared" si="6"/>
        <v>32288253</v>
      </c>
      <c r="C25" s="88" t="s">
        <v>78</v>
      </c>
      <c r="D25" s="88" t="s">
        <v>79</v>
      </c>
      <c r="E25" s="88" t="s">
        <v>80</v>
      </c>
      <c r="F25" s="88" t="s">
        <v>87</v>
      </c>
      <c r="G25" s="88" t="s">
        <v>81</v>
      </c>
      <c r="H25" s="64">
        <v>49</v>
      </c>
      <c r="I25" s="61" t="s">
        <v>1230</v>
      </c>
      <c r="J25" s="62">
        <f>32288396-32288396+32288396-143</f>
        <v>32288253</v>
      </c>
      <c r="K25" s="62">
        <v>742</v>
      </c>
      <c r="L25" s="62">
        <f>32288253</f>
        <v>32288253</v>
      </c>
      <c r="M25" s="63">
        <v>305</v>
      </c>
      <c r="N25" s="76"/>
      <c r="O25" s="51"/>
      <c r="P25" s="62"/>
      <c r="Q25" s="62"/>
      <c r="R25" s="62"/>
      <c r="S25" s="62"/>
      <c r="T25" s="62"/>
      <c r="U25" s="62"/>
      <c r="V25" s="62"/>
      <c r="W25" s="62">
        <f>32288253</f>
        <v>32288253</v>
      </c>
      <c r="X25" s="62"/>
      <c r="Y25" s="95"/>
      <c r="Z25" s="75">
        <f t="shared" si="0"/>
        <v>32288253</v>
      </c>
      <c r="AA25" s="251">
        <f t="shared" si="1"/>
        <v>0</v>
      </c>
      <c r="AC25" s="83" t="s">
        <v>479</v>
      </c>
      <c r="AD25" s="167" t="str">
        <f t="shared" si="2"/>
        <v>203-367</v>
      </c>
      <c r="AE25" s="111">
        <f t="shared" si="3"/>
        <v>32288253</v>
      </c>
      <c r="AF25" s="198">
        <v>42794</v>
      </c>
      <c r="AG25" s="109">
        <f t="shared" si="4"/>
        <v>742</v>
      </c>
      <c r="AH25" s="111">
        <f t="shared" si="5"/>
        <v>32288253</v>
      </c>
      <c r="AI25" s="199">
        <v>42978</v>
      </c>
      <c r="AJ25" s="88" t="s">
        <v>738</v>
      </c>
      <c r="AK25" s="111">
        <f t="shared" si="7"/>
        <v>305</v>
      </c>
      <c r="AL25" s="111"/>
      <c r="AM25" s="101">
        <f t="shared" si="8"/>
        <v>0</v>
      </c>
    </row>
    <row r="26" spans="1:39" s="112" customFormat="1" ht="89.25">
      <c r="A26" s="254" t="s">
        <v>77</v>
      </c>
      <c r="B26" s="92">
        <f t="shared" si="6"/>
        <v>68082161</v>
      </c>
      <c r="C26" s="88" t="s">
        <v>78</v>
      </c>
      <c r="D26" s="88" t="s">
        <v>79</v>
      </c>
      <c r="E26" s="88" t="s">
        <v>80</v>
      </c>
      <c r="F26" s="88" t="s">
        <v>87</v>
      </c>
      <c r="G26" s="88" t="s">
        <v>81</v>
      </c>
      <c r="H26" s="64">
        <v>247</v>
      </c>
      <c r="I26" s="61">
        <v>210</v>
      </c>
      <c r="J26" s="62">
        <v>68082161</v>
      </c>
      <c r="K26" s="62">
        <v>360</v>
      </c>
      <c r="L26" s="62">
        <v>68082161</v>
      </c>
      <c r="M26" s="63">
        <v>12</v>
      </c>
      <c r="N26" s="76"/>
      <c r="O26" s="51"/>
      <c r="P26" s="51"/>
      <c r="Q26" s="62">
        <v>68082161</v>
      </c>
      <c r="R26" s="51"/>
      <c r="S26" s="51"/>
      <c r="T26" s="51"/>
      <c r="U26" s="51"/>
      <c r="V26" s="51"/>
      <c r="W26" s="51"/>
      <c r="X26" s="51"/>
      <c r="Y26" s="78"/>
      <c r="Z26" s="75">
        <f t="shared" si="0"/>
        <v>68082161</v>
      </c>
      <c r="AA26" s="251">
        <f t="shared" si="1"/>
        <v>0</v>
      </c>
      <c r="AC26" s="83" t="s">
        <v>478</v>
      </c>
      <c r="AD26" s="167">
        <f t="shared" si="2"/>
        <v>210</v>
      </c>
      <c r="AE26" s="111">
        <f t="shared" si="3"/>
        <v>68082161</v>
      </c>
      <c r="AF26" s="198">
        <v>42800</v>
      </c>
      <c r="AG26" s="109">
        <f t="shared" si="4"/>
        <v>360</v>
      </c>
      <c r="AH26" s="111">
        <f t="shared" si="5"/>
        <v>68082161</v>
      </c>
      <c r="AI26" s="199">
        <v>42808</v>
      </c>
      <c r="AJ26" s="88" t="s">
        <v>533</v>
      </c>
      <c r="AK26" s="111">
        <f>M26</f>
        <v>12</v>
      </c>
      <c r="AL26" s="111">
        <v>830089097</v>
      </c>
      <c r="AM26" s="101">
        <f t="shared" si="8"/>
        <v>0</v>
      </c>
    </row>
    <row r="27" spans="1:39" s="112" customFormat="1" ht="89.25">
      <c r="A27" s="254" t="s">
        <v>77</v>
      </c>
      <c r="B27" s="92">
        <f t="shared" si="6"/>
        <v>31829000</v>
      </c>
      <c r="C27" s="88" t="s">
        <v>78</v>
      </c>
      <c r="D27" s="88" t="s">
        <v>79</v>
      </c>
      <c r="E27" s="88" t="s">
        <v>80</v>
      </c>
      <c r="F27" s="88" t="s">
        <v>87</v>
      </c>
      <c r="G27" s="88" t="s">
        <v>81</v>
      </c>
      <c r="H27" s="64">
        <v>46</v>
      </c>
      <c r="I27" s="61">
        <v>304</v>
      </c>
      <c r="J27" s="62">
        <f>31829000</f>
        <v>31829000</v>
      </c>
      <c r="K27" s="62">
        <v>500</v>
      </c>
      <c r="L27" s="62">
        <v>31829000</v>
      </c>
      <c r="M27" s="63">
        <v>229</v>
      </c>
      <c r="N27" s="76"/>
      <c r="O27" s="51"/>
      <c r="P27" s="51"/>
      <c r="Q27" s="51"/>
      <c r="R27" s="51"/>
      <c r="S27" s="62">
        <f>1818800</f>
        <v>1818800</v>
      </c>
      <c r="T27" s="62">
        <v>4547000</v>
      </c>
      <c r="U27" s="62">
        <v>4547000</v>
      </c>
      <c r="V27" s="62">
        <v>4547000</v>
      </c>
      <c r="W27" s="62">
        <f>4547000</f>
        <v>4547000</v>
      </c>
      <c r="X27" s="62">
        <f>4547000</f>
        <v>4547000</v>
      </c>
      <c r="Y27" s="95">
        <f>4547000+2728200</f>
        <v>7275200</v>
      </c>
      <c r="Z27" s="75">
        <f t="shared" si="0"/>
        <v>31829000</v>
      </c>
      <c r="AA27" s="251">
        <f t="shared" si="1"/>
        <v>0</v>
      </c>
      <c r="AC27" s="83" t="s">
        <v>628</v>
      </c>
      <c r="AD27" s="167">
        <f t="shared" si="2"/>
        <v>304</v>
      </c>
      <c r="AE27" s="111">
        <f t="shared" si="3"/>
        <v>31829000</v>
      </c>
      <c r="AF27" s="198">
        <v>42865</v>
      </c>
      <c r="AG27" s="109">
        <f t="shared" si="4"/>
        <v>500</v>
      </c>
      <c r="AH27" s="111">
        <f t="shared" si="5"/>
        <v>31829000</v>
      </c>
      <c r="AI27" s="199">
        <v>42874</v>
      </c>
      <c r="AJ27" s="88" t="s">
        <v>629</v>
      </c>
      <c r="AK27" s="111">
        <f>M27</f>
        <v>229</v>
      </c>
      <c r="AL27" s="111">
        <v>52776723</v>
      </c>
      <c r="AM27" s="101">
        <f t="shared" si="8"/>
        <v>0</v>
      </c>
    </row>
    <row r="28" spans="1:39" s="112" customFormat="1" ht="89.25">
      <c r="A28" s="254" t="s">
        <v>77</v>
      </c>
      <c r="B28" s="92">
        <f t="shared" si="6"/>
        <v>30000000</v>
      </c>
      <c r="C28" s="88" t="s">
        <v>78</v>
      </c>
      <c r="D28" s="88" t="s">
        <v>79</v>
      </c>
      <c r="E28" s="88" t="s">
        <v>80</v>
      </c>
      <c r="F28" s="88" t="s">
        <v>87</v>
      </c>
      <c r="G28" s="88" t="s">
        <v>81</v>
      </c>
      <c r="H28" s="64">
        <v>48</v>
      </c>
      <c r="I28" s="61">
        <v>344</v>
      </c>
      <c r="J28" s="62">
        <f>30000000</f>
        <v>30000000</v>
      </c>
      <c r="K28" s="62">
        <f>557</f>
        <v>557</v>
      </c>
      <c r="L28" s="62">
        <f>30000000</f>
        <v>30000000</v>
      </c>
      <c r="M28" s="63">
        <v>247</v>
      </c>
      <c r="N28" s="76"/>
      <c r="O28" s="51"/>
      <c r="P28" s="51"/>
      <c r="Q28" s="51"/>
      <c r="R28" s="51"/>
      <c r="S28" s="51"/>
      <c r="T28" s="51"/>
      <c r="U28" s="51"/>
      <c r="V28" s="51"/>
      <c r="W28" s="51"/>
      <c r="X28" s="51"/>
      <c r="Y28" s="78"/>
      <c r="Z28" s="75">
        <f t="shared" si="0"/>
        <v>0</v>
      </c>
      <c r="AA28" s="251">
        <f t="shared" si="1"/>
        <v>30000000</v>
      </c>
      <c r="AC28" s="83" t="s">
        <v>649</v>
      </c>
      <c r="AD28" s="167">
        <f t="shared" si="2"/>
        <v>344</v>
      </c>
      <c r="AE28" s="111">
        <f t="shared" si="3"/>
        <v>30000000</v>
      </c>
      <c r="AF28" s="198">
        <v>42893</v>
      </c>
      <c r="AG28" s="109">
        <f t="shared" si="4"/>
        <v>557</v>
      </c>
      <c r="AH28" s="111">
        <f t="shared" si="5"/>
        <v>30000000</v>
      </c>
      <c r="AI28" s="199">
        <v>42899</v>
      </c>
      <c r="AJ28" s="88" t="s">
        <v>693</v>
      </c>
      <c r="AK28" s="111">
        <f>M28</f>
        <v>247</v>
      </c>
      <c r="AL28" s="111"/>
      <c r="AM28" s="106"/>
    </row>
    <row r="29" spans="1:39" s="112" customFormat="1" ht="89.25">
      <c r="A29" s="254" t="s">
        <v>77</v>
      </c>
      <c r="B29" s="92">
        <f>J29</f>
        <v>6823048</v>
      </c>
      <c r="C29" s="88" t="s">
        <v>78</v>
      </c>
      <c r="D29" s="88" t="s">
        <v>79</v>
      </c>
      <c r="E29" s="88" t="s">
        <v>80</v>
      </c>
      <c r="F29" s="88" t="s">
        <v>87</v>
      </c>
      <c r="G29" s="88" t="s">
        <v>81</v>
      </c>
      <c r="H29" s="64">
        <v>523</v>
      </c>
      <c r="I29" s="61">
        <v>542</v>
      </c>
      <c r="J29" s="62">
        <f>6823048</f>
        <v>6823048</v>
      </c>
      <c r="K29" s="62">
        <v>903</v>
      </c>
      <c r="L29" s="62">
        <f>6823048</f>
        <v>6823048</v>
      </c>
      <c r="M29" s="63">
        <v>350</v>
      </c>
      <c r="N29" s="76"/>
      <c r="O29" s="51"/>
      <c r="P29" s="51"/>
      <c r="Q29" s="51"/>
      <c r="R29" s="51"/>
      <c r="S29" s="51"/>
      <c r="T29" s="51"/>
      <c r="U29" s="51"/>
      <c r="V29" s="51"/>
      <c r="W29" s="51"/>
      <c r="X29" s="51"/>
      <c r="Y29" s="95">
        <f>3866667</f>
        <v>3866667</v>
      </c>
      <c r="Z29" s="75">
        <f t="shared" si="0"/>
        <v>3866667</v>
      </c>
      <c r="AA29" s="251">
        <f t="shared" si="1"/>
        <v>2956381</v>
      </c>
      <c r="AC29" s="83" t="s">
        <v>855</v>
      </c>
      <c r="AD29" s="167">
        <f t="shared" si="2"/>
        <v>542</v>
      </c>
      <c r="AE29" s="111">
        <f t="shared" si="3"/>
        <v>6823048</v>
      </c>
      <c r="AF29" s="197"/>
      <c r="AG29" s="109">
        <f t="shared" si="4"/>
        <v>903</v>
      </c>
      <c r="AH29" s="111">
        <f t="shared" si="5"/>
        <v>6823048</v>
      </c>
      <c r="AI29" s="199">
        <v>43039</v>
      </c>
      <c r="AJ29" s="88" t="s">
        <v>856</v>
      </c>
      <c r="AK29" s="111">
        <f>M29</f>
        <v>350</v>
      </c>
      <c r="AL29" s="111"/>
      <c r="AM29" s="106"/>
    </row>
    <row r="30" spans="1:39" s="116" customFormat="1">
      <c r="A30" s="255" t="s">
        <v>132</v>
      </c>
      <c r="B30" s="99">
        <f>B16-B17-B18-B19-B20-B21-B22-B23-B24-B25-B26-B27-B28-B29</f>
        <v>0</v>
      </c>
      <c r="C30" s="99"/>
      <c r="D30" s="99"/>
      <c r="E30" s="99"/>
      <c r="F30" s="99"/>
      <c r="G30" s="164"/>
      <c r="H30" s="144"/>
      <c r="I30" s="51"/>
      <c r="J30" s="51">
        <f>SUM(J16:J29)</f>
        <v>450166852</v>
      </c>
      <c r="K30" s="51"/>
      <c r="L30" s="51">
        <f>SUM(L16:L29)</f>
        <v>450166852</v>
      </c>
      <c r="M30" s="48"/>
      <c r="N30" s="51">
        <f>SUM(N16:N28)</f>
        <v>0</v>
      </c>
      <c r="O30" s="51">
        <f>SUM(O16:O28)</f>
        <v>0</v>
      </c>
      <c r="P30" s="51">
        <f>SUM(P16:P29)</f>
        <v>18016152</v>
      </c>
      <c r="Q30" s="51">
        <f t="shared" ref="Q30:Z30" si="10">SUM(Q16:Q29)</f>
        <v>90728314</v>
      </c>
      <c r="R30" s="51">
        <f t="shared" si="10"/>
        <v>25046153</v>
      </c>
      <c r="S30" s="51">
        <f t="shared" si="10"/>
        <v>24364953</v>
      </c>
      <c r="T30" s="51">
        <f t="shared" si="10"/>
        <v>28176486</v>
      </c>
      <c r="U30" s="51">
        <f t="shared" si="10"/>
        <v>42776527</v>
      </c>
      <c r="V30" s="51">
        <f t="shared" si="10"/>
        <v>35773153</v>
      </c>
      <c r="W30" s="51">
        <f t="shared" si="10"/>
        <v>68061406</v>
      </c>
      <c r="X30" s="51">
        <f t="shared" si="10"/>
        <v>35773153</v>
      </c>
      <c r="Y30" s="51">
        <f t="shared" si="10"/>
        <v>39914174</v>
      </c>
      <c r="Z30" s="51">
        <f t="shared" si="10"/>
        <v>408630471</v>
      </c>
      <c r="AA30" s="256">
        <f>SUM(AA16:AA29)</f>
        <v>41536381</v>
      </c>
      <c r="AC30" s="257"/>
      <c r="AD30" s="200">
        <f t="shared" ref="AD30:AD40" si="11">I30</f>
        <v>0</v>
      </c>
      <c r="AE30" s="51">
        <f>SUM(AE16:AE28)</f>
        <v>443343804</v>
      </c>
      <c r="AF30" s="258"/>
      <c r="AG30" s="107">
        <f t="shared" ref="AG30:AG40" si="12">K30</f>
        <v>0</v>
      </c>
      <c r="AH30" s="51">
        <f>SUM(AH16:AH28)</f>
        <v>443343804</v>
      </c>
      <c r="AI30" s="101"/>
      <c r="AJ30" s="54"/>
      <c r="AK30" s="101">
        <f t="shared" si="7"/>
        <v>0</v>
      </c>
      <c r="AL30" s="101"/>
      <c r="AM30" s="51">
        <f>SUM(AM16:AM28)</f>
        <v>0</v>
      </c>
    </row>
    <row r="31" spans="1:39" s="112" customFormat="1" ht="76.5">
      <c r="A31" s="259" t="s">
        <v>82</v>
      </c>
      <c r="B31" s="52">
        <f>50000000+2047646</f>
        <v>52047646</v>
      </c>
      <c r="C31" s="260" t="s">
        <v>78</v>
      </c>
      <c r="D31" s="260" t="s">
        <v>79</v>
      </c>
      <c r="E31" s="260" t="s">
        <v>83</v>
      </c>
      <c r="F31" s="260" t="s">
        <v>88</v>
      </c>
      <c r="G31" s="260" t="s">
        <v>81</v>
      </c>
      <c r="H31" s="65"/>
      <c r="I31" s="50"/>
      <c r="J31" s="51"/>
      <c r="K31" s="51"/>
      <c r="L31" s="51"/>
      <c r="M31" s="48"/>
      <c r="N31" s="74"/>
      <c r="O31" s="47"/>
      <c r="P31" s="47"/>
      <c r="Q31" s="47"/>
      <c r="R31" s="47"/>
      <c r="S31" s="47"/>
      <c r="T31" s="47"/>
      <c r="U31" s="47"/>
      <c r="V31" s="47"/>
      <c r="W31" s="47"/>
      <c r="X31" s="47"/>
      <c r="Y31" s="48"/>
      <c r="Z31" s="75">
        <f>SUM(N31:Y31)</f>
        <v>0</v>
      </c>
      <c r="AA31" s="251">
        <f>L31-Z31</f>
        <v>0</v>
      </c>
      <c r="AC31" s="196"/>
      <c r="AD31" s="167">
        <f t="shared" si="11"/>
        <v>0</v>
      </c>
      <c r="AE31" s="111">
        <f>J31</f>
        <v>0</v>
      </c>
      <c r="AF31" s="197"/>
      <c r="AG31" s="109">
        <f t="shared" si="12"/>
        <v>0</v>
      </c>
      <c r="AH31" s="111">
        <f>L31</f>
        <v>0</v>
      </c>
      <c r="AI31" s="167"/>
      <c r="AJ31" s="88"/>
      <c r="AK31" s="111">
        <f t="shared" si="7"/>
        <v>0</v>
      </c>
      <c r="AL31" s="111"/>
      <c r="AM31" s="101">
        <f t="shared" si="8"/>
        <v>0</v>
      </c>
    </row>
    <row r="32" spans="1:39" s="112" customFormat="1" ht="76.5">
      <c r="A32" s="261" t="s">
        <v>82</v>
      </c>
      <c r="B32" s="92">
        <f>J32</f>
        <v>5285293</v>
      </c>
      <c r="C32" s="260" t="s">
        <v>78</v>
      </c>
      <c r="D32" s="260" t="s">
        <v>79</v>
      </c>
      <c r="E32" s="260" t="s">
        <v>83</v>
      </c>
      <c r="F32" s="260" t="s">
        <v>88</v>
      </c>
      <c r="G32" s="260" t="s">
        <v>81</v>
      </c>
      <c r="H32" s="64">
        <v>44</v>
      </c>
      <c r="I32" s="61">
        <v>52</v>
      </c>
      <c r="J32" s="62">
        <v>5285293</v>
      </c>
      <c r="K32" s="62">
        <v>90</v>
      </c>
      <c r="L32" s="62">
        <v>5285293</v>
      </c>
      <c r="M32" s="63">
        <v>35</v>
      </c>
      <c r="N32" s="74"/>
      <c r="O32" s="47"/>
      <c r="P32" s="47"/>
      <c r="Q32" s="68">
        <v>5285293</v>
      </c>
      <c r="R32" s="68"/>
      <c r="S32" s="68"/>
      <c r="T32" s="68"/>
      <c r="U32" s="68"/>
      <c r="V32" s="68"/>
      <c r="W32" s="68"/>
      <c r="X32" s="68"/>
      <c r="Y32" s="63">
        <f>6180000</f>
        <v>6180000</v>
      </c>
      <c r="Z32" s="75">
        <f>SUM(N32:Y32)</f>
        <v>11465293</v>
      </c>
      <c r="AA32" s="251">
        <f>L32-Z32</f>
        <v>-6180000</v>
      </c>
      <c r="AC32" s="83" t="s">
        <v>196</v>
      </c>
      <c r="AD32" s="167">
        <f t="shared" si="11"/>
        <v>52</v>
      </c>
      <c r="AE32" s="111">
        <f>J32</f>
        <v>5285293</v>
      </c>
      <c r="AF32" s="198">
        <v>42752</v>
      </c>
      <c r="AG32" s="109">
        <f t="shared" si="12"/>
        <v>90</v>
      </c>
      <c r="AH32" s="111">
        <f>L32</f>
        <v>5285293</v>
      </c>
      <c r="AI32" s="199">
        <v>42754</v>
      </c>
      <c r="AJ32" s="88" t="s">
        <v>297</v>
      </c>
      <c r="AK32" s="111">
        <f t="shared" si="7"/>
        <v>35</v>
      </c>
      <c r="AL32" s="111">
        <v>31578028</v>
      </c>
      <c r="AM32" s="101">
        <f t="shared" si="8"/>
        <v>0</v>
      </c>
    </row>
    <row r="33" spans="1:39" s="112" customFormat="1" ht="76.5">
      <c r="A33" s="261" t="s">
        <v>82</v>
      </c>
      <c r="B33" s="92">
        <f>J33</f>
        <v>41585401</v>
      </c>
      <c r="C33" s="260" t="s">
        <v>78</v>
      </c>
      <c r="D33" s="260" t="s">
        <v>79</v>
      </c>
      <c r="E33" s="260" t="s">
        <v>83</v>
      </c>
      <c r="F33" s="260" t="s">
        <v>88</v>
      </c>
      <c r="G33" s="260" t="s">
        <v>81</v>
      </c>
      <c r="H33" s="64">
        <v>55</v>
      </c>
      <c r="I33" s="61">
        <v>121</v>
      </c>
      <c r="J33" s="62">
        <f>42770585-1185184</f>
        <v>41585401</v>
      </c>
      <c r="K33" s="62" t="s">
        <v>1231</v>
      </c>
      <c r="L33" s="62">
        <f>41585401+1185184-1185184</f>
        <v>41585401</v>
      </c>
      <c r="M33" s="63">
        <v>77</v>
      </c>
      <c r="N33" s="76"/>
      <c r="O33" s="51"/>
      <c r="P33" s="62">
        <v>3780491</v>
      </c>
      <c r="Q33" s="62">
        <v>3780491</v>
      </c>
      <c r="R33" s="62">
        <v>3780491</v>
      </c>
      <c r="S33" s="62"/>
      <c r="T33" s="62">
        <v>7560982</v>
      </c>
      <c r="U33" s="62">
        <v>3780491</v>
      </c>
      <c r="V33" s="62">
        <v>3780491</v>
      </c>
      <c r="W33" s="62">
        <v>3780491</v>
      </c>
      <c r="X33" s="62">
        <f>3780491</f>
        <v>3780491</v>
      </c>
      <c r="Y33" s="95">
        <f>3780491+3780491</f>
        <v>7560982</v>
      </c>
      <c r="Z33" s="75">
        <f>SUM(N33:Y33)</f>
        <v>41585401</v>
      </c>
      <c r="AA33" s="251">
        <f>L33-Z33</f>
        <v>0</v>
      </c>
      <c r="AC33" s="83" t="s">
        <v>198</v>
      </c>
      <c r="AD33" s="167">
        <f t="shared" si="11"/>
        <v>121</v>
      </c>
      <c r="AE33" s="111">
        <f>J33</f>
        <v>41585401</v>
      </c>
      <c r="AF33" s="198">
        <v>42762</v>
      </c>
      <c r="AG33" s="109" t="str">
        <f t="shared" si="12"/>
        <v>179-180</v>
      </c>
      <c r="AH33" s="111">
        <f>L33</f>
        <v>41585401</v>
      </c>
      <c r="AI33" s="199">
        <v>42767</v>
      </c>
      <c r="AJ33" s="88" t="s">
        <v>385</v>
      </c>
      <c r="AK33" s="111">
        <f>M33</f>
        <v>77</v>
      </c>
      <c r="AL33" s="111">
        <v>35498532</v>
      </c>
      <c r="AM33" s="101">
        <f t="shared" si="8"/>
        <v>0</v>
      </c>
    </row>
    <row r="34" spans="1:39" s="112" customFormat="1" ht="76.5">
      <c r="A34" s="261" t="s">
        <v>82</v>
      </c>
      <c r="B34" s="92">
        <f>J34</f>
        <v>5176952</v>
      </c>
      <c r="C34" s="260" t="s">
        <v>78</v>
      </c>
      <c r="D34" s="260" t="s">
        <v>79</v>
      </c>
      <c r="E34" s="260" t="s">
        <v>83</v>
      </c>
      <c r="F34" s="260" t="s">
        <v>88</v>
      </c>
      <c r="G34" s="260" t="s">
        <v>81</v>
      </c>
      <c r="H34" s="64">
        <v>523</v>
      </c>
      <c r="I34" s="61" t="s">
        <v>1040</v>
      </c>
      <c r="J34" s="62">
        <f>1176952+4000000</f>
        <v>5176952</v>
      </c>
      <c r="K34" s="62" t="s">
        <v>1100</v>
      </c>
      <c r="L34" s="62">
        <f>1176952+4000000</f>
        <v>5176952</v>
      </c>
      <c r="M34" s="63">
        <v>350</v>
      </c>
      <c r="N34" s="76"/>
      <c r="O34" s="51"/>
      <c r="P34" s="51"/>
      <c r="Q34" s="51"/>
      <c r="R34" s="51"/>
      <c r="S34" s="51"/>
      <c r="T34" s="51"/>
      <c r="U34" s="51"/>
      <c r="V34" s="51"/>
      <c r="W34" s="51"/>
      <c r="X34" s="51"/>
      <c r="Y34" s="79">
        <f>4000000</f>
        <v>4000000</v>
      </c>
      <c r="Z34" s="75">
        <f>SUM(N34:Y34)</f>
        <v>4000000</v>
      </c>
      <c r="AA34" s="251">
        <f>L34-Z34</f>
        <v>1176952</v>
      </c>
      <c r="AC34" s="83" t="s">
        <v>855</v>
      </c>
      <c r="AD34" s="167" t="str">
        <f t="shared" si="11"/>
        <v>542 - 770</v>
      </c>
      <c r="AE34" s="111">
        <f>J34</f>
        <v>5176952</v>
      </c>
      <c r="AF34" s="197"/>
      <c r="AG34" s="109" t="str">
        <f t="shared" si="12"/>
        <v>903 - 1129</v>
      </c>
      <c r="AH34" s="111">
        <f>L34</f>
        <v>5176952</v>
      </c>
      <c r="AI34" s="199">
        <v>43039</v>
      </c>
      <c r="AJ34" s="88" t="s">
        <v>856</v>
      </c>
      <c r="AK34" s="111">
        <f t="shared" ref="AK34" si="13">M34</f>
        <v>350</v>
      </c>
      <c r="AL34" s="111"/>
      <c r="AM34" s="101">
        <f t="shared" ref="AM34" si="14">AE34-AH34</f>
        <v>0</v>
      </c>
    </row>
    <row r="35" spans="1:39" s="112" customFormat="1" ht="76.5">
      <c r="A35" s="261" t="s">
        <v>82</v>
      </c>
      <c r="B35" s="92">
        <f>J35</f>
        <v>0</v>
      </c>
      <c r="C35" s="260" t="s">
        <v>78</v>
      </c>
      <c r="D35" s="260" t="s">
        <v>79</v>
      </c>
      <c r="E35" s="260" t="s">
        <v>83</v>
      </c>
      <c r="F35" s="260" t="s">
        <v>88</v>
      </c>
      <c r="G35" s="260" t="s">
        <v>81</v>
      </c>
      <c r="H35" s="64"/>
      <c r="I35" s="61"/>
      <c r="J35" s="62"/>
      <c r="K35" s="62"/>
      <c r="L35" s="62"/>
      <c r="M35" s="63"/>
      <c r="N35" s="76"/>
      <c r="O35" s="51"/>
      <c r="P35" s="51"/>
      <c r="Q35" s="51"/>
      <c r="R35" s="51"/>
      <c r="S35" s="51"/>
      <c r="T35" s="51"/>
      <c r="U35" s="51"/>
      <c r="V35" s="51"/>
      <c r="W35" s="51"/>
      <c r="X35" s="51"/>
      <c r="Y35" s="77"/>
      <c r="Z35" s="75">
        <f>SUM(N35:Y35)</f>
        <v>0</v>
      </c>
      <c r="AA35" s="251">
        <f>L35-Z35</f>
        <v>0</v>
      </c>
      <c r="AC35" s="196"/>
      <c r="AD35" s="167">
        <f t="shared" si="11"/>
        <v>0</v>
      </c>
      <c r="AE35" s="111">
        <f>J35</f>
        <v>0</v>
      </c>
      <c r="AF35" s="197"/>
      <c r="AG35" s="109">
        <f t="shared" si="12"/>
        <v>0</v>
      </c>
      <c r="AH35" s="111">
        <f>L35</f>
        <v>0</v>
      </c>
      <c r="AI35" s="167"/>
      <c r="AJ35" s="88"/>
      <c r="AK35" s="111">
        <f t="shared" si="7"/>
        <v>0</v>
      </c>
      <c r="AL35" s="111"/>
      <c r="AM35" s="101">
        <f t="shared" si="8"/>
        <v>0</v>
      </c>
    </row>
    <row r="36" spans="1:39" s="116" customFormat="1">
      <c r="A36" s="255" t="s">
        <v>132</v>
      </c>
      <c r="B36" s="99">
        <f>B31-B32-B33-B34-B35</f>
        <v>0</v>
      </c>
      <c r="C36" s="99"/>
      <c r="D36" s="99"/>
      <c r="E36" s="99"/>
      <c r="F36" s="99"/>
      <c r="G36" s="164"/>
      <c r="H36" s="144"/>
      <c r="I36" s="51"/>
      <c r="J36" s="51">
        <f>SUM(J31:J35)</f>
        <v>52047646</v>
      </c>
      <c r="K36" s="51"/>
      <c r="L36" s="51">
        <f>SUM(L31:L35)</f>
        <v>52047646</v>
      </c>
      <c r="M36" s="48"/>
      <c r="N36" s="51">
        <f>SUM(N31:N35)</f>
        <v>0</v>
      </c>
      <c r="O36" s="51">
        <f>SUM(O31:O35)</f>
        <v>0</v>
      </c>
      <c r="P36" s="51">
        <f>SUM(P31:P35)</f>
        <v>3780491</v>
      </c>
      <c r="Q36" s="51">
        <f t="shared" ref="Q36:AA36" si="15">SUM(Q31:Q35)</f>
        <v>9065784</v>
      </c>
      <c r="R36" s="51">
        <f t="shared" si="15"/>
        <v>3780491</v>
      </c>
      <c r="S36" s="51">
        <f t="shared" si="15"/>
        <v>0</v>
      </c>
      <c r="T36" s="51">
        <f t="shared" si="15"/>
        <v>7560982</v>
      </c>
      <c r="U36" s="51">
        <f t="shared" si="15"/>
        <v>3780491</v>
      </c>
      <c r="V36" s="51">
        <f t="shared" si="15"/>
        <v>3780491</v>
      </c>
      <c r="W36" s="51">
        <f t="shared" si="15"/>
        <v>3780491</v>
      </c>
      <c r="X36" s="51">
        <f t="shared" si="15"/>
        <v>3780491</v>
      </c>
      <c r="Y36" s="51">
        <f>SUM(Y31:Y35)</f>
        <v>17740982</v>
      </c>
      <c r="Z36" s="51">
        <f t="shared" si="15"/>
        <v>57050694</v>
      </c>
      <c r="AA36" s="256">
        <f t="shared" si="15"/>
        <v>-5003048</v>
      </c>
      <c r="AC36" s="257"/>
      <c r="AD36" s="200">
        <f t="shared" si="11"/>
        <v>0</v>
      </c>
      <c r="AE36" s="51">
        <f>SUM(AE31:AE35)</f>
        <v>52047646</v>
      </c>
      <c r="AF36" s="258"/>
      <c r="AG36" s="107">
        <f t="shared" si="12"/>
        <v>0</v>
      </c>
      <c r="AH36" s="51">
        <f>SUM(AH31:AH35)</f>
        <v>52047646</v>
      </c>
      <c r="AI36" s="101"/>
      <c r="AJ36" s="54"/>
      <c r="AK36" s="101">
        <f t="shared" si="7"/>
        <v>0</v>
      </c>
      <c r="AL36" s="101"/>
      <c r="AM36" s="51">
        <f>SUM(AM31:AM35)</f>
        <v>0</v>
      </c>
    </row>
    <row r="37" spans="1:39" s="112" customFormat="1" ht="65.25" customHeight="1">
      <c r="A37" s="252" t="s">
        <v>84</v>
      </c>
      <c r="B37" s="52">
        <f>50000000-2047646</f>
        <v>47952354</v>
      </c>
      <c r="C37" s="88" t="s">
        <v>78</v>
      </c>
      <c r="D37" s="88" t="s">
        <v>79</v>
      </c>
      <c r="E37" s="88" t="s">
        <v>85</v>
      </c>
      <c r="F37" s="88" t="s">
        <v>86</v>
      </c>
      <c r="G37" s="88" t="s">
        <v>81</v>
      </c>
      <c r="H37" s="65"/>
      <c r="I37" s="50"/>
      <c r="J37" s="51"/>
      <c r="K37" s="51"/>
      <c r="L37" s="51"/>
      <c r="M37" s="48"/>
      <c r="N37" s="74"/>
      <c r="O37" s="47"/>
      <c r="P37" s="47"/>
      <c r="Q37" s="47"/>
      <c r="R37" s="47"/>
      <c r="S37" s="47"/>
      <c r="T37" s="47"/>
      <c r="U37" s="47"/>
      <c r="V37" s="47"/>
      <c r="W37" s="47"/>
      <c r="X37" s="47"/>
      <c r="Y37" s="48"/>
      <c r="Z37" s="75">
        <f>SUM(N37:Y37)</f>
        <v>0</v>
      </c>
      <c r="AA37" s="251">
        <f>L37-Z37</f>
        <v>0</v>
      </c>
      <c r="AC37" s="196"/>
      <c r="AD37" s="167">
        <f t="shared" si="11"/>
        <v>0</v>
      </c>
      <c r="AE37" s="111">
        <f>J37</f>
        <v>0</v>
      </c>
      <c r="AF37" s="197"/>
      <c r="AG37" s="109">
        <f t="shared" si="12"/>
        <v>0</v>
      </c>
      <c r="AH37" s="111">
        <f>L37</f>
        <v>0</v>
      </c>
      <c r="AI37" s="167"/>
      <c r="AJ37" s="88"/>
      <c r="AK37" s="111">
        <f t="shared" si="7"/>
        <v>0</v>
      </c>
      <c r="AL37" s="111"/>
      <c r="AM37" s="101">
        <f t="shared" si="8"/>
        <v>0</v>
      </c>
    </row>
    <row r="38" spans="1:39" s="112" customFormat="1" ht="86.25" customHeight="1">
      <c r="A38" s="254" t="s">
        <v>84</v>
      </c>
      <c r="B38" s="92">
        <f>J38</f>
        <v>25000000</v>
      </c>
      <c r="C38" s="88" t="s">
        <v>78</v>
      </c>
      <c r="D38" s="88" t="s">
        <v>79</v>
      </c>
      <c r="E38" s="88" t="s">
        <v>85</v>
      </c>
      <c r="F38" s="88" t="s">
        <v>86</v>
      </c>
      <c r="G38" s="88" t="s">
        <v>81</v>
      </c>
      <c r="H38" s="64">
        <v>44</v>
      </c>
      <c r="I38" s="61">
        <v>52</v>
      </c>
      <c r="J38" s="62">
        <v>25000000</v>
      </c>
      <c r="K38" s="62">
        <v>90</v>
      </c>
      <c r="L38" s="62">
        <v>25000000</v>
      </c>
      <c r="M38" s="63">
        <v>35</v>
      </c>
      <c r="N38" s="74"/>
      <c r="O38" s="47"/>
      <c r="P38" s="68">
        <v>8652000</v>
      </c>
      <c r="Q38" s="68">
        <f>6180000-Q32</f>
        <v>894707</v>
      </c>
      <c r="R38" s="68">
        <f>6180000</f>
        <v>6180000</v>
      </c>
      <c r="S38" s="68">
        <v>6180000</v>
      </c>
      <c r="T38" s="68"/>
      <c r="U38" s="68">
        <f>3093293</f>
        <v>3093293</v>
      </c>
      <c r="V38" s="68"/>
      <c r="W38" s="68"/>
      <c r="X38" s="68"/>
      <c r="Y38" s="63"/>
      <c r="Z38" s="75">
        <f>SUM(N38:Y38)</f>
        <v>25000000</v>
      </c>
      <c r="AA38" s="251">
        <f>L38-Z38</f>
        <v>0</v>
      </c>
      <c r="AC38" s="83" t="s">
        <v>196</v>
      </c>
      <c r="AD38" s="167">
        <f t="shared" si="11"/>
        <v>52</v>
      </c>
      <c r="AE38" s="111">
        <f>J38</f>
        <v>25000000</v>
      </c>
      <c r="AF38" s="198">
        <v>42752</v>
      </c>
      <c r="AG38" s="109">
        <f t="shared" si="12"/>
        <v>90</v>
      </c>
      <c r="AH38" s="111">
        <f>L38</f>
        <v>25000000</v>
      </c>
      <c r="AI38" s="199">
        <v>42754</v>
      </c>
      <c r="AJ38" s="88" t="s">
        <v>297</v>
      </c>
      <c r="AK38" s="111">
        <f t="shared" si="7"/>
        <v>35</v>
      </c>
      <c r="AL38" s="111">
        <v>31578028</v>
      </c>
      <c r="AM38" s="101">
        <f t="shared" si="8"/>
        <v>0</v>
      </c>
    </row>
    <row r="39" spans="1:39" s="112" customFormat="1" ht="86.25" customHeight="1">
      <c r="A39" s="254" t="s">
        <v>84</v>
      </c>
      <c r="B39" s="92">
        <f>J39</f>
        <v>0</v>
      </c>
      <c r="C39" s="88" t="s">
        <v>78</v>
      </c>
      <c r="D39" s="88" t="s">
        <v>79</v>
      </c>
      <c r="E39" s="88" t="s">
        <v>85</v>
      </c>
      <c r="F39" s="88" t="s">
        <v>86</v>
      </c>
      <c r="G39" s="88" t="s">
        <v>81</v>
      </c>
      <c r="H39" s="64"/>
      <c r="I39" s="61"/>
      <c r="J39" s="62"/>
      <c r="K39" s="62"/>
      <c r="L39" s="62"/>
      <c r="M39" s="63"/>
      <c r="N39" s="74"/>
      <c r="O39" s="47"/>
      <c r="P39" s="68"/>
      <c r="Q39" s="68"/>
      <c r="R39" s="68"/>
      <c r="S39" s="68"/>
      <c r="T39" s="68"/>
      <c r="U39" s="68"/>
      <c r="V39" s="68"/>
      <c r="W39" s="68"/>
      <c r="X39" s="68"/>
      <c r="Y39" s="63"/>
      <c r="Z39" s="75">
        <f>SUM(N39:Y39)</f>
        <v>0</v>
      </c>
      <c r="AA39" s="251">
        <f>L39-Z39</f>
        <v>0</v>
      </c>
      <c r="AC39" s="83"/>
      <c r="AD39" s="167">
        <f t="shared" si="11"/>
        <v>0</v>
      </c>
      <c r="AE39" s="111">
        <f>J39</f>
        <v>0</v>
      </c>
      <c r="AF39" s="198"/>
      <c r="AG39" s="109">
        <f t="shared" si="12"/>
        <v>0</v>
      </c>
      <c r="AH39" s="111">
        <f>L39</f>
        <v>0</v>
      </c>
      <c r="AI39" s="199"/>
      <c r="AJ39" s="88"/>
      <c r="AK39" s="111">
        <f t="shared" ref="AK39" si="16">M39</f>
        <v>0</v>
      </c>
      <c r="AL39" s="111">
        <v>31578028</v>
      </c>
      <c r="AM39" s="101">
        <f t="shared" ref="AM39" si="17">AE39-AH39</f>
        <v>0</v>
      </c>
    </row>
    <row r="40" spans="1:39" s="116" customFormat="1">
      <c r="A40" s="255" t="s">
        <v>132</v>
      </c>
      <c r="B40" s="99">
        <f>B37-B38-B39</f>
        <v>22952354</v>
      </c>
      <c r="C40" s="99"/>
      <c r="D40" s="99"/>
      <c r="E40" s="99"/>
      <c r="F40" s="99"/>
      <c r="G40" s="164"/>
      <c r="H40" s="144"/>
      <c r="I40" s="51"/>
      <c r="J40" s="51">
        <f>SUM(J37:J38)</f>
        <v>25000000</v>
      </c>
      <c r="K40" s="51"/>
      <c r="L40" s="51">
        <f>SUM(L37:L38)</f>
        <v>25000000</v>
      </c>
      <c r="M40" s="48"/>
      <c r="N40" s="76">
        <f>SUM(N37:N38)</f>
        <v>0</v>
      </c>
      <c r="O40" s="51">
        <f>SUM(O37:O38)</f>
        <v>0</v>
      </c>
      <c r="P40" s="51">
        <f>SUM(P37:P38)</f>
        <v>8652000</v>
      </c>
      <c r="Q40" s="51">
        <f t="shared" ref="Q40:AA40" si="18">SUM(Q37:Q38)</f>
        <v>894707</v>
      </c>
      <c r="R40" s="51">
        <f t="shared" si="18"/>
        <v>6180000</v>
      </c>
      <c r="S40" s="51">
        <f t="shared" si="18"/>
        <v>6180000</v>
      </c>
      <c r="T40" s="51">
        <f>SUM(T37:T38)</f>
        <v>0</v>
      </c>
      <c r="U40" s="51">
        <f t="shared" si="18"/>
        <v>3093293</v>
      </c>
      <c r="V40" s="51">
        <f t="shared" si="18"/>
        <v>0</v>
      </c>
      <c r="W40" s="51">
        <f t="shared" si="18"/>
        <v>0</v>
      </c>
      <c r="X40" s="51">
        <f t="shared" si="18"/>
        <v>0</v>
      </c>
      <c r="Y40" s="51">
        <f t="shared" si="18"/>
        <v>0</v>
      </c>
      <c r="Z40" s="51">
        <f t="shared" si="18"/>
        <v>25000000</v>
      </c>
      <c r="AA40" s="256">
        <f t="shared" si="18"/>
        <v>0</v>
      </c>
      <c r="AC40" s="262"/>
      <c r="AD40" s="167">
        <f t="shared" si="11"/>
        <v>0</v>
      </c>
      <c r="AE40" s="111">
        <f>J40</f>
        <v>25000000</v>
      </c>
      <c r="AF40" s="263"/>
      <c r="AG40" s="109">
        <f t="shared" si="12"/>
        <v>0</v>
      </c>
      <c r="AH40" s="111">
        <f>L40</f>
        <v>25000000</v>
      </c>
      <c r="AI40" s="111"/>
      <c r="AJ40" s="89"/>
      <c r="AK40" s="111">
        <f t="shared" si="7"/>
        <v>0</v>
      </c>
      <c r="AL40" s="111"/>
      <c r="AM40" s="101">
        <f t="shared" si="8"/>
        <v>0</v>
      </c>
    </row>
    <row r="41" spans="1:39" s="112" customFormat="1">
      <c r="A41" s="252"/>
      <c r="B41" s="45"/>
      <c r="C41" s="44"/>
      <c r="D41" s="44"/>
      <c r="E41" s="44"/>
      <c r="F41" s="44"/>
      <c r="G41" s="49"/>
      <c r="H41" s="66"/>
      <c r="I41" s="46"/>
      <c r="J41" s="47"/>
      <c r="K41" s="47"/>
      <c r="L41" s="47"/>
      <c r="M41" s="48"/>
      <c r="N41" s="74"/>
      <c r="O41" s="47"/>
      <c r="P41" s="47"/>
      <c r="Q41" s="47"/>
      <c r="R41" s="47"/>
      <c r="S41" s="47"/>
      <c r="T41" s="47"/>
      <c r="U41" s="47"/>
      <c r="V41" s="47"/>
      <c r="W41" s="47"/>
      <c r="X41" s="47"/>
      <c r="Y41" s="48"/>
      <c r="Z41" s="75"/>
      <c r="AA41" s="251"/>
      <c r="AC41" s="196"/>
      <c r="AD41" s="167"/>
      <c r="AE41" s="167"/>
      <c r="AF41" s="197"/>
      <c r="AG41" s="166"/>
      <c r="AH41" s="167"/>
      <c r="AI41" s="167"/>
      <c r="AJ41" s="88"/>
      <c r="AK41" s="167"/>
      <c r="AL41" s="111"/>
      <c r="AM41" s="200"/>
    </row>
    <row r="42" spans="1:39" s="112" customFormat="1">
      <c r="A42" s="264" t="s">
        <v>135</v>
      </c>
      <c r="B42" s="265">
        <f>B16+B31+B37</f>
        <v>550166852</v>
      </c>
      <c r="C42" s="266"/>
      <c r="D42" s="266"/>
      <c r="E42" s="266"/>
      <c r="F42" s="266"/>
      <c r="G42" s="266"/>
      <c r="H42" s="267"/>
      <c r="I42" s="266"/>
      <c r="J42" s="268">
        <f>J30+J36+J40</f>
        <v>527214498</v>
      </c>
      <c r="K42" s="269"/>
      <c r="L42" s="268">
        <f>L30+L36+L40</f>
        <v>527214498</v>
      </c>
      <c r="M42" s="270"/>
      <c r="N42" s="271">
        <f>N30+N36+N40</f>
        <v>0</v>
      </c>
      <c r="O42" s="268">
        <f>O30+O36+O40</f>
        <v>0</v>
      </c>
      <c r="P42" s="268">
        <f>P30+P36+P40</f>
        <v>30448643</v>
      </c>
      <c r="Q42" s="268">
        <f t="shared" ref="Q42:AA42" si="19">Q30+Q36+Q40</f>
        <v>100688805</v>
      </c>
      <c r="R42" s="268">
        <f t="shared" si="19"/>
        <v>35006644</v>
      </c>
      <c r="S42" s="268">
        <f t="shared" si="19"/>
        <v>30544953</v>
      </c>
      <c r="T42" s="268">
        <f t="shared" si="19"/>
        <v>35737468</v>
      </c>
      <c r="U42" s="268">
        <f t="shared" si="19"/>
        <v>49650311</v>
      </c>
      <c r="V42" s="268">
        <f t="shared" si="19"/>
        <v>39553644</v>
      </c>
      <c r="W42" s="268">
        <f t="shared" si="19"/>
        <v>71841897</v>
      </c>
      <c r="X42" s="268">
        <f t="shared" si="19"/>
        <v>39553644</v>
      </c>
      <c r="Y42" s="268">
        <f t="shared" si="19"/>
        <v>57655156</v>
      </c>
      <c r="Z42" s="268">
        <f t="shared" si="19"/>
        <v>490681165</v>
      </c>
      <c r="AA42" s="272">
        <f t="shared" si="19"/>
        <v>36533333</v>
      </c>
      <c r="AC42" s="196"/>
      <c r="AD42" s="167"/>
      <c r="AE42" s="268">
        <f>AE30+AE36+AE40</f>
        <v>520391450</v>
      </c>
      <c r="AF42" s="197"/>
      <c r="AG42" s="166"/>
      <c r="AH42" s="268">
        <f>AH30+AH36+AH40</f>
        <v>520391450</v>
      </c>
      <c r="AI42" s="167"/>
      <c r="AJ42" s="88"/>
      <c r="AK42" s="167"/>
      <c r="AL42" s="111"/>
      <c r="AM42" s="268">
        <f>AM30+AM36+AM40</f>
        <v>0</v>
      </c>
    </row>
    <row r="43" spans="1:39" s="112" customFormat="1">
      <c r="A43" s="273"/>
      <c r="B43" s="59"/>
      <c r="C43" s="59"/>
      <c r="D43" s="59"/>
      <c r="E43" s="59"/>
      <c r="F43" s="59"/>
      <c r="G43" s="59"/>
      <c r="H43" s="71"/>
      <c r="I43" s="59"/>
      <c r="J43" s="274"/>
      <c r="K43" s="275"/>
      <c r="L43" s="274"/>
      <c r="M43" s="275"/>
      <c r="N43" s="276"/>
      <c r="O43" s="276"/>
      <c r="P43" s="276"/>
      <c r="Q43" s="276"/>
      <c r="R43" s="276"/>
      <c r="S43" s="276"/>
      <c r="T43" s="276"/>
      <c r="U43" s="276"/>
      <c r="V43" s="276"/>
      <c r="W43" s="276"/>
      <c r="X43" s="276"/>
      <c r="Y43" s="276"/>
      <c r="Z43" s="277"/>
      <c r="AA43" s="278"/>
      <c r="AC43" s="194"/>
      <c r="AD43" s="131"/>
      <c r="AE43" s="131"/>
      <c r="AF43" s="131"/>
      <c r="AG43" s="131"/>
      <c r="AH43" s="131"/>
      <c r="AI43" s="131"/>
      <c r="AJ43" s="130"/>
      <c r="AK43" s="131"/>
      <c r="AL43" s="133"/>
      <c r="AM43" s="195"/>
    </row>
    <row r="44" spans="1:39" s="112" customFormat="1" ht="15.75" customHeight="1">
      <c r="A44" s="273"/>
      <c r="B44" s="59"/>
      <c r="C44" s="59"/>
      <c r="D44" s="59"/>
      <c r="E44" s="59"/>
      <c r="F44" s="59"/>
      <c r="G44" s="59"/>
      <c r="H44" s="71"/>
      <c r="I44" s="279" t="s">
        <v>266</v>
      </c>
      <c r="J44" s="274"/>
      <c r="K44" s="275"/>
      <c r="L44" s="274"/>
      <c r="M44" s="275"/>
      <c r="N44" s="276"/>
      <c r="O44" s="276"/>
      <c r="P44" s="276"/>
      <c r="Q44" s="276"/>
      <c r="R44" s="276"/>
      <c r="S44" s="276"/>
      <c r="T44" s="276"/>
      <c r="U44" s="276"/>
      <c r="V44" s="276"/>
      <c r="W44" s="276"/>
      <c r="X44" s="276"/>
      <c r="Y44" s="276"/>
      <c r="Z44" s="277"/>
      <c r="AA44" s="278"/>
      <c r="AC44" s="194"/>
      <c r="AD44" s="131"/>
      <c r="AE44" s="131"/>
      <c r="AF44" s="131"/>
      <c r="AG44" s="131"/>
      <c r="AH44" s="131"/>
      <c r="AI44" s="131"/>
      <c r="AJ44" s="130"/>
      <c r="AK44" s="131"/>
      <c r="AL44" s="133"/>
      <c r="AM44" s="195"/>
    </row>
    <row r="45" spans="1:39" s="291" customFormat="1" ht="14.25" customHeight="1">
      <c r="A45" s="280" t="s">
        <v>671</v>
      </c>
      <c r="B45" s="281">
        <v>550166852</v>
      </c>
      <c r="C45" s="282"/>
      <c r="D45" s="282"/>
      <c r="E45" s="282"/>
      <c r="F45" s="282"/>
      <c r="G45" s="282"/>
      <c r="H45" s="283" t="s">
        <v>199</v>
      </c>
      <c r="I45" s="81"/>
      <c r="J45" s="90">
        <f>527214498</f>
        <v>527214498</v>
      </c>
      <c r="K45" s="90"/>
      <c r="L45" s="90">
        <v>527214498</v>
      </c>
      <c r="M45" s="91"/>
      <c r="N45" s="284">
        <v>0</v>
      </c>
      <c r="O45" s="285">
        <v>0</v>
      </c>
      <c r="P45" s="286">
        <v>30448643</v>
      </c>
      <c r="Q45" s="287">
        <v>100688805</v>
      </c>
      <c r="R45" s="287">
        <v>35006644</v>
      </c>
      <c r="S45" s="287">
        <v>30544953</v>
      </c>
      <c r="T45" s="287">
        <v>35737468</v>
      </c>
      <c r="U45" s="287">
        <f>49650311</f>
        <v>49650311</v>
      </c>
      <c r="V45" s="287">
        <f>39553644</f>
        <v>39553644</v>
      </c>
      <c r="W45" s="287">
        <f>71841897</f>
        <v>71841897</v>
      </c>
      <c r="X45" s="287">
        <v>39553644</v>
      </c>
      <c r="Y45" s="288">
        <f>57655156</f>
        <v>57655156</v>
      </c>
      <c r="Z45" s="289">
        <f>SUM(N45:Y45)</f>
        <v>490681165</v>
      </c>
      <c r="AA45" s="290">
        <f>L45-Z45</f>
        <v>36533333</v>
      </c>
      <c r="AC45" s="292"/>
      <c r="AD45" s="293"/>
      <c r="AE45" s="293"/>
      <c r="AF45" s="293"/>
      <c r="AG45" s="293"/>
      <c r="AH45" s="293"/>
      <c r="AI45" s="293"/>
      <c r="AJ45" s="294"/>
      <c r="AK45" s="293"/>
      <c r="AL45" s="295"/>
      <c r="AM45" s="296"/>
    </row>
    <row r="46" spans="1:39" s="112" customFormat="1">
      <c r="A46" s="273"/>
      <c r="B46" s="59"/>
      <c r="C46" s="59"/>
      <c r="D46" s="59"/>
      <c r="E46" s="59"/>
      <c r="F46" s="59"/>
      <c r="G46" s="59"/>
      <c r="H46" s="71"/>
      <c r="I46" s="279" t="s">
        <v>267</v>
      </c>
      <c r="J46" s="274">
        <f>J45-J42</f>
        <v>0</v>
      </c>
      <c r="K46" s="275"/>
      <c r="L46" s="274">
        <f>L45-L42</f>
        <v>0</v>
      </c>
      <c r="M46" s="275"/>
      <c r="N46" s="276"/>
      <c r="O46" s="276"/>
      <c r="P46" s="276">
        <f>P45-P42</f>
        <v>0</v>
      </c>
      <c r="Q46" s="276">
        <f>Q45-Q42</f>
        <v>0</v>
      </c>
      <c r="R46" s="276">
        <f t="shared" ref="R46:X46" si="20">R45-R42</f>
        <v>0</v>
      </c>
      <c r="S46" s="276">
        <f t="shared" si="20"/>
        <v>0</v>
      </c>
      <c r="T46" s="276">
        <f t="shared" si="20"/>
        <v>0</v>
      </c>
      <c r="U46" s="276">
        <f t="shared" si="20"/>
        <v>0</v>
      </c>
      <c r="V46" s="276">
        <f t="shared" si="20"/>
        <v>0</v>
      </c>
      <c r="W46" s="276">
        <f t="shared" si="20"/>
        <v>0</v>
      </c>
      <c r="X46" s="276">
        <f t="shared" si="20"/>
        <v>0</v>
      </c>
      <c r="Y46" s="276"/>
      <c r="Z46" s="277"/>
      <c r="AA46" s="278"/>
      <c r="AC46" s="194"/>
      <c r="AD46" s="131"/>
      <c r="AE46" s="131"/>
      <c r="AF46" s="131"/>
      <c r="AG46" s="131"/>
      <c r="AH46" s="131"/>
      <c r="AI46" s="131"/>
      <c r="AJ46" s="130"/>
      <c r="AK46" s="131"/>
      <c r="AL46" s="133"/>
      <c r="AM46" s="195"/>
    </row>
    <row r="47" spans="1:39" s="307" customFormat="1" ht="58.5" customHeight="1" thickBot="1">
      <c r="A47" s="297" t="s">
        <v>81</v>
      </c>
      <c r="B47" s="298">
        <f>B16+B31+B37</f>
        <v>550166852</v>
      </c>
      <c r="C47" s="299"/>
      <c r="D47" s="299"/>
      <c r="E47" s="299"/>
      <c r="F47" s="299"/>
      <c r="G47" s="300" t="s">
        <v>81</v>
      </c>
      <c r="H47" s="301"/>
      <c r="I47" s="299"/>
      <c r="J47" s="302">
        <f>J30+J36+J40</f>
        <v>527214498</v>
      </c>
      <c r="K47" s="303"/>
      <c r="L47" s="302">
        <f>L30+L36+L40</f>
        <v>527214498</v>
      </c>
      <c r="M47" s="253"/>
      <c r="N47" s="302">
        <f t="shared" ref="N47:AA47" si="21">N30+N36+N40</f>
        <v>0</v>
      </c>
      <c r="O47" s="302">
        <f t="shared" si="21"/>
        <v>0</v>
      </c>
      <c r="P47" s="302">
        <f>P30+P36+P40</f>
        <v>30448643</v>
      </c>
      <c r="Q47" s="302">
        <f>Q30+Q36+Q40</f>
        <v>100688805</v>
      </c>
      <c r="R47" s="302">
        <f>R30+R36+R40</f>
        <v>35006644</v>
      </c>
      <c r="S47" s="302">
        <f t="shared" si="21"/>
        <v>30544953</v>
      </c>
      <c r="T47" s="302">
        <f t="shared" si="21"/>
        <v>35737468</v>
      </c>
      <c r="U47" s="302">
        <f>U30+U36+U40</f>
        <v>49650311</v>
      </c>
      <c r="V47" s="302">
        <f t="shared" si="21"/>
        <v>39553644</v>
      </c>
      <c r="W47" s="302">
        <f t="shared" si="21"/>
        <v>71841897</v>
      </c>
      <c r="X47" s="302">
        <f t="shared" si="21"/>
        <v>39553644</v>
      </c>
      <c r="Y47" s="304">
        <f t="shared" si="21"/>
        <v>57655156</v>
      </c>
      <c r="Z47" s="305">
        <f t="shared" si="21"/>
        <v>490681165</v>
      </c>
      <c r="AA47" s="306">
        <f t="shared" si="21"/>
        <v>36533333</v>
      </c>
      <c r="AC47" s="292"/>
      <c r="AD47" s="293"/>
      <c r="AE47" s="293"/>
      <c r="AF47" s="293"/>
      <c r="AG47" s="293"/>
      <c r="AH47" s="293"/>
      <c r="AI47" s="293"/>
      <c r="AJ47" s="294"/>
      <c r="AK47" s="293"/>
      <c r="AL47" s="295"/>
      <c r="AM47" s="296"/>
    </row>
    <row r="48" spans="1:39" s="112" customFormat="1">
      <c r="A48" s="308"/>
      <c r="B48" s="59"/>
      <c r="C48" s="59"/>
      <c r="D48" s="59"/>
      <c r="E48" s="59"/>
      <c r="F48" s="59"/>
      <c r="G48" s="308"/>
      <c r="H48" s="71"/>
      <c r="I48" s="59"/>
      <c r="J48" s="274"/>
      <c r="K48" s="275"/>
      <c r="L48" s="274"/>
      <c r="M48" s="275"/>
      <c r="N48" s="116"/>
      <c r="O48" s="116"/>
      <c r="P48" s="116"/>
      <c r="Q48" s="116"/>
      <c r="R48" s="116"/>
      <c r="S48" s="116"/>
      <c r="T48" s="116"/>
      <c r="U48" s="116"/>
      <c r="V48" s="116"/>
      <c r="W48" s="116"/>
      <c r="X48" s="116"/>
      <c r="Y48" s="116"/>
      <c r="Z48" s="105"/>
      <c r="AA48" s="116"/>
      <c r="AC48" s="194"/>
      <c r="AD48" s="131"/>
      <c r="AE48" s="131"/>
      <c r="AF48" s="131"/>
      <c r="AG48" s="131"/>
      <c r="AH48" s="131"/>
      <c r="AI48" s="131"/>
      <c r="AJ48" s="130"/>
      <c r="AK48" s="131"/>
      <c r="AL48" s="133"/>
      <c r="AM48" s="195"/>
    </row>
    <row r="49" spans="1:39" s="112" customFormat="1">
      <c r="H49" s="309"/>
      <c r="J49" s="116"/>
      <c r="L49" s="116"/>
      <c r="N49" s="116"/>
      <c r="O49" s="116"/>
      <c r="P49" s="116"/>
      <c r="Q49" s="116"/>
      <c r="R49" s="116"/>
      <c r="S49" s="116"/>
      <c r="T49" s="116"/>
      <c r="U49" s="116"/>
      <c r="V49" s="116"/>
      <c r="W49" s="116"/>
      <c r="X49" s="116"/>
      <c r="Y49" s="116"/>
      <c r="Z49" s="105"/>
      <c r="AA49" s="116"/>
      <c r="AC49" s="194"/>
      <c r="AD49" s="131"/>
      <c r="AE49" s="131"/>
      <c r="AF49" s="131"/>
      <c r="AG49" s="131"/>
      <c r="AH49" s="131"/>
      <c r="AI49" s="131"/>
      <c r="AJ49" s="130"/>
      <c r="AK49" s="131"/>
      <c r="AL49" s="133"/>
      <c r="AM49" s="195"/>
    </row>
    <row r="50" spans="1:39" s="112" customFormat="1">
      <c r="H50" s="309"/>
      <c r="J50" s="116"/>
      <c r="L50" s="116"/>
      <c r="N50" s="116"/>
      <c r="O50" s="116"/>
      <c r="P50" s="116"/>
      <c r="Q50" s="116"/>
      <c r="R50" s="116"/>
      <c r="S50" s="116"/>
      <c r="T50" s="116"/>
      <c r="U50" s="116"/>
      <c r="V50" s="116"/>
      <c r="W50" s="116"/>
      <c r="X50" s="116"/>
      <c r="Y50" s="116"/>
      <c r="Z50" s="105"/>
      <c r="AA50" s="116"/>
      <c r="AC50" s="194"/>
      <c r="AD50" s="131"/>
      <c r="AE50" s="131"/>
      <c r="AF50" s="131"/>
      <c r="AG50" s="131"/>
      <c r="AH50" s="131"/>
      <c r="AI50" s="131"/>
      <c r="AJ50" s="130"/>
      <c r="AK50" s="131"/>
      <c r="AL50" s="133"/>
      <c r="AM50" s="195"/>
    </row>
    <row r="51" spans="1:39" s="112" customFormat="1" ht="14.25" customHeight="1">
      <c r="A51" s="310"/>
      <c r="D51" s="311"/>
      <c r="E51" s="312"/>
      <c r="F51" s="313"/>
      <c r="G51" s="313"/>
      <c r="H51" s="309"/>
      <c r="J51" s="116"/>
      <c r="L51" s="314"/>
      <c r="M51" s="315"/>
      <c r="N51" s="116"/>
      <c r="O51" s="116"/>
      <c r="P51" s="116"/>
      <c r="Q51" s="116"/>
      <c r="R51" s="116"/>
      <c r="S51" s="276"/>
      <c r="T51" s="276"/>
      <c r="U51" s="276"/>
      <c r="V51" s="276"/>
      <c r="W51" s="276"/>
      <c r="X51" s="276"/>
      <c r="Y51" s="276"/>
      <c r="Z51" s="277"/>
      <c r="AA51" s="276"/>
    </row>
    <row r="52" spans="1:39" s="112" customFormat="1">
      <c r="A52" s="310"/>
      <c r="H52" s="309"/>
      <c r="J52" s="116"/>
      <c r="L52" s="116"/>
      <c r="N52" s="116"/>
      <c r="O52" s="116"/>
      <c r="P52" s="116"/>
      <c r="Q52" s="116"/>
      <c r="R52" s="116"/>
      <c r="S52" s="276"/>
      <c r="T52" s="276"/>
      <c r="U52" s="276"/>
      <c r="V52" s="276"/>
      <c r="W52" s="276"/>
      <c r="X52" s="276"/>
      <c r="Y52" s="276"/>
      <c r="Z52" s="277"/>
      <c r="AA52" s="316"/>
    </row>
    <row r="53" spans="1:39" s="112" customFormat="1" ht="15.75">
      <c r="A53" s="317" t="s">
        <v>1370</v>
      </c>
      <c r="C53" s="570" t="s">
        <v>1371</v>
      </c>
      <c r="D53" s="570"/>
      <c r="F53" s="318" t="s">
        <v>1372</v>
      </c>
      <c r="H53" s="309"/>
      <c r="J53" s="116"/>
      <c r="L53" s="116"/>
      <c r="N53" s="116"/>
      <c r="O53" s="116"/>
      <c r="P53" s="116"/>
      <c r="Q53" s="116"/>
      <c r="R53" s="116"/>
      <c r="S53" s="276"/>
      <c r="T53" s="276"/>
      <c r="U53" s="276"/>
      <c r="V53" s="276"/>
      <c r="W53" s="276"/>
      <c r="X53" s="276"/>
      <c r="Y53" s="276"/>
      <c r="Z53" s="277"/>
      <c r="AA53" s="276"/>
    </row>
    <row r="54" spans="1:39" s="112" customFormat="1" ht="15">
      <c r="C54" s="571" t="s">
        <v>74</v>
      </c>
      <c r="D54" s="571"/>
      <c r="F54" s="319" t="s">
        <v>1373</v>
      </c>
      <c r="H54" s="309"/>
      <c r="J54" s="116"/>
      <c r="L54" s="116"/>
      <c r="N54" s="116"/>
      <c r="O54" s="116"/>
      <c r="P54" s="116"/>
      <c r="Q54" s="116"/>
      <c r="R54" s="116"/>
      <c r="S54" s="116"/>
      <c r="T54" s="116"/>
      <c r="U54" s="116"/>
      <c r="V54" s="116"/>
      <c r="W54" s="116"/>
      <c r="X54" s="116"/>
      <c r="Y54" s="116"/>
      <c r="Z54" s="105"/>
      <c r="AA54" s="116"/>
    </row>
    <row r="55" spans="1:39" s="112" customFormat="1">
      <c r="H55" s="309"/>
      <c r="J55" s="116"/>
      <c r="L55" s="116"/>
      <c r="N55" s="116"/>
      <c r="O55" s="116"/>
      <c r="P55" s="116"/>
      <c r="Q55" s="116"/>
      <c r="R55" s="116"/>
      <c r="S55" s="116"/>
      <c r="T55" s="116"/>
      <c r="U55" s="116"/>
      <c r="V55" s="116"/>
      <c r="W55" s="116"/>
      <c r="X55" s="116"/>
      <c r="Y55" s="116"/>
      <c r="Z55" s="105"/>
      <c r="AA55" s="116"/>
      <c r="AC55" s="194"/>
      <c r="AD55" s="131"/>
      <c r="AE55" s="131"/>
      <c r="AF55" s="131"/>
      <c r="AG55" s="131"/>
      <c r="AH55" s="131"/>
      <c r="AI55" s="131"/>
      <c r="AJ55" s="130"/>
      <c r="AK55" s="131"/>
      <c r="AL55" s="133"/>
      <c r="AM55" s="195"/>
    </row>
    <row r="56" spans="1:39" s="112" customFormat="1">
      <c r="A56" s="320"/>
      <c r="B56" s="321"/>
      <c r="C56" s="322"/>
      <c r="D56" s="323"/>
      <c r="H56" s="309"/>
      <c r="J56" s="116"/>
      <c r="L56" s="116"/>
      <c r="N56" s="116"/>
      <c r="O56" s="116"/>
      <c r="P56" s="116"/>
      <c r="Q56" s="116"/>
      <c r="R56" s="116"/>
      <c r="S56" s="116"/>
      <c r="T56" s="116"/>
      <c r="U56" s="116"/>
      <c r="V56" s="116"/>
      <c r="W56" s="116"/>
      <c r="X56" s="116"/>
      <c r="Y56" s="116"/>
      <c r="Z56" s="105"/>
      <c r="AA56" s="116"/>
    </row>
    <row r="57" spans="1:39" s="112" customFormat="1">
      <c r="A57" s="312"/>
      <c r="B57" s="315"/>
      <c r="C57" s="324"/>
      <c r="D57" s="325"/>
      <c r="H57" s="309"/>
      <c r="J57" s="116"/>
      <c r="L57" s="116"/>
      <c r="N57" s="116"/>
      <c r="O57" s="116"/>
      <c r="P57" s="116"/>
      <c r="Q57" s="116"/>
      <c r="R57" s="116"/>
      <c r="S57" s="116"/>
      <c r="T57" s="116"/>
      <c r="U57" s="116"/>
      <c r="V57" s="116"/>
      <c r="W57" s="116"/>
      <c r="X57" s="116"/>
      <c r="Y57" s="116"/>
      <c r="Z57" s="105"/>
      <c r="AA57" s="116"/>
    </row>
    <row r="58" spans="1:39" s="112" customFormat="1">
      <c r="A58" s="312"/>
      <c r="B58" s="315"/>
      <c r="C58" s="324"/>
      <c r="D58" s="325"/>
      <c r="H58" s="309"/>
      <c r="J58" s="116"/>
      <c r="L58" s="116"/>
      <c r="N58" s="116"/>
      <c r="O58" s="116"/>
      <c r="P58" s="116"/>
      <c r="Q58" s="116"/>
      <c r="R58" s="116"/>
      <c r="S58" s="116"/>
      <c r="T58" s="116"/>
      <c r="U58" s="116"/>
      <c r="V58" s="116"/>
      <c r="W58" s="116"/>
      <c r="X58" s="116"/>
      <c r="Y58" s="116"/>
      <c r="Z58" s="105"/>
      <c r="AA58" s="116"/>
    </row>
    <row r="59" spans="1:39">
      <c r="A59" s="1"/>
      <c r="B59" s="4"/>
      <c r="C59" s="43"/>
      <c r="D59" s="42"/>
      <c r="AC59" s="87"/>
      <c r="AD59" s="87"/>
      <c r="AE59" s="87"/>
      <c r="AF59" s="87"/>
      <c r="AG59" s="87"/>
      <c r="AH59" s="87"/>
      <c r="AI59" s="87"/>
      <c r="AJ59" s="87"/>
      <c r="AK59" s="87"/>
      <c r="AL59" s="87"/>
      <c r="AM59" s="87"/>
    </row>
    <row r="62" spans="1:39">
      <c r="A62" s="41"/>
      <c r="B62" s="5"/>
      <c r="AC62" s="87"/>
      <c r="AD62" s="87"/>
      <c r="AE62" s="87"/>
      <c r="AF62" s="87"/>
      <c r="AG62" s="87"/>
      <c r="AH62" s="87"/>
      <c r="AI62" s="87"/>
      <c r="AJ62" s="87"/>
      <c r="AK62" s="87"/>
      <c r="AL62" s="87"/>
      <c r="AM62" s="87"/>
    </row>
    <row r="63" spans="1:39">
      <c r="A63" s="1"/>
      <c r="B63" s="4"/>
      <c r="F63" s="174"/>
      <c r="AC63" s="87"/>
      <c r="AD63" s="87"/>
      <c r="AE63" s="87"/>
      <c r="AF63" s="87"/>
      <c r="AG63" s="87"/>
      <c r="AH63" s="87"/>
      <c r="AI63" s="87"/>
      <c r="AJ63" s="87"/>
      <c r="AK63" s="87"/>
      <c r="AL63" s="87"/>
      <c r="AM63" s="87"/>
    </row>
    <row r="64" spans="1:39">
      <c r="A64" s="1"/>
      <c r="B64" s="4"/>
      <c r="F64" s="174"/>
      <c r="AC64" s="87"/>
      <c r="AD64" s="87"/>
      <c r="AE64" s="87"/>
      <c r="AF64" s="87"/>
      <c r="AG64" s="87"/>
      <c r="AH64" s="87"/>
      <c r="AI64" s="87"/>
      <c r="AJ64" s="87"/>
      <c r="AK64" s="87"/>
      <c r="AL64" s="87"/>
      <c r="AM64" s="87"/>
    </row>
    <row r="65" spans="1:39">
      <c r="A65" s="1"/>
      <c r="B65" s="4"/>
      <c r="F65" s="174"/>
      <c r="AC65" s="87"/>
      <c r="AD65" s="87"/>
      <c r="AE65" s="87"/>
      <c r="AF65" s="87"/>
      <c r="AG65" s="87"/>
      <c r="AH65" s="87"/>
      <c r="AI65" s="87"/>
      <c r="AJ65" s="87"/>
      <c r="AK65" s="87"/>
      <c r="AL65" s="87"/>
      <c r="AM65" s="87"/>
    </row>
    <row r="66" spans="1:39">
      <c r="A66" s="1"/>
      <c r="B66" s="4"/>
      <c r="F66" s="174"/>
      <c r="AC66" s="87"/>
      <c r="AD66" s="87"/>
      <c r="AE66" s="87"/>
      <c r="AF66" s="87"/>
      <c r="AG66" s="87"/>
      <c r="AH66" s="87"/>
      <c r="AI66" s="87"/>
      <c r="AJ66" s="87"/>
      <c r="AK66" s="87"/>
      <c r="AL66" s="87"/>
      <c r="AM66" s="87"/>
    </row>
    <row r="73" spans="1:39">
      <c r="A73" s="1"/>
      <c r="B73" s="4"/>
      <c r="H73" s="87"/>
      <c r="J73" s="87"/>
      <c r="L73" s="87"/>
      <c r="N73" s="87"/>
      <c r="O73" s="87"/>
      <c r="P73" s="87"/>
      <c r="Q73" s="87"/>
      <c r="R73" s="87"/>
      <c r="S73" s="87"/>
      <c r="T73" s="87"/>
      <c r="U73" s="87"/>
      <c r="V73" s="87"/>
      <c r="W73" s="87"/>
      <c r="X73" s="87"/>
      <c r="Y73" s="87"/>
      <c r="Z73" s="87"/>
      <c r="AA73" s="87"/>
      <c r="AC73" s="87"/>
      <c r="AD73" s="87"/>
      <c r="AE73" s="87"/>
      <c r="AF73" s="87"/>
      <c r="AG73" s="87"/>
      <c r="AH73" s="87"/>
      <c r="AI73" s="87"/>
      <c r="AJ73" s="87"/>
      <c r="AK73" s="87"/>
      <c r="AL73" s="87"/>
      <c r="AM73" s="87"/>
    </row>
    <row r="74" spans="1:39">
      <c r="A74" s="1"/>
      <c r="B74" s="4"/>
      <c r="H74" s="87"/>
      <c r="J74" s="87"/>
      <c r="L74" s="87"/>
      <c r="N74" s="87"/>
      <c r="O74" s="87"/>
      <c r="P74" s="87"/>
      <c r="Q74" s="87"/>
      <c r="R74" s="87"/>
      <c r="S74" s="87"/>
      <c r="T74" s="87"/>
      <c r="U74" s="87"/>
      <c r="V74" s="87"/>
      <c r="W74" s="87"/>
      <c r="X74" s="87"/>
      <c r="Y74" s="87"/>
      <c r="Z74" s="87"/>
      <c r="AA74" s="87"/>
      <c r="AC74" s="87"/>
      <c r="AD74" s="87"/>
      <c r="AE74" s="87"/>
      <c r="AF74" s="87"/>
      <c r="AG74" s="87"/>
      <c r="AH74" s="87"/>
      <c r="AI74" s="87"/>
      <c r="AJ74" s="87"/>
      <c r="AK74" s="87"/>
      <c r="AL74" s="87"/>
      <c r="AM74" s="87"/>
    </row>
    <row r="75" spans="1:39">
      <c r="A75" s="1"/>
      <c r="B75" s="4"/>
      <c r="H75" s="87"/>
      <c r="J75" s="87"/>
      <c r="L75" s="87"/>
      <c r="N75" s="87"/>
      <c r="O75" s="87"/>
      <c r="P75" s="87"/>
      <c r="Q75" s="87"/>
      <c r="R75" s="87"/>
      <c r="S75" s="87"/>
      <c r="T75" s="87"/>
      <c r="U75" s="87"/>
      <c r="V75" s="87"/>
      <c r="W75" s="87"/>
      <c r="X75" s="87"/>
      <c r="Y75" s="87"/>
      <c r="Z75" s="87"/>
      <c r="AA75" s="87"/>
      <c r="AC75" s="87"/>
      <c r="AD75" s="87"/>
      <c r="AE75" s="87"/>
      <c r="AF75" s="87"/>
      <c r="AG75" s="87"/>
      <c r="AH75" s="87"/>
      <c r="AI75" s="87"/>
      <c r="AJ75" s="87"/>
      <c r="AK75" s="87"/>
      <c r="AL75" s="87"/>
      <c r="AM75" s="87"/>
    </row>
    <row r="76" spans="1:39">
      <c r="A76" s="1"/>
      <c r="B76" s="4"/>
      <c r="H76" s="87"/>
      <c r="J76" s="87"/>
      <c r="L76" s="87"/>
      <c r="N76" s="87"/>
      <c r="O76" s="87"/>
      <c r="P76" s="87"/>
      <c r="Q76" s="87"/>
      <c r="R76" s="87"/>
      <c r="S76" s="87"/>
      <c r="T76" s="87"/>
      <c r="U76" s="87"/>
      <c r="V76" s="87"/>
      <c r="W76" s="87"/>
      <c r="X76" s="87"/>
      <c r="Y76" s="87"/>
      <c r="Z76" s="87"/>
      <c r="AA76" s="87"/>
      <c r="AC76" s="87"/>
      <c r="AD76" s="87"/>
      <c r="AE76" s="87"/>
      <c r="AF76" s="87"/>
      <c r="AG76" s="87"/>
      <c r="AH76" s="87"/>
      <c r="AI76" s="87"/>
      <c r="AJ76" s="87"/>
      <c r="AK76" s="87"/>
      <c r="AL76" s="87"/>
      <c r="AM76" s="87"/>
    </row>
    <row r="77" spans="1:39">
      <c r="A77" s="1"/>
      <c r="B77" s="4"/>
      <c r="H77" s="87"/>
      <c r="J77" s="87"/>
      <c r="L77" s="87"/>
      <c r="N77" s="87"/>
      <c r="O77" s="87"/>
      <c r="P77" s="87"/>
      <c r="Q77" s="87"/>
      <c r="R77" s="87"/>
      <c r="S77" s="87"/>
      <c r="T77" s="87"/>
      <c r="U77" s="87"/>
      <c r="V77" s="87"/>
      <c r="W77" s="87"/>
      <c r="X77" s="87"/>
      <c r="Y77" s="87"/>
      <c r="Z77" s="87"/>
      <c r="AA77" s="87"/>
      <c r="AC77" s="87"/>
      <c r="AD77" s="87"/>
      <c r="AE77" s="87"/>
      <c r="AF77" s="87"/>
      <c r="AG77" s="87"/>
      <c r="AH77" s="87"/>
      <c r="AI77" s="87"/>
      <c r="AJ77" s="87"/>
      <c r="AK77" s="87"/>
      <c r="AL77" s="87"/>
      <c r="AM77" s="87"/>
    </row>
    <row r="78" spans="1:39">
      <c r="A78" s="1"/>
      <c r="B78" s="4"/>
      <c r="H78" s="87"/>
      <c r="J78" s="87"/>
      <c r="L78" s="87"/>
      <c r="N78" s="87"/>
      <c r="O78" s="87"/>
      <c r="P78" s="87"/>
      <c r="Q78" s="87"/>
      <c r="R78" s="87"/>
      <c r="S78" s="87"/>
      <c r="T78" s="87"/>
      <c r="U78" s="87"/>
      <c r="V78" s="87"/>
      <c r="W78" s="87"/>
      <c r="X78" s="87"/>
      <c r="Y78" s="87"/>
      <c r="Z78" s="87"/>
      <c r="AA78" s="87"/>
      <c r="AC78" s="87"/>
      <c r="AD78" s="87"/>
      <c r="AE78" s="87"/>
      <c r="AF78" s="87"/>
      <c r="AG78" s="87"/>
      <c r="AH78" s="87"/>
      <c r="AI78" s="87"/>
      <c r="AJ78" s="87"/>
      <c r="AK78" s="87"/>
      <c r="AL78" s="87"/>
      <c r="AM78" s="87"/>
    </row>
    <row r="79" spans="1:39">
      <c r="A79" s="1"/>
      <c r="B79" s="4"/>
      <c r="H79" s="87"/>
      <c r="J79" s="87"/>
      <c r="L79" s="87"/>
      <c r="N79" s="87"/>
      <c r="O79" s="87"/>
      <c r="P79" s="87"/>
      <c r="Q79" s="87"/>
      <c r="R79" s="87"/>
      <c r="S79" s="87"/>
      <c r="T79" s="87"/>
      <c r="U79" s="87"/>
      <c r="V79" s="87"/>
      <c r="W79" s="87"/>
      <c r="X79" s="87"/>
      <c r="Y79" s="87"/>
      <c r="Z79" s="87"/>
      <c r="AA79" s="87"/>
      <c r="AC79" s="87"/>
      <c r="AD79" s="87"/>
      <c r="AE79" s="87"/>
      <c r="AF79" s="87"/>
      <c r="AG79" s="87"/>
      <c r="AH79" s="87"/>
      <c r="AI79" s="87"/>
      <c r="AJ79" s="87"/>
      <c r="AK79" s="87"/>
      <c r="AL79" s="87"/>
      <c r="AM79" s="87"/>
    </row>
    <row r="80" spans="1:39">
      <c r="A80" s="1"/>
      <c r="B80" s="4"/>
      <c r="H80" s="87"/>
      <c r="J80" s="87"/>
      <c r="L80" s="87"/>
      <c r="N80" s="87"/>
      <c r="O80" s="87"/>
      <c r="P80" s="87"/>
      <c r="Q80" s="87"/>
      <c r="R80" s="87"/>
      <c r="S80" s="87"/>
      <c r="T80" s="87"/>
      <c r="U80" s="87"/>
      <c r="V80" s="87"/>
      <c r="W80" s="87"/>
      <c r="X80" s="87"/>
      <c r="Y80" s="87"/>
      <c r="Z80" s="87"/>
      <c r="AA80" s="87"/>
      <c r="AC80" s="87"/>
      <c r="AD80" s="87"/>
      <c r="AE80" s="87"/>
      <c r="AF80" s="87"/>
      <c r="AG80" s="87"/>
      <c r="AH80" s="87"/>
      <c r="AI80" s="87"/>
      <c r="AJ80" s="87"/>
      <c r="AK80" s="87"/>
      <c r="AL80" s="87"/>
      <c r="AM80" s="87"/>
    </row>
    <row r="81" spans="1:39">
      <c r="A81" s="1"/>
      <c r="B81" s="4"/>
      <c r="H81" s="87"/>
      <c r="J81" s="87"/>
      <c r="L81" s="87"/>
      <c r="N81" s="87"/>
      <c r="O81" s="87"/>
      <c r="P81" s="87"/>
      <c r="Q81" s="87"/>
      <c r="R81" s="87"/>
      <c r="S81" s="87"/>
      <c r="T81" s="87"/>
      <c r="U81" s="87"/>
      <c r="V81" s="87"/>
      <c r="W81" s="87"/>
      <c r="X81" s="87"/>
      <c r="Y81" s="87"/>
      <c r="Z81" s="87"/>
      <c r="AA81" s="87"/>
      <c r="AC81" s="87"/>
      <c r="AD81" s="87"/>
      <c r="AE81" s="87"/>
      <c r="AF81" s="87"/>
      <c r="AG81" s="87"/>
      <c r="AH81" s="87"/>
      <c r="AI81" s="87"/>
      <c r="AJ81" s="87"/>
      <c r="AK81" s="87"/>
      <c r="AL81" s="87"/>
      <c r="AM81" s="87"/>
    </row>
    <row r="82" spans="1:39">
      <c r="A82" s="1"/>
      <c r="B82" s="4"/>
      <c r="H82" s="87"/>
      <c r="J82" s="87"/>
      <c r="L82" s="87"/>
      <c r="N82" s="87"/>
      <c r="O82" s="87"/>
      <c r="P82" s="87"/>
      <c r="Q82" s="87"/>
      <c r="R82" s="87"/>
      <c r="S82" s="87"/>
      <c r="T82" s="87"/>
      <c r="U82" s="87"/>
      <c r="V82" s="87"/>
      <c r="W82" s="87"/>
      <c r="X82" s="87"/>
      <c r="Y82" s="87"/>
      <c r="Z82" s="87"/>
      <c r="AA82" s="87"/>
      <c r="AC82" s="87"/>
      <c r="AD82" s="87"/>
      <c r="AE82" s="87"/>
      <c r="AF82" s="87"/>
      <c r="AG82" s="87"/>
      <c r="AH82" s="87"/>
      <c r="AI82" s="87"/>
      <c r="AJ82" s="87"/>
      <c r="AK82" s="87"/>
      <c r="AL82" s="87"/>
      <c r="AM82" s="87"/>
    </row>
    <row r="83" spans="1:39">
      <c r="A83" s="1"/>
      <c r="B83" s="4"/>
      <c r="H83" s="87"/>
      <c r="J83" s="87"/>
      <c r="L83" s="87"/>
      <c r="N83" s="87"/>
      <c r="O83" s="87"/>
      <c r="P83" s="87"/>
      <c r="Q83" s="87"/>
      <c r="R83" s="87"/>
      <c r="S83" s="87"/>
      <c r="T83" s="87"/>
      <c r="U83" s="87"/>
      <c r="V83" s="87"/>
      <c r="W83" s="87"/>
      <c r="X83" s="87"/>
      <c r="Y83" s="87"/>
      <c r="Z83" s="87"/>
      <c r="AA83" s="87"/>
      <c r="AC83" s="87"/>
      <c r="AD83" s="87"/>
      <c r="AE83" s="87"/>
      <c r="AF83" s="87"/>
      <c r="AG83" s="87"/>
      <c r="AH83" s="87"/>
      <c r="AI83" s="87"/>
      <c r="AJ83" s="87"/>
      <c r="AK83" s="87"/>
      <c r="AL83" s="87"/>
      <c r="AM83" s="87"/>
    </row>
    <row r="84" spans="1:39">
      <c r="A84" s="1"/>
      <c r="B84" s="4"/>
      <c r="H84" s="87"/>
      <c r="J84" s="87"/>
      <c r="L84" s="87"/>
      <c r="N84" s="87"/>
      <c r="O84" s="87"/>
      <c r="P84" s="87"/>
      <c r="Q84" s="87"/>
      <c r="R84" s="87"/>
      <c r="S84" s="87"/>
      <c r="T84" s="87"/>
      <c r="U84" s="87"/>
      <c r="V84" s="87"/>
      <c r="W84" s="87"/>
      <c r="X84" s="87"/>
      <c r="Y84" s="87"/>
      <c r="Z84" s="87"/>
      <c r="AA84" s="87"/>
      <c r="AC84" s="87"/>
      <c r="AD84" s="87"/>
      <c r="AE84" s="87"/>
      <c r="AF84" s="87"/>
      <c r="AG84" s="87"/>
      <c r="AH84" s="87"/>
      <c r="AI84" s="87"/>
      <c r="AJ84" s="87"/>
      <c r="AK84" s="87"/>
      <c r="AL84" s="87"/>
      <c r="AM84" s="87"/>
    </row>
    <row r="85" spans="1:39">
      <c r="A85" s="1"/>
      <c r="B85" s="4"/>
      <c r="H85" s="87"/>
      <c r="J85" s="87"/>
      <c r="L85" s="87"/>
      <c r="N85" s="87"/>
      <c r="O85" s="87"/>
      <c r="P85" s="87"/>
      <c r="Q85" s="87"/>
      <c r="R85" s="87"/>
      <c r="S85" s="87"/>
      <c r="T85" s="87"/>
      <c r="U85" s="87"/>
      <c r="V85" s="87"/>
      <c r="W85" s="87"/>
      <c r="X85" s="87"/>
      <c r="Y85" s="87"/>
      <c r="Z85" s="87"/>
      <c r="AA85" s="87"/>
      <c r="AC85" s="87"/>
      <c r="AD85" s="87"/>
      <c r="AE85" s="87"/>
      <c r="AF85" s="87"/>
      <c r="AG85" s="87"/>
      <c r="AH85" s="87"/>
      <c r="AI85" s="87"/>
      <c r="AJ85" s="87"/>
      <c r="AK85" s="87"/>
      <c r="AL85" s="87"/>
      <c r="AM85" s="87"/>
    </row>
    <row r="86" spans="1:39">
      <c r="A86" s="1"/>
      <c r="B86" s="4"/>
      <c r="H86" s="87"/>
      <c r="J86" s="87"/>
      <c r="L86" s="87"/>
      <c r="N86" s="87"/>
      <c r="O86" s="87"/>
      <c r="P86" s="87"/>
      <c r="Q86" s="87"/>
      <c r="R86" s="87"/>
      <c r="S86" s="87"/>
      <c r="T86" s="87"/>
      <c r="U86" s="87"/>
      <c r="V86" s="87"/>
      <c r="W86" s="87"/>
      <c r="X86" s="87"/>
      <c r="Y86" s="87"/>
      <c r="Z86" s="87"/>
      <c r="AA86" s="87"/>
      <c r="AC86" s="87"/>
      <c r="AD86" s="87"/>
      <c r="AE86" s="87"/>
      <c r="AF86" s="87"/>
      <c r="AG86" s="87"/>
      <c r="AH86" s="87"/>
      <c r="AI86" s="87"/>
      <c r="AJ86" s="87"/>
      <c r="AK86" s="87"/>
      <c r="AL86" s="87"/>
      <c r="AM86" s="87"/>
    </row>
    <row r="87" spans="1:39">
      <c r="A87" s="1"/>
      <c r="B87" s="4"/>
      <c r="H87" s="87"/>
      <c r="J87" s="87"/>
      <c r="L87" s="87"/>
      <c r="N87" s="87"/>
      <c r="O87" s="87"/>
      <c r="P87" s="87"/>
      <c r="Q87" s="87"/>
      <c r="R87" s="87"/>
      <c r="S87" s="87"/>
      <c r="T87" s="87"/>
      <c r="U87" s="87"/>
      <c r="V87" s="87"/>
      <c r="W87" s="87"/>
      <c r="X87" s="87"/>
      <c r="Y87" s="87"/>
      <c r="Z87" s="87"/>
      <c r="AA87" s="87"/>
      <c r="AC87" s="87"/>
      <c r="AD87" s="87"/>
      <c r="AE87" s="87"/>
      <c r="AF87" s="87"/>
      <c r="AG87" s="87"/>
      <c r="AH87" s="87"/>
      <c r="AI87" s="87"/>
      <c r="AJ87" s="87"/>
      <c r="AK87" s="87"/>
      <c r="AL87" s="87"/>
      <c r="AM87" s="87"/>
    </row>
    <row r="88" spans="1:39">
      <c r="A88" s="1"/>
      <c r="B88" s="4"/>
      <c r="H88" s="87"/>
      <c r="J88" s="87"/>
      <c r="L88" s="87"/>
      <c r="N88" s="87"/>
      <c r="O88" s="87"/>
      <c r="P88" s="87"/>
      <c r="Q88" s="87"/>
      <c r="R88" s="87"/>
      <c r="S88" s="87"/>
      <c r="T88" s="87"/>
      <c r="U88" s="87"/>
      <c r="V88" s="87"/>
      <c r="W88" s="87"/>
      <c r="X88" s="87"/>
      <c r="Y88" s="87"/>
      <c r="Z88" s="87"/>
      <c r="AA88" s="87"/>
      <c r="AC88" s="87"/>
      <c r="AD88" s="87"/>
      <c r="AE88" s="87"/>
      <c r="AF88" s="87"/>
      <c r="AG88" s="87"/>
      <c r="AH88" s="87"/>
      <c r="AI88" s="87"/>
      <c r="AJ88" s="87"/>
      <c r="AK88" s="87"/>
      <c r="AL88" s="87"/>
      <c r="AM88" s="87"/>
    </row>
    <row r="89" spans="1:39">
      <c r="A89" s="1"/>
      <c r="B89" s="4"/>
      <c r="H89" s="87"/>
      <c r="J89" s="87"/>
      <c r="L89" s="87"/>
      <c r="N89" s="87"/>
      <c r="O89" s="87"/>
      <c r="P89" s="87"/>
      <c r="Q89" s="87"/>
      <c r="R89" s="87"/>
      <c r="S89" s="87"/>
      <c r="T89" s="87"/>
      <c r="U89" s="87"/>
      <c r="V89" s="87"/>
      <c r="W89" s="87"/>
      <c r="X89" s="87"/>
      <c r="Y89" s="87"/>
      <c r="Z89" s="87"/>
      <c r="AA89" s="87"/>
      <c r="AC89" s="87"/>
      <c r="AD89" s="87"/>
      <c r="AE89" s="87"/>
      <c r="AF89" s="87"/>
      <c r="AG89" s="87"/>
      <c r="AH89" s="87"/>
      <c r="AI89" s="87"/>
      <c r="AJ89" s="87"/>
      <c r="AK89" s="87"/>
      <c r="AL89" s="87"/>
      <c r="AM89" s="87"/>
    </row>
    <row r="90" spans="1:39">
      <c r="A90" s="1"/>
      <c r="B90" s="4"/>
      <c r="H90" s="87"/>
      <c r="J90" s="87"/>
      <c r="L90" s="87"/>
      <c r="N90" s="87"/>
      <c r="O90" s="87"/>
      <c r="P90" s="87"/>
      <c r="Q90" s="87"/>
      <c r="R90" s="87"/>
      <c r="S90" s="87"/>
      <c r="T90" s="87"/>
      <c r="U90" s="87"/>
      <c r="V90" s="87"/>
      <c r="W90" s="87"/>
      <c r="X90" s="87"/>
      <c r="Y90" s="87"/>
      <c r="Z90" s="87"/>
      <c r="AA90" s="87"/>
      <c r="AC90" s="87"/>
      <c r="AD90" s="87"/>
      <c r="AE90" s="87"/>
      <c r="AF90" s="87"/>
      <c r="AG90" s="87"/>
      <c r="AH90" s="87"/>
      <c r="AI90" s="87"/>
      <c r="AJ90" s="87"/>
      <c r="AK90" s="87"/>
      <c r="AL90" s="87"/>
      <c r="AM90" s="87"/>
    </row>
    <row r="91" spans="1:39">
      <c r="A91" s="1"/>
      <c r="B91" s="4"/>
      <c r="H91" s="87"/>
      <c r="J91" s="87"/>
      <c r="L91" s="87"/>
      <c r="N91" s="87"/>
      <c r="O91" s="87"/>
      <c r="P91" s="87"/>
      <c r="Q91" s="87"/>
      <c r="R91" s="87"/>
      <c r="S91" s="87"/>
      <c r="T91" s="87"/>
      <c r="U91" s="87"/>
      <c r="V91" s="87"/>
      <c r="W91" s="87"/>
      <c r="X91" s="87"/>
      <c r="Y91" s="87"/>
      <c r="Z91" s="87"/>
      <c r="AA91" s="87"/>
      <c r="AC91" s="87"/>
      <c r="AD91" s="87"/>
      <c r="AE91" s="87"/>
      <c r="AF91" s="87"/>
      <c r="AG91" s="87"/>
      <c r="AH91" s="87"/>
      <c r="AI91" s="87"/>
      <c r="AJ91" s="87"/>
      <c r="AK91" s="87"/>
      <c r="AL91" s="87"/>
      <c r="AM91" s="87"/>
    </row>
  </sheetData>
  <autoFilter ref="A15:AM40"/>
  <mergeCells count="21">
    <mergeCell ref="C53:D53"/>
    <mergeCell ref="C54:D54"/>
    <mergeCell ref="S1:V1"/>
    <mergeCell ref="S2:V2"/>
    <mergeCell ref="A1:A2"/>
    <mergeCell ref="B11:G11"/>
    <mergeCell ref="W1:AA1"/>
    <mergeCell ref="W2:AA2"/>
    <mergeCell ref="B10:G10"/>
    <mergeCell ref="A7:G7"/>
    <mergeCell ref="A8:G8"/>
    <mergeCell ref="H3:M8"/>
    <mergeCell ref="D2:R2"/>
    <mergeCell ref="B9:D9"/>
    <mergeCell ref="D1:R1"/>
    <mergeCell ref="A3:G3"/>
    <mergeCell ref="A4:G4"/>
    <mergeCell ref="A5:G5"/>
    <mergeCell ref="A6:G6"/>
    <mergeCell ref="B1:C1"/>
    <mergeCell ref="B2:C2"/>
  </mergeCells>
  <phoneticPr fontId="6" type="noConversion"/>
  <printOptions horizontalCentered="1" verticalCentered="1"/>
  <pageMargins left="1.0236220472440944" right="0.39370078740157483" top="0" bottom="0" header="0" footer="0"/>
  <pageSetup scale="2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58"/>
  <sheetViews>
    <sheetView zoomScale="85" zoomScaleNormal="85" zoomScaleSheetLayoutView="40" workbookViewId="0">
      <selection sqref="A1:A2"/>
    </sheetView>
  </sheetViews>
  <sheetFormatPr baseColWidth="10" defaultRowHeight="12.75"/>
  <cols>
    <col min="1" max="1" width="27.140625" style="87" customWidth="1"/>
    <col min="2" max="2" width="22.85546875" style="87" customWidth="1"/>
    <col min="3" max="3" width="25" style="87" customWidth="1"/>
    <col min="4" max="4" width="26.7109375" style="87" customWidth="1"/>
    <col min="5" max="5" width="23.42578125" style="87" customWidth="1"/>
    <col min="6" max="6" width="28.42578125" style="87" customWidth="1"/>
    <col min="7" max="7" width="32.85546875" style="87" customWidth="1"/>
    <col min="8" max="8" width="13.42578125" style="172" customWidth="1"/>
    <col min="9" max="9" width="10.140625" style="87" customWidth="1"/>
    <col min="10" max="10" width="18.7109375" style="97" bestFit="1" customWidth="1"/>
    <col min="11" max="11" width="16.28515625" style="87" customWidth="1"/>
    <col min="12" max="12" width="18.28515625" style="97" bestFit="1" customWidth="1"/>
    <col min="13" max="13" width="13.5703125" style="87" customWidth="1"/>
    <col min="14" max="15" width="10.28515625" style="97" bestFit="1" customWidth="1"/>
    <col min="16" max="16" width="13.140625" style="97" bestFit="1" customWidth="1"/>
    <col min="17" max="17" width="12.7109375" style="97" bestFit="1" customWidth="1"/>
    <col min="18" max="18" width="13.42578125" style="97" bestFit="1" customWidth="1"/>
    <col min="19" max="20" width="13.140625" style="97" bestFit="1" customWidth="1"/>
    <col min="21" max="23" width="13.42578125" style="97" bestFit="1" customWidth="1"/>
    <col min="24" max="24" width="13.140625" style="97" bestFit="1" customWidth="1"/>
    <col min="25" max="25" width="13.85546875" style="97" customWidth="1"/>
    <col min="26" max="26" width="21.28515625" style="96" bestFit="1" customWidth="1"/>
    <col min="27" max="27" width="16.5703125" style="97" customWidth="1"/>
    <col min="28" max="28" width="11.42578125" style="87"/>
    <col min="29" max="29" width="46.7109375" style="87" customWidth="1"/>
    <col min="30" max="30" width="11.42578125" style="87"/>
    <col min="31" max="31" width="15.85546875" style="87" bestFit="1" customWidth="1"/>
    <col min="32" max="32" width="11.42578125" style="340"/>
    <col min="33" max="33" width="11.42578125" style="175"/>
    <col min="34" max="34" width="15.85546875" style="87" bestFit="1" customWidth="1"/>
    <col min="35" max="35" width="11.42578125" style="341"/>
    <col min="36" max="36" width="13.42578125" style="125" customWidth="1"/>
    <col min="37" max="37" width="13.42578125" style="87" customWidth="1"/>
    <col min="38" max="38" width="16" style="97" bestFit="1" customWidth="1"/>
    <col min="39" max="39" width="15.85546875" style="342" bestFit="1" customWidth="1"/>
    <col min="40" max="16384" width="11.42578125" style="87"/>
  </cols>
  <sheetData>
    <row r="1" spans="1:39" ht="54.75" customHeight="1">
      <c r="A1" s="574"/>
      <c r="B1" s="568" t="s">
        <v>65</v>
      </c>
      <c r="C1" s="568"/>
      <c r="D1" s="564" t="s">
        <v>68</v>
      </c>
      <c r="E1" s="564"/>
      <c r="F1" s="564"/>
      <c r="G1" s="564"/>
      <c r="H1" s="564"/>
      <c r="I1" s="564"/>
      <c r="J1" s="564"/>
      <c r="K1" s="564"/>
      <c r="L1" s="564"/>
      <c r="M1" s="564"/>
      <c r="N1" s="564"/>
      <c r="O1" s="564"/>
      <c r="P1" s="564"/>
      <c r="Q1" s="564"/>
      <c r="R1" s="564"/>
      <c r="S1" s="572" t="s">
        <v>66</v>
      </c>
      <c r="T1" s="572"/>
      <c r="U1" s="572"/>
      <c r="V1" s="572"/>
      <c r="W1" s="547" t="s">
        <v>64</v>
      </c>
      <c r="X1" s="547"/>
      <c r="Y1" s="547"/>
      <c r="Z1" s="547"/>
      <c r="AA1" s="547"/>
    </row>
    <row r="2" spans="1:39" ht="54.75" customHeight="1" thickBot="1">
      <c r="A2" s="575"/>
      <c r="B2" s="569" t="s">
        <v>69</v>
      </c>
      <c r="C2" s="569"/>
      <c r="D2" s="561" t="s">
        <v>60</v>
      </c>
      <c r="E2" s="561"/>
      <c r="F2" s="561"/>
      <c r="G2" s="561"/>
      <c r="H2" s="561"/>
      <c r="I2" s="561"/>
      <c r="J2" s="561"/>
      <c r="K2" s="561"/>
      <c r="L2" s="561"/>
      <c r="M2" s="561"/>
      <c r="N2" s="561"/>
      <c r="O2" s="561"/>
      <c r="P2" s="561"/>
      <c r="Q2" s="561"/>
      <c r="R2" s="561"/>
      <c r="S2" s="573" t="s">
        <v>67</v>
      </c>
      <c r="T2" s="573"/>
      <c r="U2" s="573"/>
      <c r="V2" s="573"/>
      <c r="W2" s="548">
        <v>1</v>
      </c>
      <c r="X2" s="548"/>
      <c r="Y2" s="548"/>
      <c r="Z2" s="548"/>
      <c r="AA2" s="548"/>
    </row>
    <row r="3" spans="1:39" s="112" customFormat="1">
      <c r="A3" s="566" t="s">
        <v>145</v>
      </c>
      <c r="B3" s="567"/>
      <c r="C3" s="567"/>
      <c r="D3" s="567"/>
      <c r="E3" s="567"/>
      <c r="F3" s="567"/>
      <c r="G3" s="567"/>
      <c r="H3" s="427"/>
      <c r="I3" s="364"/>
      <c r="J3" s="365"/>
      <c r="K3" s="364"/>
      <c r="L3" s="365"/>
      <c r="M3" s="364"/>
      <c r="N3" s="238"/>
      <c r="O3" s="238"/>
      <c r="P3" s="238"/>
      <c r="Q3" s="238"/>
      <c r="R3" s="238"/>
      <c r="S3" s="238"/>
      <c r="T3" s="238"/>
      <c r="U3" s="238"/>
      <c r="V3" s="238"/>
      <c r="W3" s="238"/>
      <c r="X3" s="238"/>
      <c r="Y3" s="238"/>
      <c r="Z3" s="239"/>
      <c r="AA3" s="240"/>
      <c r="AF3" s="343"/>
      <c r="AG3" s="344"/>
      <c r="AI3" s="345"/>
      <c r="AJ3" s="130"/>
      <c r="AL3" s="116"/>
      <c r="AM3" s="346"/>
    </row>
    <row r="4" spans="1:39" s="112" customFormat="1">
      <c r="A4" s="551" t="s">
        <v>170</v>
      </c>
      <c r="B4" s="552"/>
      <c r="C4" s="552"/>
      <c r="D4" s="552"/>
      <c r="E4" s="552"/>
      <c r="F4" s="552"/>
      <c r="G4" s="552"/>
      <c r="H4" s="428"/>
      <c r="I4" s="347"/>
      <c r="J4" s="348"/>
      <c r="K4" s="347"/>
      <c r="L4" s="348"/>
      <c r="M4" s="347"/>
      <c r="N4" s="201"/>
      <c r="O4" s="201"/>
      <c r="P4" s="201"/>
      <c r="Q4" s="201"/>
      <c r="R4" s="201"/>
      <c r="S4" s="201"/>
      <c r="T4" s="201"/>
      <c r="U4" s="201"/>
      <c r="V4" s="201"/>
      <c r="W4" s="201"/>
      <c r="X4" s="201"/>
      <c r="Y4" s="201"/>
      <c r="Z4" s="202"/>
      <c r="AA4" s="241"/>
      <c r="AF4" s="343"/>
      <c r="AG4" s="344"/>
      <c r="AI4" s="345"/>
      <c r="AJ4" s="130"/>
      <c r="AL4" s="116"/>
      <c r="AM4" s="346"/>
    </row>
    <row r="5" spans="1:39" s="112" customFormat="1">
      <c r="A5" s="577" t="s">
        <v>90</v>
      </c>
      <c r="B5" s="578"/>
      <c r="C5" s="578"/>
      <c r="D5" s="578"/>
      <c r="E5" s="578"/>
      <c r="F5" s="578"/>
      <c r="G5" s="578"/>
      <c r="H5" s="428"/>
      <c r="I5" s="347"/>
      <c r="J5" s="348"/>
      <c r="K5" s="347"/>
      <c r="L5" s="348"/>
      <c r="M5" s="347"/>
      <c r="N5" s="201"/>
      <c r="O5" s="201"/>
      <c r="P5" s="201"/>
      <c r="Q5" s="201"/>
      <c r="R5" s="201"/>
      <c r="S5" s="201"/>
      <c r="T5" s="201"/>
      <c r="U5" s="201"/>
      <c r="V5" s="201"/>
      <c r="W5" s="201"/>
      <c r="X5" s="201"/>
      <c r="Y5" s="201"/>
      <c r="Z5" s="202"/>
      <c r="AA5" s="241"/>
      <c r="AF5" s="343"/>
      <c r="AG5" s="344"/>
      <c r="AI5" s="345"/>
      <c r="AJ5" s="130"/>
      <c r="AL5" s="116"/>
      <c r="AM5" s="346"/>
    </row>
    <row r="6" spans="1:39" s="112" customFormat="1">
      <c r="A6" s="577" t="s">
        <v>91</v>
      </c>
      <c r="B6" s="578"/>
      <c r="C6" s="578"/>
      <c r="D6" s="578"/>
      <c r="E6" s="578"/>
      <c r="F6" s="578"/>
      <c r="G6" s="578"/>
      <c r="H6" s="428"/>
      <c r="I6" s="347"/>
      <c r="J6" s="348"/>
      <c r="K6" s="347"/>
      <c r="L6" s="348"/>
      <c r="M6" s="347"/>
      <c r="N6" s="201"/>
      <c r="O6" s="201"/>
      <c r="P6" s="201"/>
      <c r="Q6" s="201"/>
      <c r="R6" s="201"/>
      <c r="S6" s="201"/>
      <c r="T6" s="201"/>
      <c r="U6" s="201"/>
      <c r="V6" s="201"/>
      <c r="W6" s="201"/>
      <c r="X6" s="201"/>
      <c r="Y6" s="201"/>
      <c r="Z6" s="202"/>
      <c r="AA6" s="241"/>
      <c r="AF6" s="343"/>
      <c r="AG6" s="344"/>
      <c r="AI6" s="345"/>
      <c r="AJ6" s="130"/>
      <c r="AL6" s="116"/>
      <c r="AM6" s="346"/>
    </row>
    <row r="7" spans="1:39" s="112" customFormat="1">
      <c r="A7" s="579" t="s">
        <v>92</v>
      </c>
      <c r="B7" s="580"/>
      <c r="C7" s="580"/>
      <c r="D7" s="580"/>
      <c r="E7" s="580"/>
      <c r="F7" s="580"/>
      <c r="G7" s="580"/>
      <c r="H7" s="428"/>
      <c r="I7" s="347"/>
      <c r="J7" s="348"/>
      <c r="K7" s="347"/>
      <c r="L7" s="348"/>
      <c r="M7" s="347"/>
      <c r="N7" s="201"/>
      <c r="O7" s="201"/>
      <c r="P7" s="201"/>
      <c r="Q7" s="201"/>
      <c r="R7" s="201"/>
      <c r="S7" s="201"/>
      <c r="T7" s="201"/>
      <c r="U7" s="201"/>
      <c r="V7" s="201"/>
      <c r="W7" s="201"/>
      <c r="X7" s="201"/>
      <c r="Y7" s="201"/>
      <c r="Z7" s="202"/>
      <c r="AA7" s="241"/>
      <c r="AF7" s="343"/>
      <c r="AG7" s="344"/>
      <c r="AI7" s="345"/>
      <c r="AJ7" s="130"/>
      <c r="AL7" s="116"/>
      <c r="AM7" s="346"/>
    </row>
    <row r="8" spans="1:39" s="112" customFormat="1">
      <c r="A8" s="581" t="s">
        <v>93</v>
      </c>
      <c r="B8" s="582"/>
      <c r="C8" s="582"/>
      <c r="D8" s="582"/>
      <c r="E8" s="582"/>
      <c r="F8" s="582"/>
      <c r="G8" s="582"/>
      <c r="H8" s="428"/>
      <c r="I8" s="347"/>
      <c r="J8" s="348"/>
      <c r="K8" s="347"/>
      <c r="L8" s="348"/>
      <c r="M8" s="347"/>
      <c r="N8" s="201"/>
      <c r="O8" s="201"/>
      <c r="P8" s="201"/>
      <c r="Q8" s="201"/>
      <c r="R8" s="201"/>
      <c r="S8" s="201"/>
      <c r="T8" s="201"/>
      <c r="U8" s="201"/>
      <c r="V8" s="201"/>
      <c r="W8" s="201"/>
      <c r="X8" s="201"/>
      <c r="Y8" s="201"/>
      <c r="Z8" s="202"/>
      <c r="AA8" s="241"/>
      <c r="AF8" s="343"/>
      <c r="AG8" s="344"/>
      <c r="AI8" s="345"/>
      <c r="AJ8" s="130"/>
      <c r="AL8" s="116"/>
      <c r="AM8" s="346"/>
    </row>
    <row r="9" spans="1:39" ht="26.25" customHeight="1">
      <c r="A9" s="242" t="s">
        <v>54</v>
      </c>
      <c r="B9" s="563" t="s">
        <v>74</v>
      </c>
      <c r="C9" s="563"/>
      <c r="D9" s="563"/>
      <c r="E9" s="326"/>
      <c r="F9" s="326"/>
      <c r="G9" s="326"/>
      <c r="H9" s="349"/>
      <c r="I9" s="205"/>
      <c r="J9" s="201"/>
      <c r="K9" s="205"/>
      <c r="L9" s="201"/>
      <c r="M9" s="205"/>
      <c r="N9" s="201"/>
      <c r="O9" s="201"/>
      <c r="P9" s="201"/>
      <c r="Q9" s="201"/>
      <c r="R9" s="201"/>
      <c r="S9" s="201"/>
      <c r="T9" s="201"/>
      <c r="U9" s="201"/>
      <c r="V9" s="201"/>
      <c r="W9" s="201"/>
      <c r="X9" s="201"/>
      <c r="Y9" s="201"/>
      <c r="Z9" s="202"/>
      <c r="AA9" s="241"/>
    </row>
    <row r="10" spans="1:39" ht="23.25" customHeight="1">
      <c r="A10" s="242" t="s">
        <v>53</v>
      </c>
      <c r="B10" s="549" t="s">
        <v>94</v>
      </c>
      <c r="C10" s="549"/>
      <c r="D10" s="549"/>
      <c r="E10" s="549"/>
      <c r="F10" s="549"/>
      <c r="G10" s="549"/>
      <c r="H10" s="349"/>
      <c r="I10" s="205"/>
      <c r="J10" s="201"/>
      <c r="K10" s="205"/>
      <c r="L10" s="201"/>
      <c r="M10" s="205"/>
      <c r="N10" s="201"/>
      <c r="O10" s="201"/>
      <c r="P10" s="201"/>
      <c r="Q10" s="201"/>
      <c r="R10" s="201"/>
      <c r="S10" s="201"/>
      <c r="T10" s="201"/>
      <c r="U10" s="201"/>
      <c r="V10" s="201"/>
      <c r="W10" s="201"/>
      <c r="X10" s="201"/>
      <c r="Y10" s="201"/>
      <c r="Z10" s="202"/>
      <c r="AA10" s="241"/>
    </row>
    <row r="11" spans="1:39" ht="30.75" customHeight="1">
      <c r="A11" s="243" t="s">
        <v>55</v>
      </c>
      <c r="B11" s="576" t="s">
        <v>95</v>
      </c>
      <c r="C11" s="576"/>
      <c r="D11" s="576"/>
      <c r="E11" s="576"/>
      <c r="F11" s="576"/>
      <c r="G11" s="576"/>
      <c r="H11" s="349"/>
      <c r="I11" s="205"/>
      <c r="J11" s="201"/>
      <c r="K11" s="205"/>
      <c r="L11" s="201"/>
      <c r="M11" s="205"/>
      <c r="N11" s="201"/>
      <c r="O11" s="201"/>
      <c r="P11" s="201"/>
      <c r="Q11" s="201"/>
      <c r="R11" s="201"/>
      <c r="S11" s="201"/>
      <c r="T11" s="201"/>
      <c r="U11" s="201"/>
      <c r="V11" s="201"/>
      <c r="W11" s="201"/>
      <c r="X11" s="201"/>
      <c r="Y11" s="201"/>
      <c r="Z11" s="202"/>
      <c r="AA11" s="241"/>
    </row>
    <row r="12" spans="1:39" ht="13.5" customHeight="1">
      <c r="A12" s="244" t="s">
        <v>59</v>
      </c>
      <c r="B12" s="206">
        <v>43104</v>
      </c>
      <c r="C12" s="207"/>
      <c r="D12" s="207"/>
      <c r="E12" s="207"/>
      <c r="F12" s="207"/>
      <c r="G12" s="207"/>
      <c r="H12" s="349"/>
      <c r="I12" s="205"/>
      <c r="J12" s="201"/>
      <c r="K12" s="205"/>
      <c r="L12" s="201"/>
      <c r="M12" s="205"/>
      <c r="N12" s="201"/>
      <c r="O12" s="201"/>
      <c r="P12" s="201"/>
      <c r="Q12" s="201"/>
      <c r="R12" s="201"/>
      <c r="S12" s="201"/>
      <c r="T12" s="201"/>
      <c r="U12" s="201"/>
      <c r="V12" s="201"/>
      <c r="W12" s="201"/>
      <c r="X12" s="201"/>
      <c r="Y12" s="201"/>
      <c r="Z12" s="202"/>
      <c r="AA12" s="241"/>
    </row>
    <row r="13" spans="1:39" ht="13.5" customHeight="1">
      <c r="A13" s="245" t="s">
        <v>56</v>
      </c>
      <c r="B13" s="209"/>
      <c r="C13" s="207"/>
      <c r="D13" s="207"/>
      <c r="E13" s="207"/>
      <c r="F13" s="207"/>
      <c r="G13" s="207"/>
      <c r="H13" s="349"/>
      <c r="I13" s="205"/>
      <c r="J13" s="201"/>
      <c r="K13" s="205"/>
      <c r="L13" s="201"/>
      <c r="M13" s="205"/>
      <c r="N13" s="212"/>
      <c r="O13" s="212"/>
      <c r="P13" s="212"/>
      <c r="Q13" s="212"/>
      <c r="R13" s="212"/>
      <c r="S13" s="212"/>
      <c r="T13" s="212"/>
      <c r="U13" s="212"/>
      <c r="V13" s="212"/>
      <c r="W13" s="212"/>
      <c r="X13" s="212"/>
      <c r="Y13" s="212"/>
      <c r="Z13" s="214"/>
      <c r="AA13" s="246"/>
    </row>
    <row r="14" spans="1:39" ht="28.5" customHeight="1">
      <c r="A14" s="247" t="s">
        <v>96</v>
      </c>
      <c r="B14" s="327">
        <f>B116</f>
        <v>4440421834</v>
      </c>
      <c r="C14" s="328"/>
      <c r="D14" s="211"/>
      <c r="E14" s="211"/>
      <c r="F14" s="211"/>
      <c r="G14" s="211"/>
      <c r="H14" s="350"/>
      <c r="I14" s="351"/>
      <c r="J14" s="352"/>
      <c r="K14" s="347"/>
      <c r="L14" s="348"/>
      <c r="M14" s="353"/>
      <c r="N14" s="329" t="s">
        <v>57</v>
      </c>
      <c r="O14" s="330" t="s">
        <v>21</v>
      </c>
      <c r="P14" s="330" t="s">
        <v>20</v>
      </c>
      <c r="Q14" s="330" t="s">
        <v>19</v>
      </c>
      <c r="R14" s="330" t="s">
        <v>18</v>
      </c>
      <c r="S14" s="330" t="s">
        <v>10</v>
      </c>
      <c r="T14" s="330" t="s">
        <v>11</v>
      </c>
      <c r="U14" s="330" t="s">
        <v>12</v>
      </c>
      <c r="V14" s="330" t="s">
        <v>13</v>
      </c>
      <c r="W14" s="330" t="s">
        <v>14</v>
      </c>
      <c r="X14" s="330" t="s">
        <v>15</v>
      </c>
      <c r="Y14" s="236" t="s">
        <v>16</v>
      </c>
      <c r="Z14" s="237" t="s">
        <v>17</v>
      </c>
      <c r="AA14" s="248" t="s">
        <v>9</v>
      </c>
    </row>
    <row r="15" spans="1:39" ht="43.5" customHeight="1">
      <c r="A15" s="249" t="s">
        <v>22</v>
      </c>
      <c r="B15" s="331" t="s">
        <v>0</v>
      </c>
      <c r="C15" s="227" t="s">
        <v>2</v>
      </c>
      <c r="D15" s="227" t="s">
        <v>1</v>
      </c>
      <c r="E15" s="227" t="s">
        <v>61</v>
      </c>
      <c r="F15" s="227" t="s">
        <v>172</v>
      </c>
      <c r="G15" s="227" t="s">
        <v>3</v>
      </c>
      <c r="H15" s="332" t="s">
        <v>63</v>
      </c>
      <c r="I15" s="333" t="s">
        <v>4</v>
      </c>
      <c r="J15" s="235" t="s">
        <v>5</v>
      </c>
      <c r="K15" s="235" t="s">
        <v>6</v>
      </c>
      <c r="L15" s="235" t="s">
        <v>5</v>
      </c>
      <c r="M15" s="236" t="s">
        <v>62</v>
      </c>
      <c r="N15" s="334" t="s">
        <v>7</v>
      </c>
      <c r="O15" s="335" t="s">
        <v>7</v>
      </c>
      <c r="P15" s="335" t="s">
        <v>7</v>
      </c>
      <c r="Q15" s="335" t="s">
        <v>7</v>
      </c>
      <c r="R15" s="335" t="s">
        <v>7</v>
      </c>
      <c r="S15" s="335" t="s">
        <v>7</v>
      </c>
      <c r="T15" s="335" t="s">
        <v>7</v>
      </c>
      <c r="U15" s="335" t="s">
        <v>7</v>
      </c>
      <c r="V15" s="335" t="s">
        <v>7</v>
      </c>
      <c r="W15" s="335" t="s">
        <v>7</v>
      </c>
      <c r="X15" s="335" t="s">
        <v>7</v>
      </c>
      <c r="Y15" s="233" t="s">
        <v>7</v>
      </c>
      <c r="Z15" s="336" t="s">
        <v>8</v>
      </c>
      <c r="AA15" s="366"/>
      <c r="AC15" s="232" t="s">
        <v>188</v>
      </c>
      <c r="AD15" s="232" t="s">
        <v>189</v>
      </c>
      <c r="AE15" s="232" t="s">
        <v>167</v>
      </c>
      <c r="AF15" s="337" t="s">
        <v>190</v>
      </c>
      <c r="AG15" s="338" t="s">
        <v>200</v>
      </c>
      <c r="AH15" s="232" t="s">
        <v>167</v>
      </c>
      <c r="AI15" s="339" t="s">
        <v>190</v>
      </c>
      <c r="AJ15" s="232" t="s">
        <v>191</v>
      </c>
      <c r="AK15" s="232" t="s">
        <v>192</v>
      </c>
      <c r="AL15" s="232" t="s">
        <v>193</v>
      </c>
      <c r="AM15" s="235" t="s">
        <v>194</v>
      </c>
    </row>
    <row r="16" spans="1:39" s="112" customFormat="1" ht="90" customHeight="1">
      <c r="A16" s="252" t="s">
        <v>97</v>
      </c>
      <c r="B16" s="53">
        <f>2577000000-32699392-5199998+57808916+48349540</f>
        <v>2645259066</v>
      </c>
      <c r="C16" s="88" t="s">
        <v>78</v>
      </c>
      <c r="D16" s="88" t="s">
        <v>98</v>
      </c>
      <c r="E16" s="88" t="s">
        <v>99</v>
      </c>
      <c r="F16" s="88" t="s">
        <v>171</v>
      </c>
      <c r="G16" s="88" t="s">
        <v>100</v>
      </c>
      <c r="H16" s="64"/>
      <c r="I16" s="61"/>
      <c r="J16" s="62"/>
      <c r="K16" s="62"/>
      <c r="L16" s="62"/>
      <c r="M16" s="63"/>
      <c r="N16" s="74"/>
      <c r="O16" s="47"/>
      <c r="P16" s="47"/>
      <c r="Q16" s="47"/>
      <c r="R16" s="47"/>
      <c r="S16" s="47"/>
      <c r="T16" s="47"/>
      <c r="U16" s="47"/>
      <c r="V16" s="47"/>
      <c r="W16" s="47"/>
      <c r="X16" s="47"/>
      <c r="Y16" s="48"/>
      <c r="Z16" s="75">
        <f t="shared" ref="Z16" si="0">SUM(N16:Y16)</f>
        <v>0</v>
      </c>
      <c r="AA16" s="251">
        <f t="shared" ref="AA16:AA63" si="1">L16-Z16</f>
        <v>0</v>
      </c>
      <c r="AC16" s="83"/>
      <c r="AD16" s="167">
        <f t="shared" ref="AD16:AD63" si="2">I16</f>
        <v>0</v>
      </c>
      <c r="AE16" s="111">
        <f t="shared" ref="AE16:AE63" si="3">J16</f>
        <v>0</v>
      </c>
      <c r="AF16" s="103"/>
      <c r="AG16" s="139">
        <f t="shared" ref="AG16:AG63" si="4">K16</f>
        <v>0</v>
      </c>
      <c r="AH16" s="111">
        <f t="shared" ref="AH16:AH63" si="5">L16</f>
        <v>0</v>
      </c>
      <c r="AI16" s="199"/>
      <c r="AJ16" s="88"/>
      <c r="AK16" s="111">
        <f>M16</f>
        <v>0</v>
      </c>
      <c r="AL16" s="111"/>
      <c r="AM16" s="101">
        <f>AE16-AH16</f>
        <v>0</v>
      </c>
    </row>
    <row r="17" spans="1:39" s="112" customFormat="1" ht="98.25" customHeight="1">
      <c r="A17" s="254" t="s">
        <v>97</v>
      </c>
      <c r="B17" s="92">
        <f>+J17</f>
        <v>63221400</v>
      </c>
      <c r="C17" s="88" t="s">
        <v>78</v>
      </c>
      <c r="D17" s="88" t="s">
        <v>98</v>
      </c>
      <c r="E17" s="88" t="s">
        <v>99</v>
      </c>
      <c r="F17" s="88" t="s">
        <v>171</v>
      </c>
      <c r="G17" s="88" t="s">
        <v>100</v>
      </c>
      <c r="H17" s="64">
        <v>59</v>
      </c>
      <c r="I17" s="61">
        <v>54</v>
      </c>
      <c r="J17" s="62">
        <f>65785946-2564546</f>
        <v>63221400</v>
      </c>
      <c r="K17" s="62" t="s">
        <v>1232</v>
      </c>
      <c r="L17" s="62">
        <f>63963000+1822946-1822946-741600</f>
        <v>63221400</v>
      </c>
      <c r="M17" s="63">
        <v>38</v>
      </c>
      <c r="N17" s="74"/>
      <c r="O17" s="47"/>
      <c r="P17" s="68">
        <v>7601400</v>
      </c>
      <c r="Q17" s="68">
        <v>5562000</v>
      </c>
      <c r="R17" s="68">
        <v>5562000</v>
      </c>
      <c r="S17" s="68">
        <f t="shared" ref="S17:X17" si="6">5562000</f>
        <v>5562000</v>
      </c>
      <c r="T17" s="68">
        <f t="shared" si="6"/>
        <v>5562000</v>
      </c>
      <c r="U17" s="68">
        <f t="shared" si="6"/>
        <v>5562000</v>
      </c>
      <c r="V17" s="68">
        <f t="shared" si="6"/>
        <v>5562000</v>
      </c>
      <c r="W17" s="68">
        <f t="shared" si="6"/>
        <v>5562000</v>
      </c>
      <c r="X17" s="68">
        <f t="shared" si="6"/>
        <v>5562000</v>
      </c>
      <c r="Y17" s="63">
        <f>5562000+5562000</f>
        <v>11124000</v>
      </c>
      <c r="Z17" s="176">
        <f>SUM(N17:Y17)</f>
        <v>63221400</v>
      </c>
      <c r="AA17" s="251">
        <f t="shared" si="1"/>
        <v>0</v>
      </c>
      <c r="AC17" s="83" t="s">
        <v>205</v>
      </c>
      <c r="AD17" s="167">
        <f t="shared" si="2"/>
        <v>54</v>
      </c>
      <c r="AE17" s="111">
        <f t="shared" si="3"/>
        <v>63221400</v>
      </c>
      <c r="AF17" s="103">
        <v>42766</v>
      </c>
      <c r="AG17" s="139" t="str">
        <f t="shared" si="4"/>
        <v>93-94</v>
      </c>
      <c r="AH17" s="111">
        <f t="shared" si="5"/>
        <v>63221400</v>
      </c>
      <c r="AI17" s="199">
        <v>42755</v>
      </c>
      <c r="AJ17" s="88" t="s">
        <v>328</v>
      </c>
      <c r="AK17" s="111">
        <f t="shared" ref="AK17:AK114" si="7">M17</f>
        <v>38</v>
      </c>
      <c r="AL17" s="111">
        <v>52866784</v>
      </c>
      <c r="AM17" s="101">
        <f t="shared" ref="AM17:AM105" si="8">AE17-AH17</f>
        <v>0</v>
      </c>
    </row>
    <row r="18" spans="1:39" s="112" customFormat="1" ht="88.5" customHeight="1">
      <c r="A18" s="254" t="s">
        <v>97</v>
      </c>
      <c r="B18" s="92">
        <f t="shared" ref="B18:B63" si="9">+J18</f>
        <v>57333333</v>
      </c>
      <c r="C18" s="88" t="s">
        <v>78</v>
      </c>
      <c r="D18" s="88" t="s">
        <v>98</v>
      </c>
      <c r="E18" s="88" t="s">
        <v>99</v>
      </c>
      <c r="F18" s="88" t="s">
        <v>171</v>
      </c>
      <c r="G18" s="88" t="s">
        <v>100</v>
      </c>
      <c r="H18" s="64">
        <v>70</v>
      </c>
      <c r="I18" s="61">
        <v>32</v>
      </c>
      <c r="J18" s="62">
        <f>59138750-1805417</f>
        <v>57333333</v>
      </c>
      <c r="K18" s="62" t="s">
        <v>1233</v>
      </c>
      <c r="L18" s="62">
        <f>57500000+1638750-1638750-166667</f>
        <v>57333333</v>
      </c>
      <c r="M18" s="63">
        <v>14</v>
      </c>
      <c r="N18" s="76"/>
      <c r="O18" s="51"/>
      <c r="P18" s="62">
        <v>7333333</v>
      </c>
      <c r="Q18" s="62">
        <v>5000000</v>
      </c>
      <c r="R18" s="62">
        <v>5000000</v>
      </c>
      <c r="S18" s="62">
        <f t="shared" ref="S18:U19" si="10">5000000</f>
        <v>5000000</v>
      </c>
      <c r="T18" s="62">
        <f t="shared" si="10"/>
        <v>5000000</v>
      </c>
      <c r="U18" s="62">
        <f t="shared" si="10"/>
        <v>5000000</v>
      </c>
      <c r="V18" s="62">
        <f t="shared" ref="V18:X19" si="11">5000000</f>
        <v>5000000</v>
      </c>
      <c r="W18" s="62">
        <f t="shared" si="11"/>
        <v>5000000</v>
      </c>
      <c r="X18" s="62">
        <f t="shared" si="11"/>
        <v>5000000</v>
      </c>
      <c r="Y18" s="79">
        <f>5000000+5000000</f>
        <v>10000000</v>
      </c>
      <c r="Z18" s="176">
        <f t="shared" ref="Z18:Z63" si="12">SUM(N18:Y18)</f>
        <v>57333333</v>
      </c>
      <c r="AA18" s="251">
        <f t="shared" si="1"/>
        <v>0</v>
      </c>
      <c r="AC18" s="83" t="s">
        <v>201</v>
      </c>
      <c r="AD18" s="167">
        <f t="shared" si="2"/>
        <v>32</v>
      </c>
      <c r="AE18" s="111">
        <f t="shared" si="3"/>
        <v>57333333</v>
      </c>
      <c r="AF18" s="103">
        <v>42747</v>
      </c>
      <c r="AG18" s="139" t="str">
        <f t="shared" si="4"/>
        <v>36-37</v>
      </c>
      <c r="AH18" s="111">
        <f t="shared" si="5"/>
        <v>57333333</v>
      </c>
      <c r="AI18" s="199">
        <v>42752</v>
      </c>
      <c r="AJ18" s="88" t="s">
        <v>324</v>
      </c>
      <c r="AK18" s="111">
        <f t="shared" si="7"/>
        <v>14</v>
      </c>
      <c r="AL18" s="111">
        <v>1032430262</v>
      </c>
      <c r="AM18" s="101">
        <f t="shared" si="8"/>
        <v>0</v>
      </c>
    </row>
    <row r="19" spans="1:39" s="112" customFormat="1" ht="90" customHeight="1">
      <c r="A19" s="254" t="s">
        <v>97</v>
      </c>
      <c r="B19" s="92">
        <f t="shared" si="9"/>
        <v>57166667</v>
      </c>
      <c r="C19" s="88" t="s">
        <v>78</v>
      </c>
      <c r="D19" s="88" t="s">
        <v>98</v>
      </c>
      <c r="E19" s="88" t="s">
        <v>99</v>
      </c>
      <c r="F19" s="88" t="s">
        <v>171</v>
      </c>
      <c r="G19" s="88" t="s">
        <v>100</v>
      </c>
      <c r="H19" s="64">
        <v>71</v>
      </c>
      <c r="I19" s="61">
        <v>33</v>
      </c>
      <c r="J19" s="62">
        <f>59138750-1972083</f>
        <v>57166667</v>
      </c>
      <c r="K19" s="62" t="s">
        <v>1234</v>
      </c>
      <c r="L19" s="62">
        <f>57500000+1638750-1638750-333333</f>
        <v>57166667</v>
      </c>
      <c r="M19" s="63">
        <v>30</v>
      </c>
      <c r="N19" s="76"/>
      <c r="O19" s="51"/>
      <c r="P19" s="62">
        <v>7166667</v>
      </c>
      <c r="Q19" s="62">
        <v>5000000</v>
      </c>
      <c r="R19" s="62">
        <v>5000000</v>
      </c>
      <c r="S19" s="62">
        <f t="shared" si="10"/>
        <v>5000000</v>
      </c>
      <c r="T19" s="62">
        <f t="shared" si="10"/>
        <v>5000000</v>
      </c>
      <c r="U19" s="62">
        <f t="shared" si="10"/>
        <v>5000000</v>
      </c>
      <c r="V19" s="62">
        <f t="shared" si="11"/>
        <v>5000000</v>
      </c>
      <c r="W19" s="62">
        <f t="shared" si="11"/>
        <v>5000000</v>
      </c>
      <c r="X19" s="62">
        <f t="shared" si="11"/>
        <v>5000000</v>
      </c>
      <c r="Y19" s="79">
        <f>5000000+5000000</f>
        <v>10000000</v>
      </c>
      <c r="Z19" s="176">
        <f t="shared" si="12"/>
        <v>57166667</v>
      </c>
      <c r="AA19" s="251">
        <f t="shared" si="1"/>
        <v>0</v>
      </c>
      <c r="AC19" s="83" t="s">
        <v>202</v>
      </c>
      <c r="AD19" s="167">
        <f t="shared" si="2"/>
        <v>33</v>
      </c>
      <c r="AE19" s="111">
        <f t="shared" si="3"/>
        <v>57166667</v>
      </c>
      <c r="AF19" s="103">
        <v>42748</v>
      </c>
      <c r="AG19" s="139" t="str">
        <f t="shared" si="4"/>
        <v>74-75</v>
      </c>
      <c r="AH19" s="111">
        <f t="shared" si="5"/>
        <v>57166667</v>
      </c>
      <c r="AI19" s="199">
        <v>42753</v>
      </c>
      <c r="AJ19" s="88" t="s">
        <v>325</v>
      </c>
      <c r="AK19" s="111">
        <f t="shared" si="7"/>
        <v>30</v>
      </c>
      <c r="AL19" s="111">
        <v>80807159</v>
      </c>
      <c r="AM19" s="101">
        <f t="shared" si="8"/>
        <v>0</v>
      </c>
    </row>
    <row r="20" spans="1:39" s="112" customFormat="1" ht="91.5" customHeight="1">
      <c r="A20" s="254" t="s">
        <v>97</v>
      </c>
      <c r="B20" s="92">
        <f t="shared" si="9"/>
        <v>70452000</v>
      </c>
      <c r="C20" s="88" t="s">
        <v>78</v>
      </c>
      <c r="D20" s="88" t="s">
        <v>98</v>
      </c>
      <c r="E20" s="88" t="s">
        <v>99</v>
      </c>
      <c r="F20" s="88" t="s">
        <v>171</v>
      </c>
      <c r="G20" s="88" t="s">
        <v>100</v>
      </c>
      <c r="H20" s="64">
        <v>66</v>
      </c>
      <c r="I20" s="61">
        <v>55</v>
      </c>
      <c r="J20" s="62">
        <f>73095495-2643495</f>
        <v>70452000</v>
      </c>
      <c r="K20" s="62" t="s">
        <v>1235</v>
      </c>
      <c r="L20" s="62">
        <f>71070000+2025495-2025495-618000</f>
        <v>70452000</v>
      </c>
      <c r="M20" s="63">
        <v>33</v>
      </c>
      <c r="N20" s="76"/>
      <c r="O20" s="51"/>
      <c r="P20" s="62">
        <v>8652000</v>
      </c>
      <c r="Q20" s="62">
        <v>6180000</v>
      </c>
      <c r="R20" s="62">
        <v>6180000</v>
      </c>
      <c r="S20" s="62">
        <f>6180000</f>
        <v>6180000</v>
      </c>
      <c r="T20" s="62">
        <f>6180000</f>
        <v>6180000</v>
      </c>
      <c r="U20" s="62">
        <f>6180000</f>
        <v>6180000</v>
      </c>
      <c r="V20" s="62">
        <v>6180000</v>
      </c>
      <c r="W20" s="62">
        <f>6180000</f>
        <v>6180000</v>
      </c>
      <c r="X20" s="62">
        <f>6180000</f>
        <v>6180000</v>
      </c>
      <c r="Y20" s="79">
        <f>6180000+6180000</f>
        <v>12360000</v>
      </c>
      <c r="Z20" s="176">
        <f t="shared" si="12"/>
        <v>70452000</v>
      </c>
      <c r="AA20" s="251">
        <f t="shared" si="1"/>
        <v>0</v>
      </c>
      <c r="AC20" s="83" t="s">
        <v>206</v>
      </c>
      <c r="AD20" s="167">
        <f t="shared" si="2"/>
        <v>55</v>
      </c>
      <c r="AE20" s="111">
        <f t="shared" si="3"/>
        <v>70452000</v>
      </c>
      <c r="AF20" s="103">
        <v>42752</v>
      </c>
      <c r="AG20" s="139" t="str">
        <f t="shared" si="4"/>
        <v>84-85</v>
      </c>
      <c r="AH20" s="111">
        <f t="shared" si="5"/>
        <v>70452000</v>
      </c>
      <c r="AI20" s="199">
        <v>42754</v>
      </c>
      <c r="AJ20" s="88" t="s">
        <v>329</v>
      </c>
      <c r="AK20" s="111">
        <f t="shared" si="7"/>
        <v>33</v>
      </c>
      <c r="AL20" s="111">
        <v>52928509</v>
      </c>
      <c r="AM20" s="101">
        <f t="shared" si="8"/>
        <v>0</v>
      </c>
    </row>
    <row r="21" spans="1:39" s="112" customFormat="1" ht="76.5">
      <c r="A21" s="254" t="s">
        <v>97</v>
      </c>
      <c r="B21" s="92">
        <f t="shared" si="9"/>
        <v>30950081</v>
      </c>
      <c r="C21" s="88" t="s">
        <v>78</v>
      </c>
      <c r="D21" s="88" t="s">
        <v>98</v>
      </c>
      <c r="E21" s="88" t="s">
        <v>99</v>
      </c>
      <c r="F21" s="88" t="s">
        <v>171</v>
      </c>
      <c r="G21" s="88" t="s">
        <v>100</v>
      </c>
      <c r="H21" s="64">
        <v>65</v>
      </c>
      <c r="I21" s="61" t="s">
        <v>1236</v>
      </c>
      <c r="J21" s="62">
        <f>32205558-2+2-1255477+1361441-1361441</f>
        <v>30950081</v>
      </c>
      <c r="K21" s="62" t="s">
        <v>1237</v>
      </c>
      <c r="L21" s="62">
        <f>31313132+892424-892424-363051</f>
        <v>30950081</v>
      </c>
      <c r="M21" s="63">
        <v>36</v>
      </c>
      <c r="N21" s="76"/>
      <c r="O21" s="51"/>
      <c r="P21" s="62">
        <v>3721271</v>
      </c>
      <c r="Q21" s="62">
        <v>2722881</v>
      </c>
      <c r="R21" s="62">
        <v>2722881</v>
      </c>
      <c r="S21" s="62">
        <f>2722881</f>
        <v>2722881</v>
      </c>
      <c r="T21" s="62">
        <f>2722881</f>
        <v>2722881</v>
      </c>
      <c r="U21" s="62">
        <v>2722881</v>
      </c>
      <c r="V21" s="62">
        <f>2722881</f>
        <v>2722881</v>
      </c>
      <c r="W21" s="62">
        <f>2722881</f>
        <v>2722881</v>
      </c>
      <c r="X21" s="62">
        <f>2722881</f>
        <v>2722881</v>
      </c>
      <c r="Y21" s="79">
        <f>2722881+2722881</f>
        <v>5445762</v>
      </c>
      <c r="Z21" s="176">
        <f t="shared" si="12"/>
        <v>30950081</v>
      </c>
      <c r="AA21" s="251">
        <f t="shared" si="1"/>
        <v>0</v>
      </c>
      <c r="AC21" s="83" t="s">
        <v>207</v>
      </c>
      <c r="AD21" s="167" t="str">
        <f t="shared" si="2"/>
        <v>56 - 631</v>
      </c>
      <c r="AE21" s="111">
        <f t="shared" si="3"/>
        <v>30950081</v>
      </c>
      <c r="AF21" s="103">
        <v>42752</v>
      </c>
      <c r="AG21" s="139" t="str">
        <f t="shared" si="4"/>
        <v>95-96</v>
      </c>
      <c r="AH21" s="111">
        <f t="shared" si="5"/>
        <v>30950081</v>
      </c>
      <c r="AI21" s="199">
        <v>42755</v>
      </c>
      <c r="AJ21" s="88" t="s">
        <v>477</v>
      </c>
      <c r="AK21" s="111">
        <f t="shared" si="7"/>
        <v>36</v>
      </c>
      <c r="AL21" s="111">
        <v>52810235</v>
      </c>
      <c r="AM21" s="101">
        <f t="shared" si="8"/>
        <v>0</v>
      </c>
    </row>
    <row r="22" spans="1:39" s="112" customFormat="1" ht="84.75" customHeight="1">
      <c r="A22" s="254" t="s">
        <v>97</v>
      </c>
      <c r="B22" s="92">
        <f t="shared" si="9"/>
        <v>67980000</v>
      </c>
      <c r="C22" s="88" t="s">
        <v>78</v>
      </c>
      <c r="D22" s="88" t="s">
        <v>98</v>
      </c>
      <c r="E22" s="88" t="s">
        <v>99</v>
      </c>
      <c r="F22" s="88" t="s">
        <v>171</v>
      </c>
      <c r="G22" s="88" t="s">
        <v>100</v>
      </c>
      <c r="H22" s="64">
        <v>66</v>
      </c>
      <c r="I22" s="61">
        <v>57</v>
      </c>
      <c r="J22" s="62">
        <f>73095495-5115495</f>
        <v>67980000</v>
      </c>
      <c r="K22" s="62" t="s">
        <v>1238</v>
      </c>
      <c r="L22" s="62">
        <f>67980000+1937430-1937430</f>
        <v>67980000</v>
      </c>
      <c r="M22" s="63">
        <v>54</v>
      </c>
      <c r="N22" s="76"/>
      <c r="O22" s="51"/>
      <c r="P22" s="62">
        <v>7210000</v>
      </c>
      <c r="Q22" s="62">
        <v>6180000</v>
      </c>
      <c r="R22" s="62">
        <v>6180000</v>
      </c>
      <c r="S22" s="62">
        <f>6180000</f>
        <v>6180000</v>
      </c>
      <c r="T22" s="62">
        <v>6180000</v>
      </c>
      <c r="U22" s="62">
        <f>6180000</f>
        <v>6180000</v>
      </c>
      <c r="V22" s="62">
        <f>6180000</f>
        <v>6180000</v>
      </c>
      <c r="W22" s="62">
        <f>6180000</f>
        <v>6180000</v>
      </c>
      <c r="X22" s="62">
        <f>6180000</f>
        <v>6180000</v>
      </c>
      <c r="Y22" s="79">
        <f>6180000+5150000</f>
        <v>11330000</v>
      </c>
      <c r="Z22" s="176">
        <f t="shared" si="12"/>
        <v>67980000</v>
      </c>
      <c r="AA22" s="251">
        <f t="shared" si="1"/>
        <v>0</v>
      </c>
      <c r="AC22" s="83" t="s">
        <v>208</v>
      </c>
      <c r="AD22" s="167">
        <f t="shared" si="2"/>
        <v>57</v>
      </c>
      <c r="AE22" s="111">
        <f t="shared" si="3"/>
        <v>67980000</v>
      </c>
      <c r="AF22" s="103">
        <v>42752</v>
      </c>
      <c r="AG22" s="139" t="str">
        <f t="shared" si="4"/>
        <v>126-127</v>
      </c>
      <c r="AH22" s="111">
        <f t="shared" si="5"/>
        <v>67980000</v>
      </c>
      <c r="AI22" s="199">
        <v>42761</v>
      </c>
      <c r="AJ22" s="88" t="s">
        <v>330</v>
      </c>
      <c r="AK22" s="111">
        <f t="shared" si="7"/>
        <v>54</v>
      </c>
      <c r="AL22" s="111">
        <v>52258663</v>
      </c>
      <c r="AM22" s="101">
        <f t="shared" si="8"/>
        <v>0</v>
      </c>
    </row>
    <row r="23" spans="1:39" s="112" customFormat="1" ht="76.5">
      <c r="A23" s="254" t="s">
        <v>97</v>
      </c>
      <c r="B23" s="92">
        <f t="shared" si="9"/>
        <v>61182000</v>
      </c>
      <c r="C23" s="88" t="s">
        <v>78</v>
      </c>
      <c r="D23" s="88" t="s">
        <v>98</v>
      </c>
      <c r="E23" s="88" t="s">
        <v>99</v>
      </c>
      <c r="F23" s="88" t="s">
        <v>171</v>
      </c>
      <c r="G23" s="88" t="s">
        <v>100</v>
      </c>
      <c r="H23" s="64">
        <v>58</v>
      </c>
      <c r="I23" s="61">
        <v>53</v>
      </c>
      <c r="J23" s="62">
        <f>65785946-4603946</f>
        <v>61182000</v>
      </c>
      <c r="K23" s="62" t="s">
        <v>1239</v>
      </c>
      <c r="L23" s="62">
        <f>61182000+1743687-1743687</f>
        <v>61182000</v>
      </c>
      <c r="M23" s="63">
        <v>48</v>
      </c>
      <c r="N23" s="76"/>
      <c r="O23" s="51"/>
      <c r="P23" s="62">
        <v>6674400</v>
      </c>
      <c r="Q23" s="62">
        <v>5562000</v>
      </c>
      <c r="R23" s="62">
        <v>5562000</v>
      </c>
      <c r="S23" s="62">
        <f t="shared" ref="S23:X23" si="13">5562000</f>
        <v>5562000</v>
      </c>
      <c r="T23" s="62">
        <f t="shared" si="13"/>
        <v>5562000</v>
      </c>
      <c r="U23" s="62">
        <f t="shared" si="13"/>
        <v>5562000</v>
      </c>
      <c r="V23" s="62">
        <f t="shared" si="13"/>
        <v>5562000</v>
      </c>
      <c r="W23" s="62">
        <f t="shared" si="13"/>
        <v>5562000</v>
      </c>
      <c r="X23" s="62">
        <f t="shared" si="13"/>
        <v>5562000</v>
      </c>
      <c r="Y23" s="95">
        <f>5562000+4449600</f>
        <v>10011600</v>
      </c>
      <c r="Z23" s="176">
        <f t="shared" si="12"/>
        <v>61182000</v>
      </c>
      <c r="AA23" s="251">
        <f t="shared" si="1"/>
        <v>0</v>
      </c>
      <c r="AC23" s="83" t="s">
        <v>204</v>
      </c>
      <c r="AD23" s="167">
        <f t="shared" si="2"/>
        <v>53</v>
      </c>
      <c r="AE23" s="111">
        <f t="shared" si="3"/>
        <v>61182000</v>
      </c>
      <c r="AF23" s="103">
        <v>42752</v>
      </c>
      <c r="AG23" s="139" t="str">
        <f t="shared" si="4"/>
        <v>120-121</v>
      </c>
      <c r="AH23" s="111">
        <f t="shared" si="5"/>
        <v>61182000</v>
      </c>
      <c r="AI23" s="199">
        <v>42760</v>
      </c>
      <c r="AJ23" s="88" t="s">
        <v>327</v>
      </c>
      <c r="AK23" s="111">
        <f t="shared" si="7"/>
        <v>48</v>
      </c>
      <c r="AL23" s="111">
        <v>35196794</v>
      </c>
      <c r="AM23" s="101">
        <f t="shared" si="8"/>
        <v>0</v>
      </c>
    </row>
    <row r="24" spans="1:39" s="112" customFormat="1" ht="76.5">
      <c r="A24" s="254" t="s">
        <v>97</v>
      </c>
      <c r="B24" s="92">
        <f t="shared" si="9"/>
        <v>23000000</v>
      </c>
      <c r="C24" s="88" t="s">
        <v>78</v>
      </c>
      <c r="D24" s="88" t="s">
        <v>98</v>
      </c>
      <c r="E24" s="88" t="s">
        <v>99</v>
      </c>
      <c r="F24" s="88" t="s">
        <v>171</v>
      </c>
      <c r="G24" s="88" t="s">
        <v>100</v>
      </c>
      <c r="H24" s="64">
        <v>73</v>
      </c>
      <c r="I24" s="61" t="s">
        <v>869</v>
      </c>
      <c r="J24" s="62">
        <f>23655500-1655500+1000000</f>
        <v>23000000</v>
      </c>
      <c r="K24" s="62" t="s">
        <v>1240</v>
      </c>
      <c r="L24" s="62">
        <f>22000000+627000-627000+1000000</f>
        <v>23000000</v>
      </c>
      <c r="M24" s="63">
        <v>72</v>
      </c>
      <c r="N24" s="76"/>
      <c r="O24" s="51"/>
      <c r="P24" s="62">
        <v>2000000</v>
      </c>
      <c r="Q24" s="62">
        <v>2000000</v>
      </c>
      <c r="R24" s="62">
        <v>2000000</v>
      </c>
      <c r="S24" s="62">
        <f t="shared" ref="S24:X24" si="14">2000000</f>
        <v>2000000</v>
      </c>
      <c r="T24" s="62">
        <f t="shared" si="14"/>
        <v>2000000</v>
      </c>
      <c r="U24" s="62">
        <f t="shared" si="14"/>
        <v>2000000</v>
      </c>
      <c r="V24" s="62">
        <f t="shared" si="14"/>
        <v>2000000</v>
      </c>
      <c r="W24" s="62">
        <f t="shared" si="14"/>
        <v>2000000</v>
      </c>
      <c r="X24" s="62">
        <f t="shared" si="14"/>
        <v>2000000</v>
      </c>
      <c r="Y24" s="95">
        <f>2000000+2000000</f>
        <v>4000000</v>
      </c>
      <c r="Z24" s="176">
        <f t="shared" si="12"/>
        <v>22000000</v>
      </c>
      <c r="AA24" s="251">
        <f t="shared" si="1"/>
        <v>1000000</v>
      </c>
      <c r="AC24" s="83" t="s">
        <v>215</v>
      </c>
      <c r="AD24" s="167" t="str">
        <f t="shared" si="2"/>
        <v>75 - 536</v>
      </c>
      <c r="AE24" s="111">
        <f t="shared" si="3"/>
        <v>23000000</v>
      </c>
      <c r="AF24" s="103">
        <v>42755</v>
      </c>
      <c r="AG24" s="139" t="str">
        <f t="shared" si="4"/>
        <v>213-214 - 965</v>
      </c>
      <c r="AH24" s="111">
        <f t="shared" si="5"/>
        <v>23000000</v>
      </c>
      <c r="AI24" s="199">
        <v>42767</v>
      </c>
      <c r="AJ24" s="88" t="s">
        <v>408</v>
      </c>
      <c r="AK24" s="111">
        <f t="shared" si="7"/>
        <v>72</v>
      </c>
      <c r="AL24" s="111">
        <v>1022362356</v>
      </c>
      <c r="AM24" s="101">
        <f t="shared" si="8"/>
        <v>0</v>
      </c>
    </row>
    <row r="25" spans="1:39" s="112" customFormat="1" ht="76.5">
      <c r="A25" s="254" t="s">
        <v>97</v>
      </c>
      <c r="B25" s="92">
        <f t="shared" si="9"/>
        <v>59800000</v>
      </c>
      <c r="C25" s="88" t="s">
        <v>78</v>
      </c>
      <c r="D25" s="88" t="s">
        <v>98</v>
      </c>
      <c r="E25" s="88" t="s">
        <v>99</v>
      </c>
      <c r="F25" s="88" t="s">
        <v>171</v>
      </c>
      <c r="G25" s="88" t="s">
        <v>100</v>
      </c>
      <c r="H25" s="64">
        <v>75</v>
      </c>
      <c r="I25" s="61" t="s">
        <v>870</v>
      </c>
      <c r="J25" s="62">
        <f>58830200-1630200+2600000</f>
        <v>59800000</v>
      </c>
      <c r="K25" s="62" t="s">
        <v>1241</v>
      </c>
      <c r="L25" s="62">
        <f>57200000+1630200-1630200+2600000</f>
        <v>59800000</v>
      </c>
      <c r="M25" s="63">
        <v>65</v>
      </c>
      <c r="N25" s="76"/>
      <c r="O25" s="51"/>
      <c r="P25" s="62">
        <v>5373333</v>
      </c>
      <c r="Q25" s="62">
        <v>5200000</v>
      </c>
      <c r="R25" s="62">
        <v>5200000</v>
      </c>
      <c r="S25" s="62">
        <f t="shared" ref="S25:U26" si="15">5200000</f>
        <v>5200000</v>
      </c>
      <c r="T25" s="62">
        <f t="shared" si="15"/>
        <v>5200000</v>
      </c>
      <c r="U25" s="62">
        <f t="shared" si="15"/>
        <v>5200000</v>
      </c>
      <c r="V25" s="62">
        <f t="shared" ref="V25:X26" si="16">5200000</f>
        <v>5200000</v>
      </c>
      <c r="W25" s="62">
        <f t="shared" si="16"/>
        <v>5200000</v>
      </c>
      <c r="X25" s="62">
        <f t="shared" si="16"/>
        <v>5200000</v>
      </c>
      <c r="Y25" s="95">
        <f>5200000+5026667+173333</f>
        <v>10400000</v>
      </c>
      <c r="Z25" s="176">
        <f t="shared" si="12"/>
        <v>57373333</v>
      </c>
      <c r="AA25" s="251">
        <f t="shared" si="1"/>
        <v>2426667</v>
      </c>
      <c r="AC25" s="83" t="s">
        <v>216</v>
      </c>
      <c r="AD25" s="167" t="str">
        <f t="shared" si="2"/>
        <v>80 - 538</v>
      </c>
      <c r="AE25" s="111">
        <f t="shared" si="3"/>
        <v>59800000</v>
      </c>
      <c r="AF25" s="103">
        <v>42758</v>
      </c>
      <c r="AG25" s="139" t="str">
        <f t="shared" si="4"/>
        <v>152-153 - 963</v>
      </c>
      <c r="AH25" s="111">
        <f t="shared" si="5"/>
        <v>59800000</v>
      </c>
      <c r="AI25" s="199">
        <v>42765</v>
      </c>
      <c r="AJ25" s="88" t="s">
        <v>337</v>
      </c>
      <c r="AK25" s="111">
        <f t="shared" si="7"/>
        <v>65</v>
      </c>
      <c r="AL25" s="111">
        <v>79594094</v>
      </c>
      <c r="AM25" s="101">
        <f t="shared" si="8"/>
        <v>0</v>
      </c>
    </row>
    <row r="26" spans="1:39" s="112" customFormat="1" ht="95.25" customHeight="1">
      <c r="A26" s="254" t="s">
        <v>97</v>
      </c>
      <c r="B26" s="92">
        <f t="shared" si="9"/>
        <v>52693333</v>
      </c>
      <c r="C26" s="88" t="s">
        <v>78</v>
      </c>
      <c r="D26" s="88" t="s">
        <v>98</v>
      </c>
      <c r="E26" s="88" t="s">
        <v>99</v>
      </c>
      <c r="F26" s="88" t="s">
        <v>171</v>
      </c>
      <c r="G26" s="88" t="s">
        <v>100</v>
      </c>
      <c r="H26" s="64">
        <v>76</v>
      </c>
      <c r="I26" s="61">
        <v>81</v>
      </c>
      <c r="J26" s="62">
        <f>58830200-6136867</f>
        <v>52693333</v>
      </c>
      <c r="K26" s="62" t="s">
        <v>1242</v>
      </c>
      <c r="L26" s="62">
        <f>57200000+1630200-1630200-4506667</f>
        <v>52693333</v>
      </c>
      <c r="M26" s="63">
        <v>69</v>
      </c>
      <c r="N26" s="76"/>
      <c r="O26" s="51"/>
      <c r="P26" s="62"/>
      <c r="Q26" s="62">
        <v>3466667</v>
      </c>
      <c r="R26" s="62">
        <v>5893333</v>
      </c>
      <c r="S26" s="62">
        <f t="shared" si="15"/>
        <v>5200000</v>
      </c>
      <c r="T26" s="62">
        <f t="shared" si="15"/>
        <v>5200000</v>
      </c>
      <c r="U26" s="62">
        <f t="shared" si="15"/>
        <v>5200000</v>
      </c>
      <c r="V26" s="62">
        <f t="shared" si="16"/>
        <v>5200000</v>
      </c>
      <c r="W26" s="62">
        <f t="shared" si="16"/>
        <v>5200000</v>
      </c>
      <c r="X26" s="62">
        <f t="shared" si="16"/>
        <v>5200000</v>
      </c>
      <c r="Y26" s="95">
        <f>5200000+5200000</f>
        <v>10400000</v>
      </c>
      <c r="Z26" s="176">
        <f t="shared" si="12"/>
        <v>50960000</v>
      </c>
      <c r="AA26" s="251">
        <f t="shared" si="1"/>
        <v>1733333</v>
      </c>
      <c r="AC26" s="83" t="s">
        <v>217</v>
      </c>
      <c r="AD26" s="167">
        <f t="shared" si="2"/>
        <v>81</v>
      </c>
      <c r="AE26" s="111">
        <f t="shared" si="3"/>
        <v>52693333</v>
      </c>
      <c r="AF26" s="103">
        <v>42758</v>
      </c>
      <c r="AG26" s="139" t="str">
        <f t="shared" si="4"/>
        <v>169-170</v>
      </c>
      <c r="AH26" s="111">
        <f t="shared" si="5"/>
        <v>52693333</v>
      </c>
      <c r="AI26" s="199">
        <v>42767</v>
      </c>
      <c r="AJ26" s="88" t="s">
        <v>409</v>
      </c>
      <c r="AK26" s="111">
        <f t="shared" si="7"/>
        <v>69</v>
      </c>
      <c r="AL26" s="111">
        <v>1094915051</v>
      </c>
      <c r="AM26" s="101">
        <f t="shared" si="8"/>
        <v>0</v>
      </c>
    </row>
    <row r="27" spans="1:39" s="112" customFormat="1" ht="91.5" customHeight="1">
      <c r="A27" s="254" t="s">
        <v>97</v>
      </c>
      <c r="B27" s="92">
        <f t="shared" si="9"/>
        <v>22000000</v>
      </c>
      <c r="C27" s="88" t="s">
        <v>78</v>
      </c>
      <c r="D27" s="88" t="s">
        <v>98</v>
      </c>
      <c r="E27" s="88" t="s">
        <v>99</v>
      </c>
      <c r="F27" s="88" t="s">
        <v>171</v>
      </c>
      <c r="G27" s="88" t="s">
        <v>100</v>
      </c>
      <c r="H27" s="64">
        <v>72</v>
      </c>
      <c r="I27" s="61">
        <v>87</v>
      </c>
      <c r="J27" s="62">
        <f>23655500-1655500</f>
        <v>22000000</v>
      </c>
      <c r="K27" s="62" t="s">
        <v>1243</v>
      </c>
      <c r="L27" s="62">
        <f>22000000+627000-627000</f>
        <v>22000000</v>
      </c>
      <c r="M27" s="63">
        <v>75</v>
      </c>
      <c r="N27" s="76"/>
      <c r="O27" s="51"/>
      <c r="P27" s="62">
        <v>2000000</v>
      </c>
      <c r="Q27" s="62">
        <v>2000000</v>
      </c>
      <c r="R27" s="62">
        <v>2000000</v>
      </c>
      <c r="S27" s="62">
        <f t="shared" ref="S27:X27" si="17">2000000</f>
        <v>2000000</v>
      </c>
      <c r="T27" s="62">
        <f t="shared" si="17"/>
        <v>2000000</v>
      </c>
      <c r="U27" s="62">
        <f t="shared" si="17"/>
        <v>2000000</v>
      </c>
      <c r="V27" s="62">
        <f t="shared" si="17"/>
        <v>2000000</v>
      </c>
      <c r="W27" s="62">
        <f t="shared" si="17"/>
        <v>2000000</v>
      </c>
      <c r="X27" s="62">
        <f t="shared" si="17"/>
        <v>2000000</v>
      </c>
      <c r="Y27" s="95">
        <f>2000000+2000000</f>
        <v>4000000</v>
      </c>
      <c r="Z27" s="176">
        <f t="shared" si="12"/>
        <v>22000000</v>
      </c>
      <c r="AA27" s="251">
        <f t="shared" si="1"/>
        <v>0</v>
      </c>
      <c r="AC27" s="83" t="s">
        <v>218</v>
      </c>
      <c r="AD27" s="167">
        <f t="shared" si="2"/>
        <v>87</v>
      </c>
      <c r="AE27" s="111">
        <f t="shared" si="3"/>
        <v>22000000</v>
      </c>
      <c r="AF27" s="103">
        <v>42759</v>
      </c>
      <c r="AG27" s="139" t="str">
        <f t="shared" si="4"/>
        <v>211-212</v>
      </c>
      <c r="AH27" s="111">
        <f t="shared" si="5"/>
        <v>22000000</v>
      </c>
      <c r="AI27" s="199">
        <v>42767</v>
      </c>
      <c r="AJ27" s="88" t="s">
        <v>410</v>
      </c>
      <c r="AK27" s="111">
        <f t="shared" si="7"/>
        <v>75</v>
      </c>
      <c r="AL27" s="111">
        <v>1019065560</v>
      </c>
      <c r="AM27" s="101">
        <f t="shared" si="8"/>
        <v>0</v>
      </c>
    </row>
    <row r="28" spans="1:39" s="112" customFormat="1" ht="98.25" customHeight="1">
      <c r="A28" s="254" t="s">
        <v>97</v>
      </c>
      <c r="B28" s="92">
        <f t="shared" si="9"/>
        <v>61182000</v>
      </c>
      <c r="C28" s="88" t="s">
        <v>78</v>
      </c>
      <c r="D28" s="88" t="s">
        <v>98</v>
      </c>
      <c r="E28" s="88" t="s">
        <v>99</v>
      </c>
      <c r="F28" s="88" t="s">
        <v>171</v>
      </c>
      <c r="G28" s="88" t="s">
        <v>100</v>
      </c>
      <c r="H28" s="64">
        <v>88</v>
      </c>
      <c r="I28" s="61">
        <v>125</v>
      </c>
      <c r="J28" s="62">
        <f>62925687-1743687</f>
        <v>61182000</v>
      </c>
      <c r="K28" s="62" t="s">
        <v>1244</v>
      </c>
      <c r="L28" s="62">
        <f>61182000+1743687-1743687</f>
        <v>61182000</v>
      </c>
      <c r="M28" s="63">
        <v>93</v>
      </c>
      <c r="N28" s="76"/>
      <c r="O28" s="51"/>
      <c r="P28" s="62">
        <v>5562000</v>
      </c>
      <c r="Q28" s="62">
        <v>5562000</v>
      </c>
      <c r="R28" s="62">
        <v>5562000</v>
      </c>
      <c r="S28" s="62">
        <v>5562000</v>
      </c>
      <c r="T28" s="62">
        <f>5562000</f>
        <v>5562000</v>
      </c>
      <c r="U28" s="62">
        <v>5562000</v>
      </c>
      <c r="V28" s="62">
        <f>5562000</f>
        <v>5562000</v>
      </c>
      <c r="W28" s="62">
        <f>5562000</f>
        <v>5562000</v>
      </c>
      <c r="X28" s="62">
        <f>5562000</f>
        <v>5562000</v>
      </c>
      <c r="Y28" s="95">
        <f>5562000+5562000</f>
        <v>11124000</v>
      </c>
      <c r="Z28" s="176">
        <f t="shared" si="12"/>
        <v>61182000</v>
      </c>
      <c r="AA28" s="251">
        <f t="shared" si="1"/>
        <v>0</v>
      </c>
      <c r="AC28" s="83" t="s">
        <v>223</v>
      </c>
      <c r="AD28" s="167">
        <f t="shared" si="2"/>
        <v>125</v>
      </c>
      <c r="AE28" s="111">
        <f t="shared" si="3"/>
        <v>61182000</v>
      </c>
      <c r="AF28" s="103">
        <v>42762</v>
      </c>
      <c r="AG28" s="139" t="str">
        <f t="shared" si="4"/>
        <v>203-204</v>
      </c>
      <c r="AH28" s="111">
        <f t="shared" si="5"/>
        <v>61182000</v>
      </c>
      <c r="AI28" s="199">
        <v>42767</v>
      </c>
      <c r="AJ28" s="88" t="s">
        <v>414</v>
      </c>
      <c r="AK28" s="111">
        <f t="shared" si="7"/>
        <v>93</v>
      </c>
      <c r="AL28" s="111">
        <v>80093416</v>
      </c>
      <c r="AM28" s="101">
        <f t="shared" si="8"/>
        <v>0</v>
      </c>
    </row>
    <row r="29" spans="1:39" s="112" customFormat="1" ht="87" customHeight="1">
      <c r="A29" s="254" t="s">
        <v>97</v>
      </c>
      <c r="B29" s="92">
        <f t="shared" si="9"/>
        <v>70040000</v>
      </c>
      <c r="C29" s="88" t="s">
        <v>78</v>
      </c>
      <c r="D29" s="88" t="s">
        <v>98</v>
      </c>
      <c r="E29" s="88" t="s">
        <v>99</v>
      </c>
      <c r="F29" s="88" t="s">
        <v>171</v>
      </c>
      <c r="G29" s="88" t="s">
        <v>100</v>
      </c>
      <c r="H29" s="64">
        <v>67</v>
      </c>
      <c r="I29" s="61" t="s">
        <v>871</v>
      </c>
      <c r="J29" s="62">
        <f>68858075-1908075+3090000</f>
        <v>70040000</v>
      </c>
      <c r="K29" s="62" t="s">
        <v>1245</v>
      </c>
      <c r="L29" s="62">
        <f>66950000+1908075-1908075+3090000</f>
        <v>70040000</v>
      </c>
      <c r="M29" s="63">
        <v>110</v>
      </c>
      <c r="N29" s="76"/>
      <c r="O29" s="51"/>
      <c r="P29" s="62">
        <v>5150000</v>
      </c>
      <c r="Q29" s="62">
        <v>6180000</v>
      </c>
      <c r="R29" s="62">
        <v>6180000</v>
      </c>
      <c r="S29" s="62">
        <f t="shared" ref="S29:X29" si="18">6180000</f>
        <v>6180000</v>
      </c>
      <c r="T29" s="62">
        <f t="shared" si="18"/>
        <v>6180000</v>
      </c>
      <c r="U29" s="62">
        <f t="shared" si="18"/>
        <v>6180000</v>
      </c>
      <c r="V29" s="62">
        <f t="shared" si="18"/>
        <v>6180000</v>
      </c>
      <c r="W29" s="62">
        <f t="shared" si="18"/>
        <v>6180000</v>
      </c>
      <c r="X29" s="62">
        <f t="shared" si="18"/>
        <v>6180000</v>
      </c>
      <c r="Y29" s="95">
        <f>6180000+6180000</f>
        <v>12360000</v>
      </c>
      <c r="Z29" s="176">
        <f t="shared" si="12"/>
        <v>66950000</v>
      </c>
      <c r="AA29" s="251">
        <f t="shared" si="1"/>
        <v>3090000</v>
      </c>
      <c r="AC29" s="83" t="s">
        <v>219</v>
      </c>
      <c r="AD29" s="167" t="str">
        <f t="shared" si="2"/>
        <v>122 - 535</v>
      </c>
      <c r="AE29" s="111">
        <f t="shared" si="3"/>
        <v>70040000</v>
      </c>
      <c r="AF29" s="103">
        <v>42762</v>
      </c>
      <c r="AG29" s="139" t="str">
        <f t="shared" si="4"/>
        <v>248-249 - 964</v>
      </c>
      <c r="AH29" s="111">
        <f t="shared" si="5"/>
        <v>70040000</v>
      </c>
      <c r="AI29" s="199">
        <v>42772</v>
      </c>
      <c r="AJ29" s="88" t="s">
        <v>411</v>
      </c>
      <c r="AK29" s="111">
        <f t="shared" si="7"/>
        <v>110</v>
      </c>
      <c r="AL29" s="111">
        <v>51832188</v>
      </c>
      <c r="AM29" s="101">
        <f t="shared" si="8"/>
        <v>0</v>
      </c>
    </row>
    <row r="30" spans="1:39" s="112" customFormat="1" ht="88.5" customHeight="1">
      <c r="A30" s="254" t="s">
        <v>97</v>
      </c>
      <c r="B30" s="92">
        <f t="shared" si="9"/>
        <v>53733333</v>
      </c>
      <c r="C30" s="88" t="s">
        <v>78</v>
      </c>
      <c r="D30" s="88" t="s">
        <v>98</v>
      </c>
      <c r="E30" s="88" t="s">
        <v>99</v>
      </c>
      <c r="F30" s="88" t="s">
        <v>171</v>
      </c>
      <c r="G30" s="88" t="s">
        <v>100</v>
      </c>
      <c r="H30" s="64">
        <v>289</v>
      </c>
      <c r="I30" s="61" t="s">
        <v>872</v>
      </c>
      <c r="J30" s="62">
        <f>53482000-1482000+1733333</f>
        <v>53733333</v>
      </c>
      <c r="K30" s="62" t="s">
        <v>1246</v>
      </c>
      <c r="L30" s="62">
        <f>52000000+1482000-1482000+1733333</f>
        <v>53733333</v>
      </c>
      <c r="M30" s="63">
        <v>109</v>
      </c>
      <c r="N30" s="76"/>
      <c r="O30" s="51"/>
      <c r="P30" s="62">
        <v>4333333</v>
      </c>
      <c r="Q30" s="62">
        <v>5200000</v>
      </c>
      <c r="R30" s="62">
        <v>5200000</v>
      </c>
      <c r="S30" s="62">
        <f>5200000</f>
        <v>5200000</v>
      </c>
      <c r="T30" s="62">
        <v>5200000</v>
      </c>
      <c r="U30" s="62">
        <f>5200000</f>
        <v>5200000</v>
      </c>
      <c r="V30" s="62">
        <f>5200000</f>
        <v>5200000</v>
      </c>
      <c r="W30" s="62">
        <f>5200000</f>
        <v>5200000</v>
      </c>
      <c r="X30" s="62">
        <f>5200000</f>
        <v>5200000</v>
      </c>
      <c r="Y30" s="95">
        <f>5200000+866667+1733333</f>
        <v>7800000</v>
      </c>
      <c r="Z30" s="176">
        <f t="shared" si="12"/>
        <v>53733333</v>
      </c>
      <c r="AA30" s="251">
        <f t="shared" si="1"/>
        <v>0</v>
      </c>
      <c r="AC30" s="83" t="s">
        <v>361</v>
      </c>
      <c r="AD30" s="167" t="str">
        <f t="shared" si="2"/>
        <v>140 - 534</v>
      </c>
      <c r="AE30" s="111">
        <f t="shared" si="3"/>
        <v>53733333</v>
      </c>
      <c r="AF30" s="103">
        <v>42767</v>
      </c>
      <c r="AG30" s="139" t="str">
        <f t="shared" si="4"/>
        <v>246-247 - 961</v>
      </c>
      <c r="AH30" s="111">
        <f t="shared" si="5"/>
        <v>53733333</v>
      </c>
      <c r="AI30" s="121" t="s">
        <v>971</v>
      </c>
      <c r="AJ30" s="88" t="s">
        <v>416</v>
      </c>
      <c r="AK30" s="111">
        <f t="shared" si="7"/>
        <v>109</v>
      </c>
      <c r="AL30" s="111">
        <v>51827997</v>
      </c>
      <c r="AM30" s="101">
        <f t="shared" si="8"/>
        <v>0</v>
      </c>
    </row>
    <row r="31" spans="1:39" s="112" customFormat="1" ht="88.5" customHeight="1">
      <c r="A31" s="254" t="s">
        <v>97</v>
      </c>
      <c r="B31" s="92">
        <f t="shared" si="9"/>
        <v>15426833</v>
      </c>
      <c r="C31" s="88" t="s">
        <v>78</v>
      </c>
      <c r="D31" s="88" t="s">
        <v>98</v>
      </c>
      <c r="E31" s="88" t="s">
        <v>99</v>
      </c>
      <c r="F31" s="88" t="s">
        <v>171</v>
      </c>
      <c r="G31" s="88" t="s">
        <v>100</v>
      </c>
      <c r="H31" s="64">
        <v>64</v>
      </c>
      <c r="I31" s="61">
        <v>138</v>
      </c>
      <c r="J31" s="62">
        <f>58285095-42858262</f>
        <v>15426833</v>
      </c>
      <c r="K31" s="62" t="s">
        <v>1247</v>
      </c>
      <c r="L31" s="62">
        <f>56670000+1615095-41243167-1615095</f>
        <v>15426833</v>
      </c>
      <c r="M31" s="63">
        <v>107</v>
      </c>
      <c r="N31" s="76"/>
      <c r="O31" s="51"/>
      <c r="P31" s="62">
        <v>7870833</v>
      </c>
      <c r="Q31" s="62">
        <v>7556000</v>
      </c>
      <c r="R31" s="62"/>
      <c r="S31" s="62"/>
      <c r="T31" s="62"/>
      <c r="U31" s="62"/>
      <c r="V31" s="62"/>
      <c r="W31" s="62"/>
      <c r="X31" s="62"/>
      <c r="Y31" s="95"/>
      <c r="Z31" s="176">
        <f t="shared" si="12"/>
        <v>15426833</v>
      </c>
      <c r="AA31" s="251">
        <f t="shared" si="1"/>
        <v>0</v>
      </c>
      <c r="AC31" s="83" t="s">
        <v>224</v>
      </c>
      <c r="AD31" s="167">
        <f t="shared" si="2"/>
        <v>138</v>
      </c>
      <c r="AE31" s="111">
        <f t="shared" si="3"/>
        <v>15426833</v>
      </c>
      <c r="AF31" s="103">
        <v>42765</v>
      </c>
      <c r="AG31" s="139" t="str">
        <f t="shared" si="4"/>
        <v>250-251</v>
      </c>
      <c r="AH31" s="111">
        <f t="shared" si="5"/>
        <v>15426833</v>
      </c>
      <c r="AI31" s="199">
        <v>42772</v>
      </c>
      <c r="AJ31" s="88" t="s">
        <v>415</v>
      </c>
      <c r="AK31" s="111">
        <f t="shared" si="7"/>
        <v>107</v>
      </c>
      <c r="AL31" s="111">
        <v>13723032</v>
      </c>
      <c r="AM31" s="101">
        <f t="shared" si="8"/>
        <v>0</v>
      </c>
    </row>
    <row r="32" spans="1:39" s="112" customFormat="1" ht="88.5" customHeight="1">
      <c r="A32" s="254" t="s">
        <v>97</v>
      </c>
      <c r="B32" s="92">
        <f t="shared" si="9"/>
        <v>13010922</v>
      </c>
      <c r="C32" s="88" t="s">
        <v>78</v>
      </c>
      <c r="D32" s="88" t="s">
        <v>98</v>
      </c>
      <c r="E32" s="88" t="s">
        <v>99</v>
      </c>
      <c r="F32" s="88" t="s">
        <v>171</v>
      </c>
      <c r="G32" s="88" t="s">
        <v>100</v>
      </c>
      <c r="H32" s="64">
        <v>286</v>
      </c>
      <c r="I32" s="61">
        <v>154</v>
      </c>
      <c r="J32" s="62">
        <f>13381733-13381733+13010922+370811-370811</f>
        <v>13010922</v>
      </c>
      <c r="K32" s="62">
        <v>283</v>
      </c>
      <c r="L32" s="62">
        <v>13010922</v>
      </c>
      <c r="M32" s="63">
        <v>124</v>
      </c>
      <c r="N32" s="76"/>
      <c r="O32" s="51"/>
      <c r="P32" s="62">
        <v>1156526</v>
      </c>
      <c r="Q32" s="62">
        <v>2168487</v>
      </c>
      <c r="R32" s="62">
        <v>2168487</v>
      </c>
      <c r="S32" s="62">
        <f>2168487</f>
        <v>2168487</v>
      </c>
      <c r="T32" s="62">
        <v>2168487</v>
      </c>
      <c r="U32" s="62">
        <f>2168487</f>
        <v>2168487</v>
      </c>
      <c r="V32" s="62">
        <f>1011961</f>
        <v>1011961</v>
      </c>
      <c r="W32" s="62"/>
      <c r="X32" s="62"/>
      <c r="Y32" s="95"/>
      <c r="Z32" s="176">
        <f t="shared" si="12"/>
        <v>13010922</v>
      </c>
      <c r="AA32" s="251">
        <f t="shared" si="1"/>
        <v>0</v>
      </c>
      <c r="AC32" s="83" t="s">
        <v>642</v>
      </c>
      <c r="AD32" s="167">
        <f t="shared" si="2"/>
        <v>154</v>
      </c>
      <c r="AE32" s="111">
        <f t="shared" si="3"/>
        <v>13010922</v>
      </c>
      <c r="AF32" s="103">
        <v>42772</v>
      </c>
      <c r="AG32" s="139">
        <f t="shared" si="4"/>
        <v>283</v>
      </c>
      <c r="AH32" s="111">
        <f t="shared" si="5"/>
        <v>13010922</v>
      </c>
      <c r="AI32" s="199">
        <v>42780</v>
      </c>
      <c r="AJ32" s="88" t="s">
        <v>454</v>
      </c>
      <c r="AK32" s="111">
        <f t="shared" si="7"/>
        <v>124</v>
      </c>
      <c r="AL32" s="111">
        <v>52904688</v>
      </c>
      <c r="AM32" s="101">
        <f t="shared" si="8"/>
        <v>0</v>
      </c>
    </row>
    <row r="33" spans="1:39" s="112" customFormat="1" ht="88.5" customHeight="1">
      <c r="A33" s="254" t="s">
        <v>97</v>
      </c>
      <c r="B33" s="92">
        <f t="shared" si="9"/>
        <v>11660000</v>
      </c>
      <c r="C33" s="88" t="s">
        <v>78</v>
      </c>
      <c r="D33" s="88" t="s">
        <v>98</v>
      </c>
      <c r="E33" s="88" t="s">
        <v>99</v>
      </c>
      <c r="F33" s="88" t="s">
        <v>171</v>
      </c>
      <c r="G33" s="88" t="s">
        <v>100</v>
      </c>
      <c r="H33" s="64">
        <v>293</v>
      </c>
      <c r="I33" s="61">
        <v>145</v>
      </c>
      <c r="J33" s="62">
        <f>11992310-11992310+11660000-11660000+11992310-332310</f>
        <v>11660000</v>
      </c>
      <c r="K33" s="62">
        <v>280</v>
      </c>
      <c r="L33" s="62">
        <v>11660000</v>
      </c>
      <c r="M33" s="63">
        <v>123</v>
      </c>
      <c r="N33" s="76"/>
      <c r="O33" s="51"/>
      <c r="P33" s="62">
        <v>3498000</v>
      </c>
      <c r="Q33" s="62">
        <f>5830000</f>
        <v>5830000</v>
      </c>
      <c r="R33" s="62">
        <v>2332000</v>
      </c>
      <c r="S33" s="62"/>
      <c r="T33" s="62"/>
      <c r="U33" s="62"/>
      <c r="V33" s="62"/>
      <c r="W33" s="62"/>
      <c r="X33" s="62"/>
      <c r="Y33" s="95"/>
      <c r="Z33" s="176">
        <f t="shared" si="12"/>
        <v>11660000</v>
      </c>
      <c r="AA33" s="251">
        <f t="shared" si="1"/>
        <v>0</v>
      </c>
      <c r="AC33" s="83" t="s">
        <v>643</v>
      </c>
      <c r="AD33" s="167">
        <f t="shared" si="2"/>
        <v>145</v>
      </c>
      <c r="AE33" s="111">
        <f t="shared" si="3"/>
        <v>11660000</v>
      </c>
      <c r="AF33" s="103">
        <v>42768</v>
      </c>
      <c r="AG33" s="139">
        <f t="shared" si="4"/>
        <v>280</v>
      </c>
      <c r="AH33" s="111">
        <f t="shared" si="5"/>
        <v>11660000</v>
      </c>
      <c r="AI33" s="199">
        <v>42779</v>
      </c>
      <c r="AJ33" s="88" t="s">
        <v>453</v>
      </c>
      <c r="AK33" s="111">
        <f t="shared" si="7"/>
        <v>123</v>
      </c>
      <c r="AL33" s="111">
        <v>52866841</v>
      </c>
      <c r="AM33" s="101">
        <f t="shared" si="8"/>
        <v>0</v>
      </c>
    </row>
    <row r="34" spans="1:39" s="112" customFormat="1" ht="88.5" customHeight="1">
      <c r="A34" s="254" t="s">
        <v>97</v>
      </c>
      <c r="B34" s="92">
        <f t="shared" si="9"/>
        <v>13000000</v>
      </c>
      <c r="C34" s="88" t="s">
        <v>78</v>
      </c>
      <c r="D34" s="88" t="s">
        <v>98</v>
      </c>
      <c r="E34" s="88" t="s">
        <v>99</v>
      </c>
      <c r="F34" s="88" t="s">
        <v>171</v>
      </c>
      <c r="G34" s="88" t="s">
        <v>100</v>
      </c>
      <c r="H34" s="64">
        <v>74</v>
      </c>
      <c r="I34" s="61">
        <v>168</v>
      </c>
      <c r="J34" s="62">
        <f>20666667-7666667</f>
        <v>13000000</v>
      </c>
      <c r="K34" s="62">
        <v>537</v>
      </c>
      <c r="L34" s="62">
        <f>13000000</f>
        <v>13000000</v>
      </c>
      <c r="M34" s="63">
        <v>242</v>
      </c>
      <c r="N34" s="76"/>
      <c r="O34" s="51"/>
      <c r="P34" s="62"/>
      <c r="Q34" s="62"/>
      <c r="R34" s="62"/>
      <c r="S34" s="62"/>
      <c r="T34" s="62">
        <v>2000000</v>
      </c>
      <c r="U34" s="62">
        <f>2000000</f>
        <v>2000000</v>
      </c>
      <c r="V34" s="62">
        <f>2000000</f>
        <v>2000000</v>
      </c>
      <c r="W34" s="62">
        <f>2000000</f>
        <v>2000000</v>
      </c>
      <c r="X34" s="62">
        <f>2000000</f>
        <v>2000000</v>
      </c>
      <c r="Y34" s="95">
        <f>2000000+1000000</f>
        <v>3000000</v>
      </c>
      <c r="Z34" s="176">
        <f t="shared" si="12"/>
        <v>13000000</v>
      </c>
      <c r="AA34" s="251">
        <f t="shared" si="1"/>
        <v>0</v>
      </c>
      <c r="AC34" s="83" t="s">
        <v>373</v>
      </c>
      <c r="AD34" s="167">
        <f t="shared" si="2"/>
        <v>168</v>
      </c>
      <c r="AE34" s="111">
        <f t="shared" si="3"/>
        <v>13000000</v>
      </c>
      <c r="AF34" s="103">
        <v>42780</v>
      </c>
      <c r="AG34" s="139">
        <f t="shared" si="4"/>
        <v>537</v>
      </c>
      <c r="AH34" s="111">
        <f t="shared" si="5"/>
        <v>13000000</v>
      </c>
      <c r="AI34" s="199">
        <v>42887</v>
      </c>
      <c r="AJ34" s="88" t="s">
        <v>655</v>
      </c>
      <c r="AK34" s="111">
        <f t="shared" si="7"/>
        <v>242</v>
      </c>
      <c r="AL34" s="111"/>
      <c r="AM34" s="101">
        <f>AE34-AH34</f>
        <v>0</v>
      </c>
    </row>
    <row r="35" spans="1:39" s="112" customFormat="1" ht="88.5" customHeight="1">
      <c r="A35" s="254" t="s">
        <v>97</v>
      </c>
      <c r="B35" s="92">
        <f t="shared" si="9"/>
        <v>60770000</v>
      </c>
      <c r="C35" s="88" t="s">
        <v>78</v>
      </c>
      <c r="D35" s="88" t="s">
        <v>98</v>
      </c>
      <c r="E35" s="88" t="s">
        <v>99</v>
      </c>
      <c r="F35" s="88" t="s">
        <v>171</v>
      </c>
      <c r="G35" s="88" t="s">
        <v>100</v>
      </c>
      <c r="H35" s="64">
        <v>61</v>
      </c>
      <c r="I35" s="61">
        <v>178</v>
      </c>
      <c r="J35" s="62">
        <v>60770000</v>
      </c>
      <c r="K35" s="62">
        <v>336</v>
      </c>
      <c r="L35" s="62">
        <v>60770000</v>
      </c>
      <c r="M35" s="63">
        <v>158</v>
      </c>
      <c r="N35" s="76"/>
      <c r="O35" s="51"/>
      <c r="P35" s="62"/>
      <c r="Q35" s="62">
        <v>5150000</v>
      </c>
      <c r="R35" s="62">
        <v>6180000</v>
      </c>
      <c r="S35" s="62">
        <f t="shared" ref="S35:X35" si="19">6180000</f>
        <v>6180000</v>
      </c>
      <c r="T35" s="62">
        <f t="shared" si="19"/>
        <v>6180000</v>
      </c>
      <c r="U35" s="62">
        <f t="shared" si="19"/>
        <v>6180000</v>
      </c>
      <c r="V35" s="62">
        <f t="shared" si="19"/>
        <v>6180000</v>
      </c>
      <c r="W35" s="62">
        <f t="shared" si="19"/>
        <v>6180000</v>
      </c>
      <c r="X35" s="62">
        <f t="shared" si="19"/>
        <v>6180000</v>
      </c>
      <c r="Y35" s="95">
        <f>6180000+6180000</f>
        <v>12360000</v>
      </c>
      <c r="Z35" s="176">
        <f t="shared" si="12"/>
        <v>60770000</v>
      </c>
      <c r="AA35" s="251">
        <f t="shared" si="1"/>
        <v>0</v>
      </c>
      <c r="AC35" s="83" t="s">
        <v>442</v>
      </c>
      <c r="AD35" s="167">
        <f t="shared" si="2"/>
        <v>178</v>
      </c>
      <c r="AE35" s="111">
        <f t="shared" si="3"/>
        <v>60770000</v>
      </c>
      <c r="AF35" s="103">
        <v>42783</v>
      </c>
      <c r="AG35" s="139">
        <f t="shared" si="4"/>
        <v>336</v>
      </c>
      <c r="AH35" s="111">
        <f t="shared" si="5"/>
        <v>60770000</v>
      </c>
      <c r="AI35" s="199">
        <v>42800</v>
      </c>
      <c r="AJ35" s="88" t="s">
        <v>508</v>
      </c>
      <c r="AK35" s="111">
        <f t="shared" si="7"/>
        <v>158</v>
      </c>
      <c r="AL35" s="111">
        <v>39784060</v>
      </c>
      <c r="AM35" s="101">
        <f t="shared" si="8"/>
        <v>0</v>
      </c>
    </row>
    <row r="36" spans="1:39" s="112" customFormat="1" ht="88.5" customHeight="1">
      <c r="A36" s="254" t="s">
        <v>97</v>
      </c>
      <c r="B36" s="92">
        <f t="shared" si="9"/>
        <v>5656750</v>
      </c>
      <c r="C36" s="88" t="s">
        <v>78</v>
      </c>
      <c r="D36" s="88" t="s">
        <v>98</v>
      </c>
      <c r="E36" s="88" t="s">
        <v>99</v>
      </c>
      <c r="F36" s="88" t="s">
        <v>171</v>
      </c>
      <c r="G36" s="88" t="s">
        <v>100</v>
      </c>
      <c r="H36" s="64">
        <v>291</v>
      </c>
      <c r="I36" s="61">
        <v>195</v>
      </c>
      <c r="J36" s="62">
        <v>5656750</v>
      </c>
      <c r="K36" s="62">
        <v>318</v>
      </c>
      <c r="L36" s="62">
        <v>5656750</v>
      </c>
      <c r="M36" s="63">
        <v>142</v>
      </c>
      <c r="N36" s="76"/>
      <c r="O36" s="51"/>
      <c r="P36" s="51"/>
      <c r="Q36" s="51"/>
      <c r="R36" s="62">
        <v>5656750</v>
      </c>
      <c r="S36" s="51"/>
      <c r="T36" s="51"/>
      <c r="U36" s="51"/>
      <c r="V36" s="51"/>
      <c r="W36" s="51"/>
      <c r="X36" s="51"/>
      <c r="Y36" s="78"/>
      <c r="Z36" s="176">
        <f t="shared" si="12"/>
        <v>5656750</v>
      </c>
      <c r="AA36" s="251">
        <f t="shared" si="1"/>
        <v>0</v>
      </c>
      <c r="AC36" s="84" t="s">
        <v>465</v>
      </c>
      <c r="AD36" s="167">
        <f t="shared" si="2"/>
        <v>195</v>
      </c>
      <c r="AE36" s="111">
        <f t="shared" si="3"/>
        <v>5656750</v>
      </c>
      <c r="AF36" s="103">
        <v>42787</v>
      </c>
      <c r="AG36" s="139">
        <f t="shared" si="4"/>
        <v>318</v>
      </c>
      <c r="AH36" s="111">
        <f t="shared" si="5"/>
        <v>5656750</v>
      </c>
      <c r="AI36" s="199">
        <v>42790</v>
      </c>
      <c r="AJ36" s="89" t="s">
        <v>475</v>
      </c>
      <c r="AK36" s="111">
        <f t="shared" si="7"/>
        <v>142</v>
      </c>
      <c r="AL36" s="111">
        <v>79624115</v>
      </c>
      <c r="AM36" s="101">
        <f t="shared" si="8"/>
        <v>0</v>
      </c>
    </row>
    <row r="37" spans="1:39" s="112" customFormat="1" ht="76.5">
      <c r="A37" s="254" t="s">
        <v>97</v>
      </c>
      <c r="B37" s="92">
        <f t="shared" si="9"/>
        <v>54507600</v>
      </c>
      <c r="C37" s="88" t="s">
        <v>78</v>
      </c>
      <c r="D37" s="88" t="s">
        <v>98</v>
      </c>
      <c r="E37" s="88" t="s">
        <v>99</v>
      </c>
      <c r="F37" s="88" t="s">
        <v>171</v>
      </c>
      <c r="G37" s="88" t="s">
        <v>100</v>
      </c>
      <c r="H37" s="64">
        <v>63</v>
      </c>
      <c r="I37" s="61">
        <v>189</v>
      </c>
      <c r="J37" s="62">
        <f>54693000-185400</f>
        <v>54507600</v>
      </c>
      <c r="K37" s="62">
        <v>337</v>
      </c>
      <c r="L37" s="62">
        <f>54693000-185400</f>
        <v>54507600</v>
      </c>
      <c r="M37" s="63">
        <v>159</v>
      </c>
      <c r="N37" s="76"/>
      <c r="O37" s="51"/>
      <c r="P37" s="51"/>
      <c r="Q37" s="62">
        <v>4449600</v>
      </c>
      <c r="R37" s="62">
        <v>5562000</v>
      </c>
      <c r="S37" s="62">
        <f t="shared" ref="S37:X37" si="20">5562000</f>
        <v>5562000</v>
      </c>
      <c r="T37" s="62">
        <f t="shared" si="20"/>
        <v>5562000</v>
      </c>
      <c r="U37" s="62">
        <f t="shared" si="20"/>
        <v>5562000</v>
      </c>
      <c r="V37" s="62">
        <f t="shared" si="20"/>
        <v>5562000</v>
      </c>
      <c r="W37" s="62">
        <f t="shared" si="20"/>
        <v>5562000</v>
      </c>
      <c r="X37" s="62">
        <f t="shared" si="20"/>
        <v>5562000</v>
      </c>
      <c r="Y37" s="95">
        <f>5562000+5562000</f>
        <v>11124000</v>
      </c>
      <c r="Z37" s="176">
        <f t="shared" si="12"/>
        <v>54507600</v>
      </c>
      <c r="AA37" s="251">
        <f t="shared" si="1"/>
        <v>0</v>
      </c>
      <c r="AC37" s="84" t="s">
        <v>464</v>
      </c>
      <c r="AD37" s="167">
        <f t="shared" si="2"/>
        <v>189</v>
      </c>
      <c r="AE37" s="110">
        <f t="shared" si="3"/>
        <v>54507600</v>
      </c>
      <c r="AF37" s="103">
        <v>42937</v>
      </c>
      <c r="AG37" s="139">
        <f t="shared" si="4"/>
        <v>337</v>
      </c>
      <c r="AH37" s="111">
        <f t="shared" si="5"/>
        <v>54507600</v>
      </c>
      <c r="AI37" s="199">
        <v>42801</v>
      </c>
      <c r="AJ37" s="89" t="s">
        <v>509</v>
      </c>
      <c r="AK37" s="111">
        <f t="shared" si="7"/>
        <v>159</v>
      </c>
      <c r="AL37" s="111">
        <v>53122083</v>
      </c>
      <c r="AM37" s="106">
        <f t="shared" si="8"/>
        <v>0</v>
      </c>
    </row>
    <row r="38" spans="1:39" s="112" customFormat="1" ht="76.5">
      <c r="A38" s="254" t="s">
        <v>97</v>
      </c>
      <c r="B38" s="92">
        <f t="shared" si="9"/>
        <v>46720800</v>
      </c>
      <c r="C38" s="88" t="s">
        <v>78</v>
      </c>
      <c r="D38" s="88" t="s">
        <v>98</v>
      </c>
      <c r="E38" s="88" t="s">
        <v>99</v>
      </c>
      <c r="F38" s="88" t="s">
        <v>171</v>
      </c>
      <c r="G38" s="88" t="s">
        <v>100</v>
      </c>
      <c r="H38" s="64">
        <v>287</v>
      </c>
      <c r="I38" s="61" t="s">
        <v>716</v>
      </c>
      <c r="J38" s="62">
        <f>38934000+7786800</f>
        <v>46720800</v>
      </c>
      <c r="K38" s="62" t="s">
        <v>834</v>
      </c>
      <c r="L38" s="62">
        <f>38934000+7786800</f>
        <v>46720800</v>
      </c>
      <c r="M38" s="63">
        <v>197</v>
      </c>
      <c r="N38" s="76"/>
      <c r="O38" s="51"/>
      <c r="P38" s="51"/>
      <c r="Q38" s="51"/>
      <c r="R38" s="62">
        <v>5005800</v>
      </c>
      <c r="S38" s="62">
        <f>5562000</f>
        <v>5562000</v>
      </c>
      <c r="T38" s="62">
        <v>5562000</v>
      </c>
      <c r="U38" s="62">
        <f>5562000</f>
        <v>5562000</v>
      </c>
      <c r="V38" s="62">
        <v>5562000</v>
      </c>
      <c r="W38" s="62">
        <f>5562000</f>
        <v>5562000</v>
      </c>
      <c r="X38" s="62">
        <f>5562000</f>
        <v>5562000</v>
      </c>
      <c r="Y38" s="95">
        <f>556200+5005800+2781000</f>
        <v>8343000</v>
      </c>
      <c r="Z38" s="176">
        <f t="shared" si="12"/>
        <v>46720800</v>
      </c>
      <c r="AA38" s="251">
        <f t="shared" si="1"/>
        <v>0</v>
      </c>
      <c r="AC38" s="84" t="s">
        <v>462</v>
      </c>
      <c r="AD38" s="167" t="str">
        <f t="shared" si="2"/>
        <v>214 - 440</v>
      </c>
      <c r="AE38" s="110">
        <f t="shared" si="3"/>
        <v>46720800</v>
      </c>
      <c r="AF38" s="103">
        <v>42800</v>
      </c>
      <c r="AG38" s="139" t="str">
        <f t="shared" si="4"/>
        <v>411 - 852</v>
      </c>
      <c r="AH38" s="111">
        <f t="shared" si="5"/>
        <v>46720800</v>
      </c>
      <c r="AI38" s="199">
        <v>42829</v>
      </c>
      <c r="AJ38" s="89" t="s">
        <v>585</v>
      </c>
      <c r="AK38" s="111">
        <f t="shared" si="7"/>
        <v>197</v>
      </c>
      <c r="AL38" s="111">
        <v>1033677719</v>
      </c>
      <c r="AM38" s="106">
        <f t="shared" si="8"/>
        <v>0</v>
      </c>
    </row>
    <row r="39" spans="1:39" s="112" customFormat="1" ht="76.5">
      <c r="A39" s="254" t="s">
        <v>97</v>
      </c>
      <c r="B39" s="92">
        <f t="shared" si="9"/>
        <v>39690000</v>
      </c>
      <c r="C39" s="88" t="s">
        <v>78</v>
      </c>
      <c r="D39" s="88" t="s">
        <v>98</v>
      </c>
      <c r="E39" s="88" t="s">
        <v>99</v>
      </c>
      <c r="F39" s="88" t="s">
        <v>171</v>
      </c>
      <c r="G39" s="88" t="s">
        <v>100</v>
      </c>
      <c r="H39" s="64">
        <v>288</v>
      </c>
      <c r="I39" s="61" t="s">
        <v>748</v>
      </c>
      <c r="J39" s="62">
        <f>26460000+13230000</f>
        <v>39690000</v>
      </c>
      <c r="K39" s="62" t="s">
        <v>801</v>
      </c>
      <c r="L39" s="62">
        <f>26460000+13230000</f>
        <v>39690000</v>
      </c>
      <c r="M39" s="63">
        <v>167</v>
      </c>
      <c r="N39" s="76"/>
      <c r="O39" s="51"/>
      <c r="P39" s="51"/>
      <c r="Q39" s="62">
        <v>2352000</v>
      </c>
      <c r="R39" s="62">
        <v>4410000</v>
      </c>
      <c r="S39" s="62">
        <f>4410000</f>
        <v>4410000</v>
      </c>
      <c r="T39" s="62">
        <v>4410000</v>
      </c>
      <c r="U39" s="62">
        <v>4410000</v>
      </c>
      <c r="V39" s="62">
        <v>4410000</v>
      </c>
      <c r="W39" s="62">
        <f>2058000+2352000</f>
        <v>4410000</v>
      </c>
      <c r="X39" s="62">
        <f>4410000</f>
        <v>4410000</v>
      </c>
      <c r="Y39" s="95">
        <f>4410000+2058000</f>
        <v>6468000</v>
      </c>
      <c r="Z39" s="176">
        <f t="shared" si="12"/>
        <v>39690000</v>
      </c>
      <c r="AA39" s="251">
        <f t="shared" si="1"/>
        <v>0</v>
      </c>
      <c r="AC39" s="84" t="s">
        <v>463</v>
      </c>
      <c r="AD39" s="167" t="str">
        <f t="shared" si="2"/>
        <v>215 - 446</v>
      </c>
      <c r="AE39" s="110">
        <f t="shared" si="3"/>
        <v>39690000</v>
      </c>
      <c r="AF39" s="103">
        <v>42800</v>
      </c>
      <c r="AG39" s="139" t="str">
        <f t="shared" si="4"/>
        <v>361 - 782</v>
      </c>
      <c r="AH39" s="111">
        <f t="shared" si="5"/>
        <v>39690000</v>
      </c>
      <c r="AI39" s="199">
        <v>42809</v>
      </c>
      <c r="AJ39" s="89" t="s">
        <v>534</v>
      </c>
      <c r="AK39" s="111">
        <f t="shared" si="7"/>
        <v>167</v>
      </c>
      <c r="AL39" s="111">
        <v>1014244983</v>
      </c>
      <c r="AM39" s="106">
        <f t="shared" si="8"/>
        <v>0</v>
      </c>
    </row>
    <row r="40" spans="1:39" s="112" customFormat="1" ht="76.5">
      <c r="A40" s="254" t="s">
        <v>97</v>
      </c>
      <c r="B40" s="92">
        <f t="shared" si="9"/>
        <v>37863000</v>
      </c>
      <c r="C40" s="88" t="s">
        <v>78</v>
      </c>
      <c r="D40" s="88" t="s">
        <v>98</v>
      </c>
      <c r="E40" s="88" t="s">
        <v>99</v>
      </c>
      <c r="F40" s="88" t="s">
        <v>171</v>
      </c>
      <c r="G40" s="88" t="s">
        <v>100</v>
      </c>
      <c r="H40" s="64">
        <v>68</v>
      </c>
      <c r="I40" s="61" t="s">
        <v>1248</v>
      </c>
      <c r="J40" s="62">
        <f>32454000+5409000</f>
        <v>37863000</v>
      </c>
      <c r="K40" s="62" t="s">
        <v>797</v>
      </c>
      <c r="L40" s="62">
        <f>32454000+5409000</f>
        <v>37863000</v>
      </c>
      <c r="M40" s="63">
        <v>244</v>
      </c>
      <c r="N40" s="76"/>
      <c r="O40" s="51"/>
      <c r="P40" s="51"/>
      <c r="Q40" s="51"/>
      <c r="R40" s="51"/>
      <c r="S40" s="51"/>
      <c r="T40" s="62">
        <v>4687800</v>
      </c>
      <c r="U40" s="62">
        <f>5409000</f>
        <v>5409000</v>
      </c>
      <c r="V40" s="62">
        <v>5409000</v>
      </c>
      <c r="W40" s="62">
        <f>5409000+5409000</f>
        <v>10818000</v>
      </c>
      <c r="X40" s="62">
        <f>5409000</f>
        <v>5409000</v>
      </c>
      <c r="Y40" s="95">
        <f>5409000+721200</f>
        <v>6130200</v>
      </c>
      <c r="Z40" s="176">
        <f t="shared" si="12"/>
        <v>37863000</v>
      </c>
      <c r="AA40" s="251">
        <f t="shared" si="1"/>
        <v>0</v>
      </c>
      <c r="AC40" s="84" t="s">
        <v>491</v>
      </c>
      <c r="AD40" s="167" t="str">
        <f t="shared" si="2"/>
        <v>217 - 338 - 448</v>
      </c>
      <c r="AE40" s="110">
        <f t="shared" si="3"/>
        <v>37863000</v>
      </c>
      <c r="AF40" s="103">
        <v>42803</v>
      </c>
      <c r="AG40" s="139" t="str">
        <f t="shared" si="4"/>
        <v>544 - 747</v>
      </c>
      <c r="AH40" s="111">
        <f t="shared" si="5"/>
        <v>37863000</v>
      </c>
      <c r="AI40" s="199">
        <v>42891</v>
      </c>
      <c r="AJ40" s="89" t="s">
        <v>557</v>
      </c>
      <c r="AK40" s="111">
        <f t="shared" si="7"/>
        <v>244</v>
      </c>
      <c r="AL40" s="111"/>
      <c r="AM40" s="106">
        <f t="shared" si="8"/>
        <v>0</v>
      </c>
    </row>
    <row r="41" spans="1:39" s="112" customFormat="1" ht="76.5">
      <c r="A41" s="254" t="s">
        <v>97</v>
      </c>
      <c r="B41" s="92">
        <f t="shared" si="9"/>
        <v>12000000</v>
      </c>
      <c r="C41" s="88" t="s">
        <v>78</v>
      </c>
      <c r="D41" s="88" t="s">
        <v>98</v>
      </c>
      <c r="E41" s="88" t="s">
        <v>99</v>
      </c>
      <c r="F41" s="88" t="s">
        <v>171</v>
      </c>
      <c r="G41" s="88" t="s">
        <v>100</v>
      </c>
      <c r="H41" s="64">
        <v>315</v>
      </c>
      <c r="I41" s="61">
        <v>221</v>
      </c>
      <c r="J41" s="62">
        <v>12000000</v>
      </c>
      <c r="K41" s="62">
        <v>367</v>
      </c>
      <c r="L41" s="62">
        <v>12000000</v>
      </c>
      <c r="M41" s="63">
        <v>170</v>
      </c>
      <c r="N41" s="76"/>
      <c r="O41" s="51"/>
      <c r="P41" s="51"/>
      <c r="Q41" s="62">
        <v>1866667</v>
      </c>
      <c r="R41" s="62">
        <v>4000000</v>
      </c>
      <c r="S41" s="62">
        <f>4000000</f>
        <v>4000000</v>
      </c>
      <c r="T41" s="62">
        <v>2133333</v>
      </c>
      <c r="U41" s="62"/>
      <c r="V41" s="62"/>
      <c r="W41" s="62"/>
      <c r="X41" s="62"/>
      <c r="Y41" s="78"/>
      <c r="Z41" s="176">
        <f t="shared" si="12"/>
        <v>12000000</v>
      </c>
      <c r="AA41" s="251">
        <f t="shared" si="1"/>
        <v>0</v>
      </c>
      <c r="AC41" s="84" t="s">
        <v>501</v>
      </c>
      <c r="AD41" s="167">
        <f t="shared" si="2"/>
        <v>221</v>
      </c>
      <c r="AE41" s="110">
        <f t="shared" si="3"/>
        <v>12000000</v>
      </c>
      <c r="AF41" s="103">
        <v>42804</v>
      </c>
      <c r="AG41" s="139">
        <f t="shared" si="4"/>
        <v>367</v>
      </c>
      <c r="AH41" s="111">
        <f t="shared" si="5"/>
        <v>12000000</v>
      </c>
      <c r="AI41" s="199">
        <v>42810</v>
      </c>
      <c r="AJ41" s="89" t="s">
        <v>536</v>
      </c>
      <c r="AK41" s="111">
        <f t="shared" si="7"/>
        <v>170</v>
      </c>
      <c r="AL41" s="111">
        <v>52800884</v>
      </c>
      <c r="AM41" s="106">
        <f t="shared" si="8"/>
        <v>0</v>
      </c>
    </row>
    <row r="42" spans="1:39" s="112" customFormat="1" ht="76.5">
      <c r="A42" s="254" t="s">
        <v>97</v>
      </c>
      <c r="B42" s="92">
        <f t="shared" si="9"/>
        <v>38963048</v>
      </c>
      <c r="C42" s="88" t="s">
        <v>78</v>
      </c>
      <c r="D42" s="88" t="s">
        <v>98</v>
      </c>
      <c r="E42" s="88" t="s">
        <v>99</v>
      </c>
      <c r="F42" s="88" t="s">
        <v>171</v>
      </c>
      <c r="G42" s="88" t="s">
        <v>100</v>
      </c>
      <c r="H42" s="64">
        <v>318</v>
      </c>
      <c r="I42" s="61">
        <v>219</v>
      </c>
      <c r="J42" s="62">
        <v>38963048</v>
      </c>
      <c r="K42" s="62">
        <v>366</v>
      </c>
      <c r="L42" s="62">
        <v>38963048</v>
      </c>
      <c r="M42" s="63">
        <v>169</v>
      </c>
      <c r="N42" s="76"/>
      <c r="O42" s="51"/>
      <c r="P42" s="51"/>
      <c r="Q42" s="51"/>
      <c r="R42" s="62">
        <v>14935835</v>
      </c>
      <c r="S42" s="62">
        <f>9740762</f>
        <v>9740762</v>
      </c>
      <c r="T42" s="62">
        <v>9740762</v>
      </c>
      <c r="U42" s="62">
        <f>4545689</f>
        <v>4545689</v>
      </c>
      <c r="V42" s="51"/>
      <c r="W42" s="51"/>
      <c r="X42" s="51"/>
      <c r="Y42" s="78"/>
      <c r="Z42" s="176">
        <f t="shared" si="12"/>
        <v>38963048</v>
      </c>
      <c r="AA42" s="251">
        <f t="shared" si="1"/>
        <v>0</v>
      </c>
      <c r="AC42" s="84" t="s">
        <v>495</v>
      </c>
      <c r="AD42" s="167">
        <f t="shared" si="2"/>
        <v>219</v>
      </c>
      <c r="AE42" s="110">
        <f t="shared" si="3"/>
        <v>38963048</v>
      </c>
      <c r="AF42" s="103">
        <v>42804</v>
      </c>
      <c r="AG42" s="139">
        <f t="shared" si="4"/>
        <v>366</v>
      </c>
      <c r="AH42" s="111">
        <f t="shared" si="5"/>
        <v>38963048</v>
      </c>
      <c r="AI42" s="199">
        <v>42809</v>
      </c>
      <c r="AJ42" s="89" t="s">
        <v>535</v>
      </c>
      <c r="AK42" s="111">
        <f t="shared" ref="AK42:AK49" si="21">M42</f>
        <v>169</v>
      </c>
      <c r="AL42" s="111">
        <v>52717144</v>
      </c>
      <c r="AM42" s="106">
        <f t="shared" si="8"/>
        <v>0</v>
      </c>
    </row>
    <row r="43" spans="1:39" s="112" customFormat="1" ht="76.5">
      <c r="A43" s="254" t="s">
        <v>97</v>
      </c>
      <c r="B43" s="92">
        <f t="shared" si="9"/>
        <v>15921301</v>
      </c>
      <c r="C43" s="88" t="s">
        <v>78</v>
      </c>
      <c r="D43" s="88" t="s">
        <v>98</v>
      </c>
      <c r="E43" s="88" t="s">
        <v>99</v>
      </c>
      <c r="F43" s="88" t="s">
        <v>171</v>
      </c>
      <c r="G43" s="88" t="s">
        <v>100</v>
      </c>
      <c r="H43" s="64">
        <v>314</v>
      </c>
      <c r="I43" s="61" t="s">
        <v>1249</v>
      </c>
      <c r="J43" s="62">
        <f>15921301-15921301+16000000-78699+6498490-6498490</f>
        <v>15921301</v>
      </c>
      <c r="K43" s="62">
        <v>392</v>
      </c>
      <c r="L43" s="62">
        <v>15921301</v>
      </c>
      <c r="M43" s="63">
        <v>187</v>
      </c>
      <c r="N43" s="76"/>
      <c r="O43" s="51"/>
      <c r="P43" s="51"/>
      <c r="Q43" s="51"/>
      <c r="R43" s="62">
        <v>2924321</v>
      </c>
      <c r="S43" s="62">
        <f>3249245</f>
        <v>3249245</v>
      </c>
      <c r="T43" s="62">
        <f>3249245</f>
        <v>3249245</v>
      </c>
      <c r="U43" s="62">
        <f>3249245</f>
        <v>3249245</v>
      </c>
      <c r="V43" s="62">
        <f>3249245</f>
        <v>3249245</v>
      </c>
      <c r="W43" s="51"/>
      <c r="X43" s="51"/>
      <c r="Y43" s="78"/>
      <c r="Z43" s="176">
        <f t="shared" si="12"/>
        <v>15921301</v>
      </c>
      <c r="AA43" s="251">
        <f t="shared" si="1"/>
        <v>0</v>
      </c>
      <c r="AC43" s="84" t="s">
        <v>530</v>
      </c>
      <c r="AD43" s="167" t="str">
        <f t="shared" si="2"/>
        <v>228 - 441</v>
      </c>
      <c r="AE43" s="110">
        <f t="shared" si="3"/>
        <v>15921301</v>
      </c>
      <c r="AF43" s="103">
        <v>42808</v>
      </c>
      <c r="AG43" s="139">
        <f t="shared" si="4"/>
        <v>392</v>
      </c>
      <c r="AH43" s="111">
        <f t="shared" si="5"/>
        <v>15921301</v>
      </c>
      <c r="AI43" s="199">
        <v>42821</v>
      </c>
      <c r="AJ43" s="89" t="s">
        <v>554</v>
      </c>
      <c r="AK43" s="111">
        <f t="shared" si="21"/>
        <v>187</v>
      </c>
      <c r="AL43" s="111">
        <v>346684</v>
      </c>
      <c r="AM43" s="106">
        <f t="shared" si="8"/>
        <v>0</v>
      </c>
    </row>
    <row r="44" spans="1:39" s="112" customFormat="1" ht="76.5">
      <c r="A44" s="254" t="s">
        <v>97</v>
      </c>
      <c r="B44" s="92">
        <f t="shared" si="9"/>
        <v>33390000</v>
      </c>
      <c r="C44" s="88" t="s">
        <v>78</v>
      </c>
      <c r="D44" s="88" t="s">
        <v>98</v>
      </c>
      <c r="E44" s="88" t="s">
        <v>99</v>
      </c>
      <c r="F44" s="88" t="s">
        <v>171</v>
      </c>
      <c r="G44" s="88" t="s">
        <v>100</v>
      </c>
      <c r="H44" s="64">
        <v>69</v>
      </c>
      <c r="I44" s="61" t="s">
        <v>1250</v>
      </c>
      <c r="J44" s="62">
        <f>34020000-34020000+30240000-630000+3780000</f>
        <v>33390000</v>
      </c>
      <c r="K44" s="62" t="s">
        <v>798</v>
      </c>
      <c r="L44" s="62">
        <f>29610000+3780000</f>
        <v>33390000</v>
      </c>
      <c r="M44" s="63">
        <v>213</v>
      </c>
      <c r="N44" s="76"/>
      <c r="O44" s="51"/>
      <c r="P44" s="51"/>
      <c r="Q44" s="51"/>
      <c r="R44" s="51"/>
      <c r="S44" s="62">
        <f>3528000</f>
        <v>3528000</v>
      </c>
      <c r="T44" s="62">
        <v>3780000</v>
      </c>
      <c r="U44" s="62">
        <f>3780000</f>
        <v>3780000</v>
      </c>
      <c r="V44" s="62">
        <f>3780000</f>
        <v>3780000</v>
      </c>
      <c r="W44" s="62">
        <f>3780000+3780000</f>
        <v>7560000</v>
      </c>
      <c r="X44" s="62">
        <f>3780000</f>
        <v>3780000</v>
      </c>
      <c r="Y44" s="95">
        <f>3780000+3402000</f>
        <v>7182000</v>
      </c>
      <c r="Z44" s="176">
        <f t="shared" si="12"/>
        <v>33390000</v>
      </c>
      <c r="AA44" s="251">
        <f t="shared" si="1"/>
        <v>0</v>
      </c>
      <c r="AC44" s="84" t="s">
        <v>531</v>
      </c>
      <c r="AD44" s="167" t="str">
        <f t="shared" si="2"/>
        <v>252 - 280 - 447</v>
      </c>
      <c r="AE44" s="110">
        <f t="shared" si="3"/>
        <v>33390000</v>
      </c>
      <c r="AF44" s="103" t="s">
        <v>1251</v>
      </c>
      <c r="AG44" s="139" t="str">
        <f t="shared" si="4"/>
        <v>456 - 748</v>
      </c>
      <c r="AH44" s="111">
        <f t="shared" si="5"/>
        <v>33390000</v>
      </c>
      <c r="AI44" s="199">
        <v>42857</v>
      </c>
      <c r="AJ44" s="89" t="s">
        <v>604</v>
      </c>
      <c r="AK44" s="111">
        <f t="shared" si="21"/>
        <v>213</v>
      </c>
      <c r="AL44" s="111">
        <v>1018452223</v>
      </c>
      <c r="AM44" s="106">
        <f t="shared" si="8"/>
        <v>0</v>
      </c>
    </row>
    <row r="45" spans="1:39" s="112" customFormat="1" ht="76.5">
      <c r="A45" s="254" t="s">
        <v>97</v>
      </c>
      <c r="B45" s="92">
        <f t="shared" si="9"/>
        <v>6480000</v>
      </c>
      <c r="C45" s="88" t="s">
        <v>78</v>
      </c>
      <c r="D45" s="88" t="s">
        <v>98</v>
      </c>
      <c r="E45" s="88" t="s">
        <v>99</v>
      </c>
      <c r="F45" s="88" t="s">
        <v>171</v>
      </c>
      <c r="G45" s="88" t="s">
        <v>100</v>
      </c>
      <c r="H45" s="64">
        <v>323</v>
      </c>
      <c r="I45" s="61">
        <v>237</v>
      </c>
      <c r="J45" s="62">
        <v>6480000</v>
      </c>
      <c r="K45" s="62">
        <v>383</v>
      </c>
      <c r="L45" s="62">
        <v>6480000</v>
      </c>
      <c r="M45" s="63">
        <v>180</v>
      </c>
      <c r="N45" s="76"/>
      <c r="O45" s="51"/>
      <c r="P45" s="51"/>
      <c r="Q45" s="51"/>
      <c r="R45" s="62">
        <v>4104000</v>
      </c>
      <c r="S45" s="62">
        <f>2376000</f>
        <v>2376000</v>
      </c>
      <c r="T45" s="51"/>
      <c r="U45" s="51"/>
      <c r="V45" s="51"/>
      <c r="W45" s="51"/>
      <c r="X45" s="51"/>
      <c r="Y45" s="78"/>
      <c r="Z45" s="176">
        <f t="shared" si="12"/>
        <v>6480000</v>
      </c>
      <c r="AA45" s="251">
        <f t="shared" si="1"/>
        <v>0</v>
      </c>
      <c r="AC45" s="84" t="s">
        <v>545</v>
      </c>
      <c r="AD45" s="167">
        <f t="shared" si="2"/>
        <v>237</v>
      </c>
      <c r="AE45" s="110">
        <f t="shared" si="3"/>
        <v>6480000</v>
      </c>
      <c r="AF45" s="103">
        <v>232</v>
      </c>
      <c r="AG45" s="139">
        <f t="shared" si="4"/>
        <v>383</v>
      </c>
      <c r="AH45" s="111">
        <f t="shared" si="5"/>
        <v>6480000</v>
      </c>
      <c r="AI45" s="199">
        <v>42817</v>
      </c>
      <c r="AJ45" s="89" t="s">
        <v>557</v>
      </c>
      <c r="AK45" s="111">
        <f t="shared" si="21"/>
        <v>180</v>
      </c>
      <c r="AL45" s="111">
        <v>80240721</v>
      </c>
      <c r="AM45" s="106">
        <f t="shared" si="8"/>
        <v>0</v>
      </c>
    </row>
    <row r="46" spans="1:39" s="112" customFormat="1" ht="76.5">
      <c r="A46" s="254" t="s">
        <v>97</v>
      </c>
      <c r="B46" s="92">
        <f t="shared" si="9"/>
        <v>1520000</v>
      </c>
      <c r="C46" s="88" t="s">
        <v>78</v>
      </c>
      <c r="D46" s="88" t="s">
        <v>98</v>
      </c>
      <c r="E46" s="88" t="s">
        <v>99</v>
      </c>
      <c r="F46" s="88" t="s">
        <v>171</v>
      </c>
      <c r="G46" s="88" t="s">
        <v>100</v>
      </c>
      <c r="H46" s="64">
        <v>324</v>
      </c>
      <c r="I46" s="61">
        <v>238</v>
      </c>
      <c r="J46" s="62">
        <v>1520000</v>
      </c>
      <c r="K46" s="62">
        <v>385</v>
      </c>
      <c r="L46" s="62">
        <v>1520000</v>
      </c>
      <c r="M46" s="63">
        <v>181</v>
      </c>
      <c r="N46" s="76"/>
      <c r="O46" s="51"/>
      <c r="P46" s="51"/>
      <c r="Q46" s="51"/>
      <c r="R46" s="62">
        <v>1520000</v>
      </c>
      <c r="S46" s="51"/>
      <c r="T46" s="51"/>
      <c r="U46" s="51"/>
      <c r="V46" s="51"/>
      <c r="W46" s="51"/>
      <c r="X46" s="51"/>
      <c r="Y46" s="78"/>
      <c r="Z46" s="176">
        <f t="shared" si="12"/>
        <v>1520000</v>
      </c>
      <c r="AA46" s="251">
        <f t="shared" si="1"/>
        <v>0</v>
      </c>
      <c r="AC46" s="84" t="s">
        <v>546</v>
      </c>
      <c r="AD46" s="167">
        <f t="shared" si="2"/>
        <v>238</v>
      </c>
      <c r="AE46" s="110">
        <f t="shared" si="3"/>
        <v>1520000</v>
      </c>
      <c r="AF46" s="103">
        <v>42816</v>
      </c>
      <c r="AG46" s="139">
        <f t="shared" si="4"/>
        <v>385</v>
      </c>
      <c r="AH46" s="111">
        <f t="shared" si="5"/>
        <v>1520000</v>
      </c>
      <c r="AI46" s="199">
        <v>42818</v>
      </c>
      <c r="AJ46" s="89" t="s">
        <v>556</v>
      </c>
      <c r="AK46" s="111">
        <f t="shared" si="21"/>
        <v>181</v>
      </c>
      <c r="AL46" s="111">
        <v>1030609271</v>
      </c>
      <c r="AM46" s="106">
        <f t="shared" si="8"/>
        <v>0</v>
      </c>
    </row>
    <row r="47" spans="1:39" s="112" customFormat="1" ht="76.5">
      <c r="A47" s="254" t="s">
        <v>97</v>
      </c>
      <c r="B47" s="92">
        <f t="shared" si="9"/>
        <v>25050000</v>
      </c>
      <c r="C47" s="88" t="s">
        <v>78</v>
      </c>
      <c r="D47" s="88" t="s">
        <v>98</v>
      </c>
      <c r="E47" s="88" t="s">
        <v>99</v>
      </c>
      <c r="F47" s="88" t="s">
        <v>171</v>
      </c>
      <c r="G47" s="88" t="s">
        <v>100</v>
      </c>
      <c r="H47" s="64">
        <v>294</v>
      </c>
      <c r="I47" s="61">
        <v>258</v>
      </c>
      <c r="J47" s="62">
        <v>25050000</v>
      </c>
      <c r="K47" s="62">
        <v>434</v>
      </c>
      <c r="L47" s="62">
        <v>25050000</v>
      </c>
      <c r="M47" s="63">
        <v>208</v>
      </c>
      <c r="N47" s="76"/>
      <c r="O47" s="51"/>
      <c r="P47" s="51"/>
      <c r="Q47" s="51"/>
      <c r="R47" s="62">
        <v>3618333</v>
      </c>
      <c r="S47" s="62">
        <f>8350000</f>
        <v>8350000</v>
      </c>
      <c r="T47" s="62">
        <f>8350000</f>
        <v>8350000</v>
      </c>
      <c r="U47" s="62">
        <f>4731667</f>
        <v>4731667</v>
      </c>
      <c r="V47" s="51"/>
      <c r="W47" s="51"/>
      <c r="X47" s="51"/>
      <c r="Y47" s="78"/>
      <c r="Z47" s="176">
        <f t="shared" si="12"/>
        <v>25050000</v>
      </c>
      <c r="AA47" s="251">
        <f t="shared" si="1"/>
        <v>0</v>
      </c>
      <c r="AC47" s="84" t="s">
        <v>565</v>
      </c>
      <c r="AD47" s="167">
        <f t="shared" si="2"/>
        <v>258</v>
      </c>
      <c r="AE47" s="110">
        <f t="shared" si="3"/>
        <v>25050000</v>
      </c>
      <c r="AF47" s="103">
        <v>42828</v>
      </c>
      <c r="AG47" s="139">
        <f t="shared" si="4"/>
        <v>434</v>
      </c>
      <c r="AH47" s="111">
        <f t="shared" si="5"/>
        <v>25050000</v>
      </c>
      <c r="AI47" s="199">
        <v>42843</v>
      </c>
      <c r="AJ47" s="89" t="s">
        <v>588</v>
      </c>
      <c r="AK47" s="111">
        <f t="shared" si="21"/>
        <v>208</v>
      </c>
      <c r="AL47" s="111">
        <v>79188959</v>
      </c>
      <c r="AM47" s="106">
        <f t="shared" si="8"/>
        <v>0</v>
      </c>
    </row>
    <row r="48" spans="1:39" s="112" customFormat="1" ht="76.5">
      <c r="A48" s="254" t="s">
        <v>97</v>
      </c>
      <c r="B48" s="92">
        <f t="shared" si="9"/>
        <v>88240605</v>
      </c>
      <c r="C48" s="88" t="s">
        <v>78</v>
      </c>
      <c r="D48" s="88" t="s">
        <v>98</v>
      </c>
      <c r="E48" s="88" t="s">
        <v>99</v>
      </c>
      <c r="F48" s="88" t="s">
        <v>171</v>
      </c>
      <c r="G48" s="88" t="s">
        <v>100</v>
      </c>
      <c r="H48" s="64">
        <v>3</v>
      </c>
      <c r="I48" s="61">
        <v>366</v>
      </c>
      <c r="J48" s="62">
        <f>88721940-481335</f>
        <v>88240605</v>
      </c>
      <c r="K48" s="62">
        <v>840</v>
      </c>
      <c r="L48" s="62">
        <v>88240605</v>
      </c>
      <c r="M48" s="63">
        <v>325</v>
      </c>
      <c r="N48" s="76"/>
      <c r="O48" s="51"/>
      <c r="P48" s="51"/>
      <c r="Q48" s="51"/>
      <c r="R48" s="51"/>
      <c r="S48" s="51"/>
      <c r="T48" s="51"/>
      <c r="U48" s="51"/>
      <c r="V48" s="51"/>
      <c r="W48" s="51"/>
      <c r="X48" s="51"/>
      <c r="Y48" s="95">
        <f>88240605</f>
        <v>88240605</v>
      </c>
      <c r="Z48" s="176">
        <f t="shared" si="12"/>
        <v>88240605</v>
      </c>
      <c r="AA48" s="251">
        <f t="shared" si="1"/>
        <v>0</v>
      </c>
      <c r="AC48" s="84" t="s">
        <v>566</v>
      </c>
      <c r="AD48" s="167">
        <f t="shared" si="2"/>
        <v>366</v>
      </c>
      <c r="AE48" s="110">
        <f t="shared" si="3"/>
        <v>88240605</v>
      </c>
      <c r="AF48" s="103">
        <v>42828</v>
      </c>
      <c r="AG48" s="139">
        <f t="shared" si="4"/>
        <v>840</v>
      </c>
      <c r="AH48" s="111">
        <f t="shared" si="5"/>
        <v>88240605</v>
      </c>
      <c r="AI48" s="199">
        <v>43013</v>
      </c>
      <c r="AJ48" s="89" t="s">
        <v>831</v>
      </c>
      <c r="AK48" s="111">
        <f t="shared" si="21"/>
        <v>325</v>
      </c>
      <c r="AL48" s="111"/>
      <c r="AM48" s="106">
        <f t="shared" si="8"/>
        <v>0</v>
      </c>
    </row>
    <row r="49" spans="1:39" s="112" customFormat="1" ht="76.5">
      <c r="A49" s="254" t="s">
        <v>97</v>
      </c>
      <c r="B49" s="92">
        <f t="shared" si="9"/>
        <v>15600000</v>
      </c>
      <c r="C49" s="88" t="s">
        <v>78</v>
      </c>
      <c r="D49" s="88" t="s">
        <v>98</v>
      </c>
      <c r="E49" s="88" t="s">
        <v>99</v>
      </c>
      <c r="F49" s="88" t="s">
        <v>171</v>
      </c>
      <c r="G49" s="88" t="s">
        <v>100</v>
      </c>
      <c r="H49" s="64">
        <v>338</v>
      </c>
      <c r="I49" s="61">
        <v>312</v>
      </c>
      <c r="J49" s="62">
        <f>36400000-20800000</f>
        <v>15600000</v>
      </c>
      <c r="K49" s="62">
        <v>536</v>
      </c>
      <c r="L49" s="62">
        <f>36400000-20800000</f>
        <v>15600000</v>
      </c>
      <c r="M49" s="63">
        <v>240</v>
      </c>
      <c r="N49" s="76"/>
      <c r="O49" s="51"/>
      <c r="P49" s="51"/>
      <c r="Q49" s="51"/>
      <c r="R49" s="51"/>
      <c r="S49" s="51"/>
      <c r="T49" s="62">
        <v>5200000</v>
      </c>
      <c r="U49" s="62">
        <f>5200000</f>
        <v>5200000</v>
      </c>
      <c r="V49" s="62">
        <f>5200000</f>
        <v>5200000</v>
      </c>
      <c r="W49" s="51"/>
      <c r="X49" s="51"/>
      <c r="Y49" s="78"/>
      <c r="Z49" s="176">
        <f t="shared" si="12"/>
        <v>15600000</v>
      </c>
      <c r="AA49" s="251">
        <f t="shared" si="1"/>
        <v>0</v>
      </c>
      <c r="AC49" s="84" t="s">
        <v>653</v>
      </c>
      <c r="AD49" s="167">
        <f t="shared" si="2"/>
        <v>312</v>
      </c>
      <c r="AE49" s="110">
        <f t="shared" si="3"/>
        <v>15600000</v>
      </c>
      <c r="AF49" s="103">
        <v>42867</v>
      </c>
      <c r="AG49" s="139">
        <f t="shared" si="4"/>
        <v>536</v>
      </c>
      <c r="AH49" s="111">
        <f t="shared" si="5"/>
        <v>15600000</v>
      </c>
      <c r="AI49" s="199">
        <v>42887</v>
      </c>
      <c r="AJ49" s="89" t="s">
        <v>654</v>
      </c>
      <c r="AK49" s="111">
        <f t="shared" si="21"/>
        <v>240</v>
      </c>
      <c r="AL49" s="111"/>
      <c r="AM49" s="106">
        <f t="shared" si="8"/>
        <v>0</v>
      </c>
    </row>
    <row r="50" spans="1:39" s="112" customFormat="1" ht="76.5">
      <c r="A50" s="254" t="s">
        <v>97</v>
      </c>
      <c r="B50" s="92">
        <f t="shared" si="9"/>
        <v>71333334</v>
      </c>
      <c r="C50" s="88" t="s">
        <v>78</v>
      </c>
      <c r="D50" s="88" t="s">
        <v>98</v>
      </c>
      <c r="E50" s="88" t="s">
        <v>99</v>
      </c>
      <c r="F50" s="88" t="s">
        <v>171</v>
      </c>
      <c r="G50" s="88" t="s">
        <v>100</v>
      </c>
      <c r="H50" s="64">
        <v>339</v>
      </c>
      <c r="I50" s="61">
        <v>313</v>
      </c>
      <c r="J50" s="62">
        <f>74900000-3566666</f>
        <v>71333334</v>
      </c>
      <c r="K50" s="62">
        <v>488</v>
      </c>
      <c r="L50" s="62">
        <f>74900000-3566666</f>
        <v>71333334</v>
      </c>
      <c r="M50" s="63">
        <v>225</v>
      </c>
      <c r="N50" s="76"/>
      <c r="O50" s="51"/>
      <c r="P50" s="51"/>
      <c r="Q50" s="51"/>
      <c r="R50" s="51"/>
      <c r="S50" s="62">
        <f>5706667</f>
        <v>5706667</v>
      </c>
      <c r="T50" s="62">
        <v>9630000</v>
      </c>
      <c r="U50" s="62">
        <f>2496667</f>
        <v>2496667</v>
      </c>
      <c r="V50" s="62">
        <f>10700000</f>
        <v>10700000</v>
      </c>
      <c r="W50" s="62">
        <f>10700000</f>
        <v>10700000</v>
      </c>
      <c r="X50" s="62">
        <f>10700000</f>
        <v>10700000</v>
      </c>
      <c r="Y50" s="95">
        <f>10700000+10700000</f>
        <v>21400000</v>
      </c>
      <c r="Z50" s="176">
        <f t="shared" si="12"/>
        <v>71333334</v>
      </c>
      <c r="AA50" s="251">
        <f t="shared" si="1"/>
        <v>0</v>
      </c>
      <c r="AC50" s="84" t="s">
        <v>645</v>
      </c>
      <c r="AD50" s="167">
        <f t="shared" si="2"/>
        <v>313</v>
      </c>
      <c r="AE50" s="110">
        <f t="shared" si="3"/>
        <v>71333334</v>
      </c>
      <c r="AF50" s="103">
        <v>42867</v>
      </c>
      <c r="AG50" s="139">
        <f t="shared" si="4"/>
        <v>488</v>
      </c>
      <c r="AH50" s="111">
        <f t="shared" si="5"/>
        <v>71333334</v>
      </c>
      <c r="AI50" s="199">
        <v>42870</v>
      </c>
      <c r="AJ50" s="89" t="s">
        <v>644</v>
      </c>
      <c r="AK50" s="111">
        <f t="shared" ref="AK50:AK64" si="22">M50</f>
        <v>225</v>
      </c>
      <c r="AL50" s="111">
        <v>35461155</v>
      </c>
      <c r="AM50" s="106">
        <f t="shared" si="8"/>
        <v>0</v>
      </c>
    </row>
    <row r="51" spans="1:39" s="112" customFormat="1" ht="76.5">
      <c r="A51" s="254" t="s">
        <v>97</v>
      </c>
      <c r="B51" s="92">
        <f t="shared" si="9"/>
        <v>1105906113</v>
      </c>
      <c r="C51" s="88" t="s">
        <v>78</v>
      </c>
      <c r="D51" s="88" t="s">
        <v>98</v>
      </c>
      <c r="E51" s="88" t="s">
        <v>99</v>
      </c>
      <c r="F51" s="88" t="s">
        <v>171</v>
      </c>
      <c r="G51" s="88" t="s">
        <v>100</v>
      </c>
      <c r="H51" s="64">
        <v>357</v>
      </c>
      <c r="I51" s="61" t="s">
        <v>1045</v>
      </c>
      <c r="J51" s="62">
        <f>743472413+362433700</f>
        <v>1105906113</v>
      </c>
      <c r="K51" s="62" t="s">
        <v>1109</v>
      </c>
      <c r="L51" s="62">
        <f>743472413+362433700</f>
        <v>1105906113</v>
      </c>
      <c r="M51" s="63">
        <v>247</v>
      </c>
      <c r="N51" s="76"/>
      <c r="O51" s="51"/>
      <c r="P51" s="51"/>
      <c r="Q51" s="51"/>
      <c r="R51" s="51"/>
      <c r="S51" s="51"/>
      <c r="T51" s="51"/>
      <c r="U51" s="62">
        <f>167007914</f>
        <v>167007914</v>
      </c>
      <c r="V51" s="62">
        <f>3775513</f>
        <v>3775513</v>
      </c>
      <c r="W51" s="51"/>
      <c r="X51" s="62">
        <f>82579229</f>
        <v>82579229</v>
      </c>
      <c r="Y51" s="95">
        <f>9354382+3351678+4302862+8146056+2272900+1001980+148561028</f>
        <v>176990886</v>
      </c>
      <c r="Z51" s="176">
        <f t="shared" si="12"/>
        <v>430353542</v>
      </c>
      <c r="AA51" s="251">
        <f t="shared" si="1"/>
        <v>675552571</v>
      </c>
      <c r="AC51" s="84" t="s">
        <v>649</v>
      </c>
      <c r="AD51" s="167" t="str">
        <f t="shared" si="2"/>
        <v>345 - 769</v>
      </c>
      <c r="AE51" s="110">
        <f t="shared" si="3"/>
        <v>1105906113</v>
      </c>
      <c r="AF51" s="103">
        <v>42893</v>
      </c>
      <c r="AG51" s="139" t="str">
        <f t="shared" si="4"/>
        <v>558 - 1141</v>
      </c>
      <c r="AH51" s="111">
        <f t="shared" si="5"/>
        <v>1105906113</v>
      </c>
      <c r="AI51" s="369">
        <v>42899</v>
      </c>
      <c r="AJ51" s="130" t="s">
        <v>693</v>
      </c>
      <c r="AK51" s="111">
        <f t="shared" si="22"/>
        <v>247</v>
      </c>
      <c r="AL51" s="111"/>
      <c r="AM51" s="106">
        <f t="shared" ref="AM51:AM57" si="23">AE51-AH51</f>
        <v>0</v>
      </c>
    </row>
    <row r="52" spans="1:39" s="112" customFormat="1" ht="76.5">
      <c r="A52" s="254" t="s">
        <v>97</v>
      </c>
      <c r="B52" s="92">
        <f t="shared" si="9"/>
        <v>45000000</v>
      </c>
      <c r="C52" s="88" t="s">
        <v>78</v>
      </c>
      <c r="D52" s="88" t="s">
        <v>98</v>
      </c>
      <c r="E52" s="88" t="s">
        <v>99</v>
      </c>
      <c r="F52" s="88" t="s">
        <v>171</v>
      </c>
      <c r="G52" s="88" t="s">
        <v>100</v>
      </c>
      <c r="H52" s="64">
        <v>313</v>
      </c>
      <c r="I52" s="61">
        <v>376</v>
      </c>
      <c r="J52" s="62">
        <f>45000000</f>
        <v>45000000</v>
      </c>
      <c r="K52" s="62" t="s">
        <v>1101</v>
      </c>
      <c r="L52" s="62">
        <f>37281882+7718118</f>
        <v>45000000</v>
      </c>
      <c r="M52" s="63" t="s">
        <v>1102</v>
      </c>
      <c r="N52" s="76"/>
      <c r="O52" s="51"/>
      <c r="P52" s="51"/>
      <c r="Q52" s="51"/>
      <c r="R52" s="51"/>
      <c r="S52" s="51"/>
      <c r="T52" s="51"/>
      <c r="U52" s="51"/>
      <c r="V52" s="51"/>
      <c r="W52" s="51"/>
      <c r="X52" s="51"/>
      <c r="Y52" s="95">
        <f>37281882</f>
        <v>37281882</v>
      </c>
      <c r="Z52" s="176">
        <f t="shared" si="12"/>
        <v>37281882</v>
      </c>
      <c r="AA52" s="251">
        <f t="shared" si="1"/>
        <v>7718118</v>
      </c>
      <c r="AC52" s="84" t="s">
        <v>759</v>
      </c>
      <c r="AD52" s="167">
        <f t="shared" si="2"/>
        <v>376</v>
      </c>
      <c r="AE52" s="110">
        <f t="shared" si="3"/>
        <v>45000000</v>
      </c>
      <c r="AF52" s="103">
        <v>42921</v>
      </c>
      <c r="AG52" s="139" t="str">
        <f t="shared" si="4"/>
        <v>1024 - 1062</v>
      </c>
      <c r="AH52" s="111">
        <f t="shared" si="5"/>
        <v>45000000</v>
      </c>
      <c r="AI52" s="121" t="s">
        <v>1103</v>
      </c>
      <c r="AJ52" s="89" t="s">
        <v>1104</v>
      </c>
      <c r="AK52" s="111" t="str">
        <f t="shared" si="22"/>
        <v>392 - 400</v>
      </c>
      <c r="AL52" s="111"/>
      <c r="AM52" s="106">
        <f t="shared" si="23"/>
        <v>0</v>
      </c>
    </row>
    <row r="53" spans="1:39" s="112" customFormat="1" ht="76.5">
      <c r="A53" s="254" t="s">
        <v>97</v>
      </c>
      <c r="B53" s="92">
        <f t="shared" si="9"/>
        <v>16000000</v>
      </c>
      <c r="C53" s="88" t="s">
        <v>78</v>
      </c>
      <c r="D53" s="88" t="s">
        <v>98</v>
      </c>
      <c r="E53" s="88" t="s">
        <v>99</v>
      </c>
      <c r="F53" s="88" t="s">
        <v>171</v>
      </c>
      <c r="G53" s="88" t="s">
        <v>100</v>
      </c>
      <c r="H53" s="64">
        <v>316</v>
      </c>
      <c r="I53" s="61">
        <v>424</v>
      </c>
      <c r="J53" s="62">
        <f>16000000</f>
        <v>16000000</v>
      </c>
      <c r="K53" s="62">
        <v>752</v>
      </c>
      <c r="L53" s="62">
        <f>16000000</f>
        <v>16000000</v>
      </c>
      <c r="M53" s="63">
        <v>303</v>
      </c>
      <c r="N53" s="76"/>
      <c r="O53" s="51"/>
      <c r="P53" s="51"/>
      <c r="Q53" s="51"/>
      <c r="R53" s="51"/>
      <c r="S53" s="51"/>
      <c r="T53" s="51"/>
      <c r="U53" s="51"/>
      <c r="V53" s="51"/>
      <c r="W53" s="62">
        <f>3466667</f>
        <v>3466667</v>
      </c>
      <c r="X53" s="62">
        <f>4000000</f>
        <v>4000000</v>
      </c>
      <c r="Y53" s="95">
        <f>4000000+4000000</f>
        <v>8000000</v>
      </c>
      <c r="Z53" s="176">
        <f t="shared" si="12"/>
        <v>15466667</v>
      </c>
      <c r="AA53" s="251">
        <f t="shared" si="1"/>
        <v>533333</v>
      </c>
      <c r="AC53" s="84" t="s">
        <v>699</v>
      </c>
      <c r="AD53" s="167">
        <f t="shared" si="2"/>
        <v>424</v>
      </c>
      <c r="AE53" s="110">
        <f t="shared" si="3"/>
        <v>16000000</v>
      </c>
      <c r="AF53" s="103">
        <v>42962</v>
      </c>
      <c r="AG53" s="139">
        <f t="shared" si="4"/>
        <v>752</v>
      </c>
      <c r="AH53" s="111">
        <f t="shared" si="5"/>
        <v>16000000</v>
      </c>
      <c r="AI53" s="199">
        <v>42983</v>
      </c>
      <c r="AJ53" s="89" t="s">
        <v>800</v>
      </c>
      <c r="AK53" s="111">
        <f t="shared" si="22"/>
        <v>303</v>
      </c>
      <c r="AL53" s="111"/>
      <c r="AM53" s="106">
        <f t="shared" si="23"/>
        <v>0</v>
      </c>
    </row>
    <row r="54" spans="1:39" s="112" customFormat="1" ht="76.5">
      <c r="A54" s="254" t="s">
        <v>97</v>
      </c>
      <c r="B54" s="92">
        <f t="shared" si="9"/>
        <v>24000000</v>
      </c>
      <c r="C54" s="88" t="s">
        <v>78</v>
      </c>
      <c r="D54" s="88" t="s">
        <v>98</v>
      </c>
      <c r="E54" s="88" t="s">
        <v>99</v>
      </c>
      <c r="F54" s="88" t="s">
        <v>171</v>
      </c>
      <c r="G54" s="88" t="s">
        <v>100</v>
      </c>
      <c r="H54" s="64">
        <v>385</v>
      </c>
      <c r="I54" s="61">
        <v>436</v>
      </c>
      <c r="J54" s="62">
        <f>24000000</f>
        <v>24000000</v>
      </c>
      <c r="K54" s="62">
        <v>737</v>
      </c>
      <c r="L54" s="62">
        <f>24000000</f>
        <v>24000000</v>
      </c>
      <c r="M54" s="63">
        <v>304</v>
      </c>
      <c r="N54" s="76"/>
      <c r="O54" s="51"/>
      <c r="P54" s="51"/>
      <c r="Q54" s="51"/>
      <c r="R54" s="51"/>
      <c r="S54" s="51"/>
      <c r="T54" s="51"/>
      <c r="U54" s="51"/>
      <c r="V54" s="51"/>
      <c r="W54" s="62">
        <f>6200000</f>
        <v>6200000</v>
      </c>
      <c r="X54" s="62">
        <f>6000000</f>
        <v>6000000</v>
      </c>
      <c r="Y54" s="95">
        <f>6000000+5800000</f>
        <v>11800000</v>
      </c>
      <c r="Z54" s="176">
        <f t="shared" si="12"/>
        <v>24000000</v>
      </c>
      <c r="AA54" s="251">
        <f t="shared" si="1"/>
        <v>0</v>
      </c>
      <c r="AC54" s="84" t="s">
        <v>714</v>
      </c>
      <c r="AD54" s="167">
        <f t="shared" si="2"/>
        <v>436</v>
      </c>
      <c r="AE54" s="110">
        <f t="shared" si="3"/>
        <v>24000000</v>
      </c>
      <c r="AF54" s="103">
        <v>42970</v>
      </c>
      <c r="AG54" s="139">
        <f t="shared" si="4"/>
        <v>737</v>
      </c>
      <c r="AH54" s="111">
        <f t="shared" si="5"/>
        <v>24000000</v>
      </c>
      <c r="AI54" s="121">
        <v>42977</v>
      </c>
      <c r="AJ54" s="88" t="s">
        <v>739</v>
      </c>
      <c r="AK54" s="111">
        <f t="shared" si="22"/>
        <v>304</v>
      </c>
      <c r="AL54" s="111"/>
      <c r="AM54" s="106">
        <f t="shared" si="23"/>
        <v>0</v>
      </c>
    </row>
    <row r="55" spans="1:39" s="112" customFormat="1" ht="76.5">
      <c r="A55" s="254" t="s">
        <v>97</v>
      </c>
      <c r="B55" s="92">
        <f t="shared" si="9"/>
        <v>19981200</v>
      </c>
      <c r="C55" s="88" t="s">
        <v>78</v>
      </c>
      <c r="D55" s="88" t="s">
        <v>98</v>
      </c>
      <c r="E55" s="88" t="s">
        <v>99</v>
      </c>
      <c r="F55" s="88" t="s">
        <v>171</v>
      </c>
      <c r="G55" s="88" t="s">
        <v>100</v>
      </c>
      <c r="H55" s="64">
        <v>389</v>
      </c>
      <c r="I55" s="61">
        <v>437</v>
      </c>
      <c r="J55" s="62">
        <f>20000000-18800</f>
        <v>19981200</v>
      </c>
      <c r="K55" s="62">
        <v>735</v>
      </c>
      <c r="L55" s="62">
        <f>19981200</f>
        <v>19981200</v>
      </c>
      <c r="M55" s="63">
        <v>301</v>
      </c>
      <c r="N55" s="76"/>
      <c r="O55" s="51"/>
      <c r="P55" s="51"/>
      <c r="Q55" s="51"/>
      <c r="R55" s="51"/>
      <c r="S55" s="51"/>
      <c r="T55" s="51"/>
      <c r="U55" s="51"/>
      <c r="V55" s="51"/>
      <c r="W55" s="62">
        <f>19981200</f>
        <v>19981200</v>
      </c>
      <c r="X55" s="51"/>
      <c r="Y55" s="78"/>
      <c r="Z55" s="176">
        <f t="shared" si="12"/>
        <v>19981200</v>
      </c>
      <c r="AA55" s="251">
        <f t="shared" si="1"/>
        <v>0</v>
      </c>
      <c r="AC55" s="84" t="s">
        <v>715</v>
      </c>
      <c r="AD55" s="167">
        <f t="shared" si="2"/>
        <v>437</v>
      </c>
      <c r="AE55" s="110">
        <f t="shared" si="3"/>
        <v>19981200</v>
      </c>
      <c r="AF55" s="103">
        <v>42960</v>
      </c>
      <c r="AG55" s="139">
        <f t="shared" si="4"/>
        <v>735</v>
      </c>
      <c r="AH55" s="111">
        <f t="shared" si="5"/>
        <v>19981200</v>
      </c>
      <c r="AI55" s="199"/>
      <c r="AJ55" s="89"/>
      <c r="AK55" s="111">
        <f t="shared" si="22"/>
        <v>301</v>
      </c>
      <c r="AL55" s="111"/>
      <c r="AM55" s="106">
        <f t="shared" si="23"/>
        <v>0</v>
      </c>
    </row>
    <row r="56" spans="1:39" s="112" customFormat="1" ht="76.5">
      <c r="A56" s="254" t="s">
        <v>97</v>
      </c>
      <c r="B56" s="92">
        <f t="shared" si="9"/>
        <v>16466667</v>
      </c>
      <c r="C56" s="88" t="s">
        <v>78</v>
      </c>
      <c r="D56" s="88" t="s">
        <v>98</v>
      </c>
      <c r="E56" s="88" t="s">
        <v>99</v>
      </c>
      <c r="F56" s="88" t="s">
        <v>171</v>
      </c>
      <c r="G56" s="88" t="s">
        <v>100</v>
      </c>
      <c r="H56" s="64">
        <v>390</v>
      </c>
      <c r="I56" s="61">
        <v>468</v>
      </c>
      <c r="J56" s="62">
        <f>18200000-1733333</f>
        <v>16466667</v>
      </c>
      <c r="K56" s="62">
        <v>792</v>
      </c>
      <c r="L56" s="62">
        <f>16466667</f>
        <v>16466667</v>
      </c>
      <c r="M56" s="63">
        <v>309</v>
      </c>
      <c r="N56" s="76"/>
      <c r="O56" s="51"/>
      <c r="P56" s="51"/>
      <c r="Q56" s="51"/>
      <c r="R56" s="51"/>
      <c r="S56" s="51"/>
      <c r="T56" s="51"/>
      <c r="U56" s="51"/>
      <c r="V56" s="51"/>
      <c r="W56" s="62">
        <f>1733333</f>
        <v>1733333</v>
      </c>
      <c r="X56" s="62">
        <f>5200000</f>
        <v>5200000</v>
      </c>
      <c r="Y56" s="95">
        <f>5200000+4333334</f>
        <v>9533334</v>
      </c>
      <c r="Z56" s="176">
        <f t="shared" si="12"/>
        <v>16466667</v>
      </c>
      <c r="AA56" s="251">
        <f t="shared" si="1"/>
        <v>0</v>
      </c>
      <c r="AC56" s="84" t="s">
        <v>760</v>
      </c>
      <c r="AD56" s="167">
        <f t="shared" si="2"/>
        <v>468</v>
      </c>
      <c r="AE56" s="110">
        <f t="shared" si="3"/>
        <v>16466667</v>
      </c>
      <c r="AF56" s="103">
        <v>42990</v>
      </c>
      <c r="AG56" s="139">
        <f t="shared" si="4"/>
        <v>792</v>
      </c>
      <c r="AH56" s="111">
        <f t="shared" si="5"/>
        <v>16466667</v>
      </c>
      <c r="AI56" s="199">
        <v>42998</v>
      </c>
      <c r="AJ56" s="89" t="s">
        <v>802</v>
      </c>
      <c r="AK56" s="111">
        <f t="shared" si="22"/>
        <v>309</v>
      </c>
      <c r="AL56" s="111"/>
      <c r="AM56" s="106">
        <f t="shared" si="23"/>
        <v>0</v>
      </c>
    </row>
    <row r="57" spans="1:39" s="112" customFormat="1" ht="89.25">
      <c r="A57" s="254" t="s">
        <v>97</v>
      </c>
      <c r="B57" s="92">
        <f t="shared" si="9"/>
        <v>12500000</v>
      </c>
      <c r="C57" s="88" t="s">
        <v>78</v>
      </c>
      <c r="D57" s="88" t="s">
        <v>98</v>
      </c>
      <c r="E57" s="88" t="s">
        <v>99</v>
      </c>
      <c r="F57" s="88" t="s">
        <v>171</v>
      </c>
      <c r="G57" s="88" t="s">
        <v>100</v>
      </c>
      <c r="H57" s="64">
        <v>452</v>
      </c>
      <c r="I57" s="61">
        <v>476</v>
      </c>
      <c r="J57" s="62">
        <f>15833333-3333333</f>
        <v>12500000</v>
      </c>
      <c r="K57" s="62">
        <v>830</v>
      </c>
      <c r="L57" s="62">
        <f>12500000</f>
        <v>12500000</v>
      </c>
      <c r="M57" s="63">
        <v>319</v>
      </c>
      <c r="N57" s="76"/>
      <c r="O57" s="51"/>
      <c r="P57" s="51"/>
      <c r="Q57" s="51"/>
      <c r="R57" s="51"/>
      <c r="S57" s="51"/>
      <c r="T57" s="51"/>
      <c r="U57" s="51"/>
      <c r="V57" s="51"/>
      <c r="W57" s="51"/>
      <c r="X57" s="62">
        <f>4666667</f>
        <v>4666667</v>
      </c>
      <c r="Y57" s="95">
        <f>5000000+2833333</f>
        <v>7833333</v>
      </c>
      <c r="Z57" s="176">
        <f t="shared" si="12"/>
        <v>12500000</v>
      </c>
      <c r="AA57" s="251">
        <f t="shared" si="1"/>
        <v>0</v>
      </c>
      <c r="AC57" s="84" t="s">
        <v>761</v>
      </c>
      <c r="AD57" s="167">
        <f t="shared" si="2"/>
        <v>476</v>
      </c>
      <c r="AE57" s="110">
        <f t="shared" si="3"/>
        <v>12500000</v>
      </c>
      <c r="AF57" s="103">
        <v>42999</v>
      </c>
      <c r="AG57" s="139">
        <f t="shared" si="4"/>
        <v>830</v>
      </c>
      <c r="AH57" s="111">
        <f t="shared" si="5"/>
        <v>12500000</v>
      </c>
      <c r="AI57" s="199">
        <v>43011</v>
      </c>
      <c r="AJ57" s="89" t="s">
        <v>832</v>
      </c>
      <c r="AK57" s="111">
        <f t="shared" si="22"/>
        <v>319</v>
      </c>
      <c r="AL57" s="111"/>
      <c r="AM57" s="106">
        <f t="shared" si="23"/>
        <v>0</v>
      </c>
    </row>
    <row r="58" spans="1:39" s="112" customFormat="1" ht="76.5">
      <c r="A58" s="254" t="s">
        <v>97</v>
      </c>
      <c r="B58" s="92">
        <f t="shared" si="9"/>
        <v>18492413</v>
      </c>
      <c r="C58" s="88" t="s">
        <v>78</v>
      </c>
      <c r="D58" s="88" t="s">
        <v>98</v>
      </c>
      <c r="E58" s="88" t="s">
        <v>99</v>
      </c>
      <c r="F58" s="88" t="s">
        <v>171</v>
      </c>
      <c r="G58" s="88" t="s">
        <v>100</v>
      </c>
      <c r="H58" s="64">
        <v>388</v>
      </c>
      <c r="I58" s="61">
        <v>509</v>
      </c>
      <c r="J58" s="62">
        <f>20500000-2007587</f>
        <v>18492413</v>
      </c>
      <c r="K58" s="62">
        <v>935</v>
      </c>
      <c r="L58" s="62">
        <f>18492413</f>
        <v>18492413</v>
      </c>
      <c r="M58" s="63">
        <v>355</v>
      </c>
      <c r="N58" s="76"/>
      <c r="O58" s="51"/>
      <c r="P58" s="51"/>
      <c r="Q58" s="51"/>
      <c r="R58" s="51"/>
      <c r="S58" s="51"/>
      <c r="T58" s="51"/>
      <c r="U58" s="51"/>
      <c r="V58" s="51"/>
      <c r="W58" s="51"/>
      <c r="X58" s="51"/>
      <c r="Y58" s="78"/>
      <c r="Z58" s="176">
        <f t="shared" si="12"/>
        <v>0</v>
      </c>
      <c r="AA58" s="251">
        <f t="shared" si="1"/>
        <v>18492413</v>
      </c>
      <c r="AC58" s="84" t="s">
        <v>754</v>
      </c>
      <c r="AD58" s="167">
        <f t="shared" si="2"/>
        <v>509</v>
      </c>
      <c r="AE58" s="110">
        <f t="shared" si="3"/>
        <v>18492413</v>
      </c>
      <c r="AF58" s="103">
        <v>43007</v>
      </c>
      <c r="AG58" s="139">
        <f t="shared" si="4"/>
        <v>935</v>
      </c>
      <c r="AH58" s="111">
        <f t="shared" si="5"/>
        <v>18492413</v>
      </c>
      <c r="AI58" s="199">
        <v>43049</v>
      </c>
      <c r="AJ58" s="89" t="s">
        <v>970</v>
      </c>
      <c r="AK58" s="111">
        <f t="shared" si="22"/>
        <v>355</v>
      </c>
      <c r="AL58" s="111"/>
      <c r="AM58" s="106">
        <f t="shared" ref="AM58:AM63" si="24">AE58-AH58</f>
        <v>0</v>
      </c>
    </row>
    <row r="59" spans="1:39" s="112" customFormat="1" ht="76.5">
      <c r="A59" s="254" t="s">
        <v>97</v>
      </c>
      <c r="B59" s="92">
        <f t="shared" si="9"/>
        <v>9249333</v>
      </c>
      <c r="C59" s="88" t="s">
        <v>78</v>
      </c>
      <c r="D59" s="88" t="s">
        <v>98</v>
      </c>
      <c r="E59" s="88" t="s">
        <v>99</v>
      </c>
      <c r="F59" s="88" t="s">
        <v>171</v>
      </c>
      <c r="G59" s="88" t="s">
        <v>100</v>
      </c>
      <c r="H59" s="64">
        <v>513</v>
      </c>
      <c r="I59" s="61">
        <v>513</v>
      </c>
      <c r="J59" s="62">
        <f>9250000-667</f>
        <v>9249333</v>
      </c>
      <c r="K59" s="62">
        <v>874</v>
      </c>
      <c r="L59" s="62">
        <f>9249333</f>
        <v>9249333</v>
      </c>
      <c r="M59" s="63">
        <v>337</v>
      </c>
      <c r="N59" s="76"/>
      <c r="O59" s="51"/>
      <c r="P59" s="51"/>
      <c r="Q59" s="51"/>
      <c r="R59" s="51"/>
      <c r="S59" s="51"/>
      <c r="T59" s="51"/>
      <c r="U59" s="51"/>
      <c r="V59" s="51"/>
      <c r="W59" s="51"/>
      <c r="X59" s="62">
        <f>1453467</f>
        <v>1453467</v>
      </c>
      <c r="Y59" s="95">
        <f>3964000+3831866</f>
        <v>7795866</v>
      </c>
      <c r="Z59" s="176">
        <f t="shared" si="12"/>
        <v>9249333</v>
      </c>
      <c r="AA59" s="251">
        <f t="shared" si="1"/>
        <v>0</v>
      </c>
      <c r="AC59" s="84" t="s">
        <v>819</v>
      </c>
      <c r="AD59" s="167">
        <f t="shared" si="2"/>
        <v>513</v>
      </c>
      <c r="AE59" s="110">
        <f t="shared" si="3"/>
        <v>9249333</v>
      </c>
      <c r="AF59" s="103"/>
      <c r="AG59" s="139">
        <f t="shared" si="4"/>
        <v>874</v>
      </c>
      <c r="AH59" s="111">
        <f t="shared" si="5"/>
        <v>9249333</v>
      </c>
      <c r="AI59" s="199">
        <v>43028</v>
      </c>
      <c r="AJ59" s="89" t="s">
        <v>837</v>
      </c>
      <c r="AK59" s="111">
        <f t="shared" si="22"/>
        <v>337</v>
      </c>
      <c r="AL59" s="111"/>
      <c r="AM59" s="106">
        <f t="shared" si="24"/>
        <v>0</v>
      </c>
    </row>
    <row r="60" spans="1:39" s="112" customFormat="1" ht="76.5">
      <c r="A60" s="254" t="s">
        <v>97</v>
      </c>
      <c r="B60" s="92">
        <f t="shared" si="9"/>
        <v>13125000</v>
      </c>
      <c r="C60" s="88" t="s">
        <v>78</v>
      </c>
      <c r="D60" s="88" t="s">
        <v>98</v>
      </c>
      <c r="E60" s="88" t="s">
        <v>99</v>
      </c>
      <c r="F60" s="88" t="s">
        <v>171</v>
      </c>
      <c r="G60" s="88" t="s">
        <v>100</v>
      </c>
      <c r="H60" s="64">
        <v>512</v>
      </c>
      <c r="I60" s="61" t="s">
        <v>1252</v>
      </c>
      <c r="J60" s="62">
        <f>13125000+5250000-5250000</f>
        <v>13125000</v>
      </c>
      <c r="K60" s="62">
        <v>854</v>
      </c>
      <c r="L60" s="62">
        <v>13125000</v>
      </c>
      <c r="M60" s="79">
        <v>328</v>
      </c>
      <c r="N60" s="72"/>
      <c r="O60" s="62"/>
      <c r="P60" s="62"/>
      <c r="Q60" s="62"/>
      <c r="R60" s="62"/>
      <c r="S60" s="62"/>
      <c r="T60" s="62"/>
      <c r="U60" s="62"/>
      <c r="V60" s="62"/>
      <c r="W60" s="62"/>
      <c r="X60" s="62">
        <f>2450000</f>
        <v>2450000</v>
      </c>
      <c r="Y60" s="95">
        <f>5250000+5250000</f>
        <v>10500000</v>
      </c>
      <c r="Z60" s="177">
        <f t="shared" ref="Z60:Z61" si="25">SUM(N60:Y60)</f>
        <v>12950000</v>
      </c>
      <c r="AA60" s="367">
        <f t="shared" si="1"/>
        <v>175000</v>
      </c>
      <c r="AC60" s="178" t="s">
        <v>818</v>
      </c>
      <c r="AD60" s="354" t="str">
        <f t="shared" si="2"/>
        <v>512 - 667</v>
      </c>
      <c r="AE60" s="110">
        <f t="shared" si="3"/>
        <v>13125000</v>
      </c>
      <c r="AF60" s="355"/>
      <c r="AG60" s="146">
        <f t="shared" si="4"/>
        <v>854</v>
      </c>
      <c r="AH60" s="110">
        <f t="shared" si="5"/>
        <v>13125000</v>
      </c>
      <c r="AI60" s="356">
        <v>43019</v>
      </c>
      <c r="AJ60" s="108" t="s">
        <v>835</v>
      </c>
      <c r="AK60" s="110">
        <f t="shared" ref="AK60" si="26">M60</f>
        <v>328</v>
      </c>
      <c r="AL60" s="110"/>
      <c r="AM60" s="106">
        <f t="shared" ref="AM60" si="27">AE60-AH60</f>
        <v>0</v>
      </c>
    </row>
    <row r="61" spans="1:39" s="131" customFormat="1" ht="76.5">
      <c r="A61" s="254" t="s">
        <v>97</v>
      </c>
      <c r="B61" s="92">
        <f t="shared" si="9"/>
        <v>7000000</v>
      </c>
      <c r="C61" s="88" t="s">
        <v>78</v>
      </c>
      <c r="D61" s="88" t="s">
        <v>98</v>
      </c>
      <c r="E61" s="88" t="s">
        <v>99</v>
      </c>
      <c r="F61" s="88" t="s">
        <v>171</v>
      </c>
      <c r="G61" s="88" t="s">
        <v>100</v>
      </c>
      <c r="H61" s="167">
        <v>551</v>
      </c>
      <c r="I61" s="167">
        <v>764</v>
      </c>
      <c r="J61" s="62">
        <f>7000000</f>
        <v>7000000</v>
      </c>
      <c r="K61" s="167">
        <v>1182</v>
      </c>
      <c r="L61" s="167">
        <f>7000000</f>
        <v>7000000</v>
      </c>
      <c r="M61" s="79">
        <v>406</v>
      </c>
      <c r="N61" s="167"/>
      <c r="O61" s="167"/>
      <c r="P61" s="167"/>
      <c r="Q61" s="167"/>
      <c r="R61" s="167"/>
      <c r="S61" s="167"/>
      <c r="T61" s="167"/>
      <c r="U61" s="167"/>
      <c r="V61" s="167"/>
      <c r="W61" s="167"/>
      <c r="X61" s="167"/>
      <c r="Y61" s="167"/>
      <c r="Z61" s="177">
        <f t="shared" si="25"/>
        <v>0</v>
      </c>
      <c r="AA61" s="367">
        <f t="shared" si="1"/>
        <v>7000000</v>
      </c>
      <c r="AB61" s="166"/>
      <c r="AC61" s="83" t="s">
        <v>1043</v>
      </c>
      <c r="AD61" s="354">
        <f t="shared" si="2"/>
        <v>764</v>
      </c>
      <c r="AE61" s="110">
        <f t="shared" si="3"/>
        <v>7000000</v>
      </c>
      <c r="AF61" s="199">
        <v>43083</v>
      </c>
      <c r="AG61" s="139">
        <f t="shared" si="4"/>
        <v>1182</v>
      </c>
      <c r="AH61" s="111">
        <f t="shared" si="5"/>
        <v>7000000</v>
      </c>
      <c r="AI61" s="199">
        <v>43095</v>
      </c>
      <c r="AJ61" s="88" t="s">
        <v>535</v>
      </c>
      <c r="AK61" s="111">
        <f t="shared" si="22"/>
        <v>406</v>
      </c>
      <c r="AL61" s="167"/>
      <c r="AM61" s="167"/>
    </row>
    <row r="62" spans="1:39" s="112" customFormat="1" ht="76.5">
      <c r="A62" s="254" t="s">
        <v>97</v>
      </c>
      <c r="B62" s="92">
        <f t="shared" si="9"/>
        <v>0</v>
      </c>
      <c r="C62" s="88" t="s">
        <v>78</v>
      </c>
      <c r="D62" s="88" t="s">
        <v>98</v>
      </c>
      <c r="E62" s="88" t="s">
        <v>99</v>
      </c>
      <c r="F62" s="88" t="s">
        <v>171</v>
      </c>
      <c r="G62" s="88" t="s">
        <v>100</v>
      </c>
      <c r="H62" s="179"/>
      <c r="I62" s="180"/>
      <c r="J62" s="62"/>
      <c r="K62" s="181"/>
      <c r="L62" s="181"/>
      <c r="M62" s="182"/>
      <c r="N62" s="183"/>
      <c r="O62" s="184"/>
      <c r="P62" s="184"/>
      <c r="Q62" s="184"/>
      <c r="R62" s="184"/>
      <c r="S62" s="184"/>
      <c r="T62" s="184"/>
      <c r="U62" s="184"/>
      <c r="V62" s="184"/>
      <c r="W62" s="184"/>
      <c r="X62" s="184"/>
      <c r="Y62" s="185"/>
      <c r="Z62" s="186">
        <f t="shared" si="12"/>
        <v>0</v>
      </c>
      <c r="AA62" s="368">
        <f t="shared" si="1"/>
        <v>0</v>
      </c>
      <c r="AC62" s="187"/>
      <c r="AD62" s="357">
        <f t="shared" si="2"/>
        <v>0</v>
      </c>
      <c r="AE62" s="358">
        <f t="shared" si="3"/>
        <v>0</v>
      </c>
      <c r="AF62" s="359"/>
      <c r="AG62" s="360">
        <f t="shared" si="4"/>
        <v>0</v>
      </c>
      <c r="AH62" s="361">
        <f t="shared" si="5"/>
        <v>0</v>
      </c>
      <c r="AI62" s="362"/>
      <c r="AJ62" s="188"/>
      <c r="AK62" s="361">
        <f t="shared" si="22"/>
        <v>0</v>
      </c>
      <c r="AL62" s="361"/>
      <c r="AM62" s="363">
        <f t="shared" si="24"/>
        <v>0</v>
      </c>
    </row>
    <row r="63" spans="1:39" s="112" customFormat="1" ht="76.5">
      <c r="A63" s="254" t="s">
        <v>97</v>
      </c>
      <c r="B63" s="92">
        <f t="shared" si="9"/>
        <v>0</v>
      </c>
      <c r="C63" s="88" t="s">
        <v>78</v>
      </c>
      <c r="D63" s="88" t="s">
        <v>98</v>
      </c>
      <c r="E63" s="88" t="s">
        <v>99</v>
      </c>
      <c r="F63" s="88" t="s">
        <v>171</v>
      </c>
      <c r="G63" s="88" t="s">
        <v>100</v>
      </c>
      <c r="H63" s="64"/>
      <c r="I63" s="61"/>
      <c r="J63" s="62"/>
      <c r="K63" s="62"/>
      <c r="L63" s="62"/>
      <c r="M63" s="63"/>
      <c r="N63" s="76"/>
      <c r="O63" s="51"/>
      <c r="P63" s="51"/>
      <c r="Q63" s="51"/>
      <c r="R63" s="51"/>
      <c r="S63" s="51"/>
      <c r="T63" s="51"/>
      <c r="U63" s="51"/>
      <c r="V63" s="51"/>
      <c r="W63" s="51"/>
      <c r="X63" s="51"/>
      <c r="Y63" s="78"/>
      <c r="Z63" s="176">
        <f t="shared" si="12"/>
        <v>0</v>
      </c>
      <c r="AA63" s="251">
        <f t="shared" si="1"/>
        <v>0</v>
      </c>
      <c r="AC63" s="84"/>
      <c r="AD63" s="167">
        <f t="shared" si="2"/>
        <v>0</v>
      </c>
      <c r="AE63" s="110">
        <f t="shared" si="3"/>
        <v>0</v>
      </c>
      <c r="AF63" s="103"/>
      <c r="AG63" s="139">
        <f t="shared" si="4"/>
        <v>0</v>
      </c>
      <c r="AH63" s="111">
        <f t="shared" si="5"/>
        <v>0</v>
      </c>
      <c r="AI63" s="199"/>
      <c r="AJ63" s="89"/>
      <c r="AK63" s="111">
        <f t="shared" si="22"/>
        <v>0</v>
      </c>
      <c r="AL63" s="111"/>
      <c r="AM63" s="106">
        <f t="shared" si="24"/>
        <v>0</v>
      </c>
    </row>
    <row r="64" spans="1:39" s="116" customFormat="1">
      <c r="A64" s="255" t="s">
        <v>132</v>
      </c>
      <c r="B64" s="99">
        <f>B16-B17-B18-B19-B20-B21-B22-B23-B24-B25-B26-B27-B28-B29-B30-B31-B32-B33-B34-B35-B36-B37-B38-B39-B40-B41-B42-B43-B44-B45-B46-B47-B48-B49-B50-B51-B52-B53-B54-B55-B56-B57-B58-B59-B60-B61-B62-B63</f>
        <v>0</v>
      </c>
      <c r="C64" s="99"/>
      <c r="D64" s="99"/>
      <c r="E64" s="99"/>
      <c r="F64" s="99"/>
      <c r="G64" s="164"/>
      <c r="H64" s="65"/>
      <c r="I64" s="51"/>
      <c r="J64" s="51">
        <f>SUM(J16:J63)</f>
        <v>2645259066</v>
      </c>
      <c r="K64" s="51"/>
      <c r="L64" s="51">
        <f>SUM(L16:L63)</f>
        <v>2645259066</v>
      </c>
      <c r="M64" s="51"/>
      <c r="N64" s="51">
        <f t="shared" ref="N64:T64" si="28">SUM(N16:N57)</f>
        <v>0</v>
      </c>
      <c r="O64" s="51">
        <f t="shared" si="28"/>
        <v>0</v>
      </c>
      <c r="P64" s="51">
        <f t="shared" si="28"/>
        <v>85303096</v>
      </c>
      <c r="Q64" s="51">
        <f t="shared" si="28"/>
        <v>95188302</v>
      </c>
      <c r="R64" s="51">
        <f t="shared" si="28"/>
        <v>130659740</v>
      </c>
      <c r="S64" s="51">
        <f t="shared" si="28"/>
        <v>128382042</v>
      </c>
      <c r="T64" s="51">
        <f t="shared" si="28"/>
        <v>140202508</v>
      </c>
      <c r="U64" s="51">
        <f>SUM(U16:U63)</f>
        <v>289851550</v>
      </c>
      <c r="V64" s="51">
        <f>SUM(V16:V63)</f>
        <v>124388600</v>
      </c>
      <c r="W64" s="51">
        <f t="shared" ref="W64:AE64" si="29">SUM(W16:W57)</f>
        <v>151722081</v>
      </c>
      <c r="X64" s="51">
        <f>SUM(X16:X63)</f>
        <v>217501244</v>
      </c>
      <c r="Y64" s="51">
        <f>SUM(Y16:Y63)</f>
        <v>564338468</v>
      </c>
      <c r="Z64" s="51">
        <f>SUM(Z16:Z63)</f>
        <v>1927537631</v>
      </c>
      <c r="AA64" s="256">
        <f>SUM(AA16:AA63)</f>
        <v>717721435</v>
      </c>
      <c r="AB64" s="76">
        <f t="shared" si="29"/>
        <v>0</v>
      </c>
      <c r="AC64" s="51">
        <f t="shared" si="29"/>
        <v>0</v>
      </c>
      <c r="AD64" s="51">
        <f t="shared" si="29"/>
        <v>6525</v>
      </c>
      <c r="AE64" s="51">
        <f t="shared" si="29"/>
        <v>2597392320</v>
      </c>
      <c r="AF64" s="51">
        <f>SUM(AF16:AF58)</f>
        <v>1713141</v>
      </c>
      <c r="AG64" s="51"/>
      <c r="AH64" s="51">
        <f>SUM(AH16:AH57)</f>
        <v>2597392320</v>
      </c>
      <c r="AI64" s="51">
        <f>SUM(AI16:AI57)</f>
        <v>1627446</v>
      </c>
      <c r="AJ64" s="51">
        <f>SUM(AJ16:AJ57)</f>
        <v>0</v>
      </c>
      <c r="AK64" s="111">
        <f t="shared" si="22"/>
        <v>0</v>
      </c>
      <c r="AL64" s="51">
        <f>SUM(AL16:AL57)</f>
        <v>9448753630</v>
      </c>
      <c r="AM64" s="51">
        <f>SUM(AM16:AM57)</f>
        <v>0</v>
      </c>
    </row>
    <row r="65" spans="1:39" s="112" customFormat="1" ht="87.75" customHeight="1">
      <c r="A65" s="370" t="s">
        <v>102</v>
      </c>
      <c r="B65" s="53">
        <f>480000000-1704300-68515700</f>
        <v>409780000</v>
      </c>
      <c r="C65" s="371" t="s">
        <v>78</v>
      </c>
      <c r="D65" s="371" t="s">
        <v>101</v>
      </c>
      <c r="E65" s="371" t="s">
        <v>99</v>
      </c>
      <c r="F65" s="371" t="s">
        <v>103</v>
      </c>
      <c r="G65" s="371" t="s">
        <v>100</v>
      </c>
      <c r="H65" s="64"/>
      <c r="I65" s="61"/>
      <c r="J65" s="62"/>
      <c r="K65" s="62"/>
      <c r="L65" s="62"/>
      <c r="M65" s="63"/>
      <c r="N65" s="74"/>
      <c r="O65" s="47"/>
      <c r="P65" s="68"/>
      <c r="Q65" s="68"/>
      <c r="R65" s="68"/>
      <c r="S65" s="68"/>
      <c r="T65" s="68"/>
      <c r="U65" s="68"/>
      <c r="V65" s="68"/>
      <c r="W65" s="68"/>
      <c r="X65" s="68"/>
      <c r="Y65" s="48"/>
      <c r="Z65" s="176">
        <f t="shared" ref="Z65:Z70" si="30">SUM(N65:Y65)</f>
        <v>0</v>
      </c>
      <c r="AA65" s="251">
        <f t="shared" ref="AA65:AA70" si="31">L65-Z65</f>
        <v>0</v>
      </c>
      <c r="AC65" s="83"/>
      <c r="AD65" s="167">
        <f t="shared" ref="AD65:AE69" si="32">I65</f>
        <v>0</v>
      </c>
      <c r="AE65" s="111">
        <f t="shared" si="32"/>
        <v>0</v>
      </c>
      <c r="AF65" s="103"/>
      <c r="AG65" s="139">
        <f t="shared" ref="AG65:AH69" si="33">K65</f>
        <v>0</v>
      </c>
      <c r="AH65" s="111">
        <f t="shared" si="33"/>
        <v>0</v>
      </c>
      <c r="AI65" s="199"/>
      <c r="AJ65" s="88"/>
      <c r="AK65" s="111">
        <f t="shared" si="7"/>
        <v>0</v>
      </c>
      <c r="AL65" s="111"/>
      <c r="AM65" s="101">
        <f t="shared" si="8"/>
        <v>0</v>
      </c>
    </row>
    <row r="66" spans="1:39" s="112" customFormat="1" ht="91.5" customHeight="1">
      <c r="A66" s="372" t="s">
        <v>102</v>
      </c>
      <c r="B66" s="92">
        <f>J66</f>
        <v>59280000</v>
      </c>
      <c r="C66" s="371" t="s">
        <v>78</v>
      </c>
      <c r="D66" s="371" t="s">
        <v>101</v>
      </c>
      <c r="E66" s="371" t="s">
        <v>99</v>
      </c>
      <c r="F66" s="371" t="s">
        <v>103</v>
      </c>
      <c r="G66" s="371" t="s">
        <v>100</v>
      </c>
      <c r="H66" s="64">
        <v>98</v>
      </c>
      <c r="I66" s="61">
        <v>34</v>
      </c>
      <c r="J66" s="62">
        <f>61504300-2224300</f>
        <v>59280000</v>
      </c>
      <c r="K66" s="62" t="s">
        <v>1253</v>
      </c>
      <c r="L66" s="62">
        <f>59800000+1704300-1704300-520000</f>
        <v>59280000</v>
      </c>
      <c r="M66" s="63">
        <v>28</v>
      </c>
      <c r="N66" s="74"/>
      <c r="O66" s="47"/>
      <c r="P66" s="68">
        <v>7280000</v>
      </c>
      <c r="Q66" s="68">
        <v>5200000</v>
      </c>
      <c r="R66" s="68">
        <v>5200000</v>
      </c>
      <c r="S66" s="68">
        <f>5200000</f>
        <v>5200000</v>
      </c>
      <c r="T66" s="68">
        <v>5200000</v>
      </c>
      <c r="U66" s="68">
        <f>5200000</f>
        <v>5200000</v>
      </c>
      <c r="V66" s="68">
        <f>5200000</f>
        <v>5200000</v>
      </c>
      <c r="W66" s="68">
        <f>5200000</f>
        <v>5200000</v>
      </c>
      <c r="X66" s="68">
        <f>5200000</f>
        <v>5200000</v>
      </c>
      <c r="Y66" s="63">
        <f>5200000+5200000</f>
        <v>10400000</v>
      </c>
      <c r="Z66" s="176">
        <f t="shared" si="30"/>
        <v>59280000</v>
      </c>
      <c r="AA66" s="251">
        <f t="shared" si="31"/>
        <v>0</v>
      </c>
      <c r="AC66" s="84" t="s">
        <v>203</v>
      </c>
      <c r="AD66" s="167">
        <f t="shared" si="32"/>
        <v>34</v>
      </c>
      <c r="AE66" s="111">
        <f t="shared" si="32"/>
        <v>59280000</v>
      </c>
      <c r="AF66" s="103">
        <v>42747</v>
      </c>
      <c r="AG66" s="139" t="str">
        <f t="shared" si="33"/>
        <v>76-77</v>
      </c>
      <c r="AH66" s="111">
        <f t="shared" si="33"/>
        <v>59280000</v>
      </c>
      <c r="AI66" s="199">
        <v>42754</v>
      </c>
      <c r="AJ66" s="89" t="s">
        <v>326</v>
      </c>
      <c r="AK66" s="111">
        <f t="shared" si="7"/>
        <v>28</v>
      </c>
      <c r="AL66" s="111">
        <v>52383872</v>
      </c>
      <c r="AM66" s="101">
        <f t="shared" si="8"/>
        <v>0</v>
      </c>
    </row>
    <row r="67" spans="1:39" s="112" customFormat="1" ht="76.5">
      <c r="A67" s="372" t="s">
        <v>102</v>
      </c>
      <c r="B67" s="92">
        <f>J67</f>
        <v>175000000</v>
      </c>
      <c r="C67" s="371" t="s">
        <v>78</v>
      </c>
      <c r="D67" s="371" t="s">
        <v>101</v>
      </c>
      <c r="E67" s="371" t="s">
        <v>99</v>
      </c>
      <c r="F67" s="371" t="s">
        <v>103</v>
      </c>
      <c r="G67" s="371" t="s">
        <v>100</v>
      </c>
      <c r="H67" s="64">
        <v>230</v>
      </c>
      <c r="I67" s="61">
        <v>175</v>
      </c>
      <c r="J67" s="62">
        <f>235000000-60000000</f>
        <v>175000000</v>
      </c>
      <c r="K67" s="119" t="s">
        <v>1222</v>
      </c>
      <c r="L67" s="62">
        <f>25000000+25000000+25000000+55000000+2500000+2000000+2500000+1500000+2500000+20000000+1500000+2000000+3000000+1000000+1000000+3000000+2500000</f>
        <v>175000000</v>
      </c>
      <c r="M67" s="63">
        <v>467</v>
      </c>
      <c r="N67" s="76"/>
      <c r="O67" s="51"/>
      <c r="P67" s="62"/>
      <c r="Q67" s="62"/>
      <c r="R67" s="62"/>
      <c r="S67" s="62"/>
      <c r="T67" s="62"/>
      <c r="U67" s="62">
        <f>7500000+7500000+7500000+16500000</f>
        <v>39000000</v>
      </c>
      <c r="V67" s="62">
        <f>2500000+2000000+1500000+20000000+2000000+1000000+1000000+3000000+2500000+2500000+2500000</f>
        <v>40500000</v>
      </c>
      <c r="W67" s="62">
        <f>1500000+7500000+7500000+7500000+16500000</f>
        <v>40500000</v>
      </c>
      <c r="X67" s="62">
        <f>3000000</f>
        <v>3000000</v>
      </c>
      <c r="Y67" s="79">
        <f>7500000+7500000+7500000+16500000+5500000+2500000+2500000+2500000</f>
        <v>52000000</v>
      </c>
      <c r="Z67" s="176">
        <f t="shared" si="30"/>
        <v>175000000</v>
      </c>
      <c r="AA67" s="251">
        <f t="shared" si="31"/>
        <v>0</v>
      </c>
      <c r="AC67" s="84" t="s">
        <v>433</v>
      </c>
      <c r="AD67" s="167">
        <f t="shared" si="32"/>
        <v>175</v>
      </c>
      <c r="AE67" s="111">
        <f t="shared" si="32"/>
        <v>175000000</v>
      </c>
      <c r="AF67" s="103">
        <v>42782</v>
      </c>
      <c r="AG67" s="139" t="str">
        <f t="shared" si="33"/>
        <v>664-665-666-667-762-763-764-765-766-767-768-769-770-771-772-773-776</v>
      </c>
      <c r="AH67" s="111">
        <f t="shared" si="33"/>
        <v>175000000</v>
      </c>
      <c r="AI67" s="199"/>
      <c r="AJ67" s="89"/>
      <c r="AK67" s="111">
        <f t="shared" si="7"/>
        <v>467</v>
      </c>
      <c r="AL67" s="111"/>
      <c r="AM67" s="101">
        <f t="shared" si="8"/>
        <v>0</v>
      </c>
    </row>
    <row r="68" spans="1:39" s="112" customFormat="1" ht="100.5" customHeight="1">
      <c r="A68" s="372" t="s">
        <v>102</v>
      </c>
      <c r="B68" s="92">
        <f>J68</f>
        <v>70500000</v>
      </c>
      <c r="C68" s="371" t="s">
        <v>78</v>
      </c>
      <c r="D68" s="371" t="s">
        <v>101</v>
      </c>
      <c r="E68" s="371" t="s">
        <v>99</v>
      </c>
      <c r="F68" s="371" t="s">
        <v>103</v>
      </c>
      <c r="G68" s="371" t="s">
        <v>100</v>
      </c>
      <c r="H68" s="64">
        <v>231</v>
      </c>
      <c r="I68" s="61">
        <v>174</v>
      </c>
      <c r="J68" s="62">
        <f>78495700-7995700</f>
        <v>70500000</v>
      </c>
      <c r="K68" s="62" t="s">
        <v>1254</v>
      </c>
      <c r="L68" s="62">
        <f>3000000+3000000+3000000+3000000+3000000+3000000+3000000+3000000+3000000+3000000+3000000+3000000+4000000+4000000+4500000+4500000+4500000+4000000-4000000+3000000+3000000+3000000+4000000</f>
        <v>70500000</v>
      </c>
      <c r="M68" s="63" t="s">
        <v>733</v>
      </c>
      <c r="N68" s="76"/>
      <c r="O68" s="51"/>
      <c r="P68" s="62"/>
      <c r="Q68" s="62"/>
      <c r="R68" s="62"/>
      <c r="S68" s="62"/>
      <c r="T68" s="62">
        <f>3000000+3000000+3000000+3000000+3000000+3000000+3000000+3000000+3000000+3000000</f>
        <v>30000000</v>
      </c>
      <c r="U68" s="62">
        <f>3000000+3000000+3000000+3000000+4000000+4000000+4500000+4500000+4500000+3000000+4000000</f>
        <v>40500000</v>
      </c>
      <c r="V68" s="62"/>
      <c r="W68" s="62"/>
      <c r="X68" s="62"/>
      <c r="Y68" s="77"/>
      <c r="Z68" s="176">
        <f t="shared" si="30"/>
        <v>70500000</v>
      </c>
      <c r="AA68" s="251">
        <f t="shared" si="31"/>
        <v>0</v>
      </c>
      <c r="AC68" s="84" t="s">
        <v>434</v>
      </c>
      <c r="AD68" s="167">
        <f t="shared" si="32"/>
        <v>174</v>
      </c>
      <c r="AE68" s="111">
        <f t="shared" si="32"/>
        <v>70500000</v>
      </c>
      <c r="AF68" s="103">
        <v>42782</v>
      </c>
      <c r="AG68" s="139" t="str">
        <f t="shared" si="33"/>
        <v>576-577-578-579-580-581-582-583-584-585-586-587-588-668-669-670-671-672-673-674-675-676-701</v>
      </c>
      <c r="AH68" s="111">
        <f t="shared" si="33"/>
        <v>70500000</v>
      </c>
      <c r="AI68" s="199"/>
      <c r="AJ68" s="89"/>
      <c r="AK68" s="111" t="str">
        <f t="shared" si="7"/>
        <v>394 - 465</v>
      </c>
      <c r="AL68" s="111"/>
      <c r="AM68" s="101">
        <f t="shared" si="8"/>
        <v>0</v>
      </c>
    </row>
    <row r="69" spans="1:39" s="112" customFormat="1" ht="127.5">
      <c r="A69" s="372" t="s">
        <v>102</v>
      </c>
      <c r="B69" s="92">
        <f>J69</f>
        <v>105000000</v>
      </c>
      <c r="C69" s="371" t="s">
        <v>78</v>
      </c>
      <c r="D69" s="371" t="s">
        <v>101</v>
      </c>
      <c r="E69" s="371" t="s">
        <v>99</v>
      </c>
      <c r="F69" s="371" t="s">
        <v>103</v>
      </c>
      <c r="G69" s="371" t="s">
        <v>100</v>
      </c>
      <c r="H69" s="64">
        <v>322</v>
      </c>
      <c r="I69" s="61">
        <v>310</v>
      </c>
      <c r="J69" s="62">
        <f>105000000</f>
        <v>105000000</v>
      </c>
      <c r="K69" s="62">
        <v>486</v>
      </c>
      <c r="L69" s="62">
        <v>105000000</v>
      </c>
      <c r="M69" s="63">
        <v>223</v>
      </c>
      <c r="N69" s="76"/>
      <c r="O69" s="51"/>
      <c r="P69" s="51"/>
      <c r="Q69" s="51"/>
      <c r="R69" s="51"/>
      <c r="S69" s="62">
        <f>42000000</f>
        <v>42000000</v>
      </c>
      <c r="T69" s="51"/>
      <c r="U69" s="62">
        <f>63000000</f>
        <v>63000000</v>
      </c>
      <c r="V69" s="51"/>
      <c r="W69" s="51"/>
      <c r="X69" s="51"/>
      <c r="Y69" s="77"/>
      <c r="Z69" s="176">
        <f t="shared" si="30"/>
        <v>105000000</v>
      </c>
      <c r="AA69" s="251">
        <f t="shared" si="31"/>
        <v>0</v>
      </c>
      <c r="AC69" s="84" t="s">
        <v>694</v>
      </c>
      <c r="AD69" s="167">
        <f t="shared" si="32"/>
        <v>310</v>
      </c>
      <c r="AE69" s="111">
        <f t="shared" si="32"/>
        <v>105000000</v>
      </c>
      <c r="AF69" s="103">
        <v>42866</v>
      </c>
      <c r="AG69" s="139">
        <f t="shared" si="33"/>
        <v>486</v>
      </c>
      <c r="AH69" s="111">
        <f t="shared" si="33"/>
        <v>105000000</v>
      </c>
      <c r="AI69" s="369">
        <v>42867</v>
      </c>
      <c r="AJ69" s="130" t="s">
        <v>695</v>
      </c>
      <c r="AK69" s="111">
        <f t="shared" si="7"/>
        <v>223</v>
      </c>
      <c r="AL69" s="111"/>
      <c r="AM69" s="101">
        <f t="shared" si="8"/>
        <v>0</v>
      </c>
    </row>
    <row r="70" spans="1:39" s="112" customFormat="1" ht="76.5">
      <c r="A70" s="372" t="s">
        <v>102</v>
      </c>
      <c r="B70" s="92">
        <f>J70</f>
        <v>0</v>
      </c>
      <c r="C70" s="371" t="s">
        <v>78</v>
      </c>
      <c r="D70" s="371" t="s">
        <v>101</v>
      </c>
      <c r="E70" s="371" t="s">
        <v>99</v>
      </c>
      <c r="F70" s="371" t="s">
        <v>103</v>
      </c>
      <c r="G70" s="371" t="s">
        <v>100</v>
      </c>
      <c r="H70" s="64"/>
      <c r="I70" s="61"/>
      <c r="J70" s="62"/>
      <c r="K70" s="62"/>
      <c r="L70" s="62"/>
      <c r="M70" s="63"/>
      <c r="N70" s="76"/>
      <c r="O70" s="51"/>
      <c r="P70" s="51"/>
      <c r="Q70" s="51"/>
      <c r="R70" s="51"/>
      <c r="S70" s="62"/>
      <c r="T70" s="51"/>
      <c r="U70" s="51"/>
      <c r="V70" s="51"/>
      <c r="W70" s="51"/>
      <c r="X70" s="51"/>
      <c r="Y70" s="78"/>
      <c r="Z70" s="176">
        <f t="shared" si="30"/>
        <v>0</v>
      </c>
      <c r="AA70" s="251">
        <f t="shared" si="31"/>
        <v>0</v>
      </c>
      <c r="AC70" s="84"/>
      <c r="AD70" s="167"/>
      <c r="AE70" s="110"/>
      <c r="AF70" s="103"/>
      <c r="AG70" s="139"/>
      <c r="AH70" s="110"/>
      <c r="AI70" s="199"/>
      <c r="AJ70" s="89"/>
      <c r="AK70" s="111"/>
      <c r="AL70" s="111"/>
      <c r="AM70" s="106"/>
    </row>
    <row r="71" spans="1:39" s="116" customFormat="1">
      <c r="A71" s="255" t="s">
        <v>132</v>
      </c>
      <c r="B71" s="99">
        <f>B65-B66-B67-B68-B69-B70</f>
        <v>0</v>
      </c>
      <c r="C71" s="99"/>
      <c r="D71" s="99"/>
      <c r="E71" s="99"/>
      <c r="F71" s="99"/>
      <c r="G71" s="164"/>
      <c r="H71" s="144"/>
      <c r="I71" s="51"/>
      <c r="J71" s="51">
        <f>SUM(J65:J70)</f>
        <v>409780000</v>
      </c>
      <c r="K71" s="51"/>
      <c r="L71" s="51">
        <f>SUM(L65:L70)</f>
        <v>409780000</v>
      </c>
      <c r="M71" s="48"/>
      <c r="N71" s="51">
        <f>SUM(N65:N70)</f>
        <v>0</v>
      </c>
      <c r="O71" s="51">
        <f t="shared" ref="O71:AL71" si="34">SUM(O65:O70)</f>
        <v>0</v>
      </c>
      <c r="P71" s="51">
        <f t="shared" si="34"/>
        <v>7280000</v>
      </c>
      <c r="Q71" s="51">
        <f t="shared" si="34"/>
        <v>5200000</v>
      </c>
      <c r="R71" s="51">
        <f t="shared" si="34"/>
        <v>5200000</v>
      </c>
      <c r="S71" s="51">
        <f t="shared" si="34"/>
        <v>47200000</v>
      </c>
      <c r="T71" s="51">
        <f>SUM(T65:T70)</f>
        <v>35200000</v>
      </c>
      <c r="U71" s="51">
        <f>SUM(U65:U70)</f>
        <v>147700000</v>
      </c>
      <c r="V71" s="51">
        <f>SUM(V65:V70)</f>
        <v>45700000</v>
      </c>
      <c r="W71" s="51">
        <f t="shared" si="34"/>
        <v>45700000</v>
      </c>
      <c r="X71" s="51">
        <f>SUM(X65:X70)</f>
        <v>8200000</v>
      </c>
      <c r="Y71" s="51">
        <f t="shared" ref="Y71:AA71" si="35">SUM(Y65:Y70)</f>
        <v>62400000</v>
      </c>
      <c r="Z71" s="51">
        <f t="shared" si="35"/>
        <v>409780000</v>
      </c>
      <c r="AA71" s="256">
        <f t="shared" si="35"/>
        <v>0</v>
      </c>
      <c r="AB71" s="76">
        <f t="shared" si="34"/>
        <v>0</v>
      </c>
      <c r="AC71" s="51">
        <f t="shared" si="34"/>
        <v>0</v>
      </c>
      <c r="AD71" s="51"/>
      <c r="AE71" s="51">
        <f t="shared" si="34"/>
        <v>409780000</v>
      </c>
      <c r="AF71" s="51">
        <f t="shared" si="34"/>
        <v>171177</v>
      </c>
      <c r="AG71" s="51"/>
      <c r="AH71" s="51">
        <f t="shared" si="34"/>
        <v>409780000</v>
      </c>
      <c r="AI71" s="51"/>
      <c r="AJ71" s="51">
        <f t="shared" si="34"/>
        <v>0</v>
      </c>
      <c r="AK71" s="51"/>
      <c r="AL71" s="51">
        <f t="shared" si="34"/>
        <v>52383872</v>
      </c>
      <c r="AM71" s="51">
        <f>SUM(AM65:AM69)</f>
        <v>0</v>
      </c>
    </row>
    <row r="72" spans="1:39" s="112" customFormat="1" ht="88.5" customHeight="1">
      <c r="A72" s="373" t="s">
        <v>104</v>
      </c>
      <c r="B72" s="53">
        <f>1163000000+68515700-57808916</f>
        <v>1173706784</v>
      </c>
      <c r="C72" s="374" t="s">
        <v>78</v>
      </c>
      <c r="D72" s="374" t="s">
        <v>101</v>
      </c>
      <c r="E72" s="374" t="s">
        <v>99</v>
      </c>
      <c r="F72" s="374" t="s">
        <v>105</v>
      </c>
      <c r="G72" s="374" t="s">
        <v>100</v>
      </c>
      <c r="H72" s="65"/>
      <c r="I72" s="50"/>
      <c r="J72" s="51"/>
      <c r="K72" s="51"/>
      <c r="L72" s="51"/>
      <c r="M72" s="48"/>
      <c r="N72" s="74"/>
      <c r="O72" s="47"/>
      <c r="P72" s="47"/>
      <c r="Q72" s="47"/>
      <c r="R72" s="47"/>
      <c r="S72" s="47"/>
      <c r="T72" s="47"/>
      <c r="U72" s="47"/>
      <c r="V72" s="47"/>
      <c r="W72" s="47"/>
      <c r="X72" s="47"/>
      <c r="Y72" s="48"/>
      <c r="Z72" s="75">
        <f>SUM(N72:Y72)</f>
        <v>0</v>
      </c>
      <c r="AA72" s="251">
        <f t="shared" ref="AA72:AA102" si="36">L72-Z72</f>
        <v>0</v>
      </c>
      <c r="AC72" s="83"/>
      <c r="AD72" s="167">
        <f t="shared" ref="AD72:AD102" si="37">I72</f>
        <v>0</v>
      </c>
      <c r="AE72" s="111">
        <f t="shared" ref="AE72:AE102" si="38">J72</f>
        <v>0</v>
      </c>
      <c r="AF72" s="103"/>
      <c r="AG72" s="139">
        <f t="shared" ref="AG72:AG102" si="39">K72</f>
        <v>0</v>
      </c>
      <c r="AH72" s="111">
        <f t="shared" ref="AH72:AH102" si="40">L72</f>
        <v>0</v>
      </c>
      <c r="AI72" s="199"/>
      <c r="AJ72" s="88"/>
      <c r="AK72" s="111">
        <f t="shared" si="7"/>
        <v>0</v>
      </c>
      <c r="AL72" s="111"/>
      <c r="AM72" s="101">
        <f t="shared" si="8"/>
        <v>0</v>
      </c>
    </row>
    <row r="73" spans="1:39" s="112" customFormat="1" ht="90" customHeight="1">
      <c r="A73" s="375" t="s">
        <v>104</v>
      </c>
      <c r="B73" s="92">
        <f>J73</f>
        <v>58933333</v>
      </c>
      <c r="C73" s="374" t="s">
        <v>78</v>
      </c>
      <c r="D73" s="374" t="s">
        <v>101</v>
      </c>
      <c r="E73" s="374" t="s">
        <v>99</v>
      </c>
      <c r="F73" s="374" t="s">
        <v>105</v>
      </c>
      <c r="G73" s="374" t="s">
        <v>100</v>
      </c>
      <c r="H73" s="64">
        <v>96</v>
      </c>
      <c r="I73" s="61" t="s">
        <v>1041</v>
      </c>
      <c r="J73" s="62">
        <f>61504300-4304300+1733333</f>
        <v>58933333</v>
      </c>
      <c r="K73" s="62" t="s">
        <v>1255</v>
      </c>
      <c r="L73" s="62">
        <f>57200000+1630200-1630200+1733333</f>
        <v>58933333</v>
      </c>
      <c r="M73" s="63">
        <v>42</v>
      </c>
      <c r="N73" s="60"/>
      <c r="O73" s="68"/>
      <c r="P73" s="68">
        <v>7106667</v>
      </c>
      <c r="Q73" s="68">
        <v>5200000</v>
      </c>
      <c r="R73" s="68">
        <v>5200000</v>
      </c>
      <c r="S73" s="68">
        <f t="shared" ref="S73:X73" si="41">5200000</f>
        <v>5200000</v>
      </c>
      <c r="T73" s="68">
        <f t="shared" si="41"/>
        <v>5200000</v>
      </c>
      <c r="U73" s="68">
        <f t="shared" si="41"/>
        <v>5200000</v>
      </c>
      <c r="V73" s="68">
        <f t="shared" si="41"/>
        <v>5200000</v>
      </c>
      <c r="W73" s="68">
        <f t="shared" si="41"/>
        <v>5200000</v>
      </c>
      <c r="X73" s="68">
        <f t="shared" si="41"/>
        <v>5200000</v>
      </c>
      <c r="Y73" s="63">
        <f>5200000+3293333+1733333</f>
        <v>10226666</v>
      </c>
      <c r="Z73" s="176">
        <f>SUM(N73:Y73)</f>
        <v>58933333</v>
      </c>
      <c r="AA73" s="251">
        <f t="shared" si="36"/>
        <v>0</v>
      </c>
      <c r="AC73" s="83" t="s">
        <v>211</v>
      </c>
      <c r="AD73" s="167" t="str">
        <f t="shared" si="37"/>
        <v>60 - 760</v>
      </c>
      <c r="AE73" s="111">
        <f t="shared" si="38"/>
        <v>58933333</v>
      </c>
      <c r="AF73" s="103">
        <v>42752</v>
      </c>
      <c r="AG73" s="139" t="str">
        <f t="shared" si="39"/>
        <v>105-106 - 1109</v>
      </c>
      <c r="AH73" s="111">
        <f t="shared" si="40"/>
        <v>58933333</v>
      </c>
      <c r="AI73" s="199">
        <v>42755</v>
      </c>
      <c r="AJ73" s="88" t="s">
        <v>333</v>
      </c>
      <c r="AK73" s="111">
        <f t="shared" si="7"/>
        <v>42</v>
      </c>
      <c r="AL73" s="111">
        <v>1012359046</v>
      </c>
      <c r="AM73" s="101">
        <f t="shared" si="8"/>
        <v>0</v>
      </c>
    </row>
    <row r="74" spans="1:39" s="112" customFormat="1" ht="90.75" customHeight="1">
      <c r="A74" s="375" t="s">
        <v>104</v>
      </c>
      <c r="B74" s="92">
        <f t="shared" ref="B74:B93" si="42">J74</f>
        <v>70246000</v>
      </c>
      <c r="C74" s="374" t="s">
        <v>78</v>
      </c>
      <c r="D74" s="374" t="s">
        <v>101</v>
      </c>
      <c r="E74" s="374" t="s">
        <v>99</v>
      </c>
      <c r="F74" s="374" t="s">
        <v>105</v>
      </c>
      <c r="G74" s="374" t="s">
        <v>100</v>
      </c>
      <c r="H74" s="64">
        <v>87</v>
      </c>
      <c r="I74" s="61">
        <v>58</v>
      </c>
      <c r="J74" s="62">
        <f>73095495-2849495</f>
        <v>70246000</v>
      </c>
      <c r="K74" s="62" t="s">
        <v>1256</v>
      </c>
      <c r="L74" s="62">
        <f>71070000+2025495-2025495-824000</f>
        <v>70246000</v>
      </c>
      <c r="M74" s="63">
        <v>39</v>
      </c>
      <c r="N74" s="72"/>
      <c r="O74" s="62"/>
      <c r="P74" s="62">
        <v>8446000</v>
      </c>
      <c r="Q74" s="62">
        <v>6180000</v>
      </c>
      <c r="R74" s="62">
        <v>6180000</v>
      </c>
      <c r="S74" s="62">
        <f t="shared" ref="S74:X74" si="43">6180000</f>
        <v>6180000</v>
      </c>
      <c r="T74" s="62">
        <f t="shared" si="43"/>
        <v>6180000</v>
      </c>
      <c r="U74" s="62">
        <f t="shared" si="43"/>
        <v>6180000</v>
      </c>
      <c r="V74" s="62">
        <f t="shared" si="43"/>
        <v>6180000</v>
      </c>
      <c r="W74" s="62">
        <f t="shared" si="43"/>
        <v>6180000</v>
      </c>
      <c r="X74" s="62">
        <f t="shared" si="43"/>
        <v>6180000</v>
      </c>
      <c r="Y74" s="79">
        <f>6180000+6180000</f>
        <v>12360000</v>
      </c>
      <c r="Z74" s="176">
        <f t="shared" ref="Z74:Z83" si="44">SUM(N74:Y74)</f>
        <v>70246000</v>
      </c>
      <c r="AA74" s="251">
        <f t="shared" si="36"/>
        <v>0</v>
      </c>
      <c r="AC74" s="83" t="s">
        <v>209</v>
      </c>
      <c r="AD74" s="167">
        <f t="shared" si="37"/>
        <v>58</v>
      </c>
      <c r="AE74" s="111">
        <f t="shared" si="38"/>
        <v>70246000</v>
      </c>
      <c r="AF74" s="103">
        <v>42752</v>
      </c>
      <c r="AG74" s="139" t="str">
        <f t="shared" si="39"/>
        <v>101-102</v>
      </c>
      <c r="AH74" s="111">
        <f t="shared" si="40"/>
        <v>70246000</v>
      </c>
      <c r="AI74" s="199">
        <v>42755</v>
      </c>
      <c r="AJ74" s="88" t="s">
        <v>331</v>
      </c>
      <c r="AK74" s="111">
        <f t="shared" si="7"/>
        <v>39</v>
      </c>
      <c r="AL74" s="111">
        <v>52452367</v>
      </c>
      <c r="AM74" s="101">
        <f t="shared" si="8"/>
        <v>0</v>
      </c>
    </row>
    <row r="75" spans="1:39" s="112" customFormat="1" ht="92.25" customHeight="1">
      <c r="A75" s="375" t="s">
        <v>104</v>
      </c>
      <c r="B75" s="92">
        <f t="shared" si="42"/>
        <v>61182000</v>
      </c>
      <c r="C75" s="374" t="s">
        <v>78</v>
      </c>
      <c r="D75" s="374" t="s">
        <v>101</v>
      </c>
      <c r="E75" s="374" t="s">
        <v>99</v>
      </c>
      <c r="F75" s="374" t="s">
        <v>105</v>
      </c>
      <c r="G75" s="374" t="s">
        <v>100</v>
      </c>
      <c r="H75" s="64">
        <v>92</v>
      </c>
      <c r="I75" s="61">
        <v>62</v>
      </c>
      <c r="J75" s="62">
        <f>65785946-4603946</f>
        <v>61182000</v>
      </c>
      <c r="K75" s="62" t="s">
        <v>1257</v>
      </c>
      <c r="L75" s="62">
        <f>61182000+1743687-1743687</f>
        <v>61182000</v>
      </c>
      <c r="M75" s="63">
        <v>56</v>
      </c>
      <c r="N75" s="72"/>
      <c r="O75" s="62"/>
      <c r="P75" s="62">
        <v>6489000</v>
      </c>
      <c r="Q75" s="62">
        <v>5562000</v>
      </c>
      <c r="R75" s="62">
        <v>5562000</v>
      </c>
      <c r="S75" s="62">
        <f t="shared" ref="S75:X75" si="45">5562000</f>
        <v>5562000</v>
      </c>
      <c r="T75" s="62">
        <f t="shared" si="45"/>
        <v>5562000</v>
      </c>
      <c r="U75" s="62">
        <f t="shared" si="45"/>
        <v>5562000</v>
      </c>
      <c r="V75" s="62">
        <f t="shared" si="45"/>
        <v>5562000</v>
      </c>
      <c r="W75" s="62">
        <f t="shared" si="45"/>
        <v>5562000</v>
      </c>
      <c r="X75" s="62">
        <f t="shared" si="45"/>
        <v>5562000</v>
      </c>
      <c r="Y75" s="79">
        <f>5562000+4635000</f>
        <v>10197000</v>
      </c>
      <c r="Z75" s="176">
        <f t="shared" si="44"/>
        <v>61182000</v>
      </c>
      <c r="AA75" s="251">
        <f t="shared" si="36"/>
        <v>0</v>
      </c>
      <c r="AC75" s="83" t="s">
        <v>212</v>
      </c>
      <c r="AD75" s="167">
        <f t="shared" si="37"/>
        <v>62</v>
      </c>
      <c r="AE75" s="111">
        <f t="shared" si="38"/>
        <v>61182000</v>
      </c>
      <c r="AF75" s="103">
        <v>42753</v>
      </c>
      <c r="AG75" s="139" t="str">
        <f t="shared" si="39"/>
        <v>132-133</v>
      </c>
      <c r="AH75" s="111">
        <f t="shared" si="40"/>
        <v>61182000</v>
      </c>
      <c r="AI75" s="199">
        <v>42761</v>
      </c>
      <c r="AJ75" s="88" t="s">
        <v>334</v>
      </c>
      <c r="AK75" s="111">
        <f t="shared" si="7"/>
        <v>56</v>
      </c>
      <c r="AL75" s="111">
        <v>52702693</v>
      </c>
      <c r="AM75" s="101">
        <f t="shared" si="8"/>
        <v>0</v>
      </c>
    </row>
    <row r="76" spans="1:39" s="112" customFormat="1" ht="105.75" customHeight="1">
      <c r="A76" s="375" t="s">
        <v>104</v>
      </c>
      <c r="B76" s="92">
        <f t="shared" si="42"/>
        <v>61182000</v>
      </c>
      <c r="C76" s="374" t="s">
        <v>78</v>
      </c>
      <c r="D76" s="374" t="s">
        <v>101</v>
      </c>
      <c r="E76" s="374" t="s">
        <v>99</v>
      </c>
      <c r="F76" s="374" t="s">
        <v>105</v>
      </c>
      <c r="G76" s="374" t="s">
        <v>100</v>
      </c>
      <c r="H76" s="64">
        <v>83</v>
      </c>
      <c r="I76" s="61">
        <v>59</v>
      </c>
      <c r="J76" s="62">
        <f>65785946-4603946</f>
        <v>61182000</v>
      </c>
      <c r="K76" s="62" t="s">
        <v>1258</v>
      </c>
      <c r="L76" s="62">
        <f>61182000+1743678-1743678</f>
        <v>61182000</v>
      </c>
      <c r="M76" s="63">
        <v>49</v>
      </c>
      <c r="N76" s="72"/>
      <c r="O76" s="62"/>
      <c r="P76" s="62">
        <v>6674400</v>
      </c>
      <c r="Q76" s="62">
        <v>5562000</v>
      </c>
      <c r="R76" s="62">
        <v>5562000</v>
      </c>
      <c r="S76" s="62">
        <f>5562000</f>
        <v>5562000</v>
      </c>
      <c r="T76" s="62">
        <v>5562000</v>
      </c>
      <c r="U76" s="62">
        <f>5562000</f>
        <v>5562000</v>
      </c>
      <c r="V76" s="62">
        <f>5562000</f>
        <v>5562000</v>
      </c>
      <c r="W76" s="62">
        <f>5562000</f>
        <v>5562000</v>
      </c>
      <c r="X76" s="62">
        <f>5562000</f>
        <v>5562000</v>
      </c>
      <c r="Y76" s="79">
        <f>5562000+4449600</f>
        <v>10011600</v>
      </c>
      <c r="Z76" s="176">
        <f t="shared" si="44"/>
        <v>61182000</v>
      </c>
      <c r="AA76" s="251">
        <f t="shared" si="36"/>
        <v>0</v>
      </c>
      <c r="AC76" s="83" t="s">
        <v>210</v>
      </c>
      <c r="AD76" s="167">
        <f t="shared" si="37"/>
        <v>59</v>
      </c>
      <c r="AE76" s="111">
        <f t="shared" si="38"/>
        <v>61182000</v>
      </c>
      <c r="AF76" s="103">
        <v>42752</v>
      </c>
      <c r="AG76" s="139" t="str">
        <f t="shared" si="39"/>
        <v>122-123</v>
      </c>
      <c r="AH76" s="111">
        <f t="shared" si="40"/>
        <v>61182000</v>
      </c>
      <c r="AI76" s="199">
        <v>42760</v>
      </c>
      <c r="AJ76" s="88" t="s">
        <v>332</v>
      </c>
      <c r="AK76" s="111">
        <f t="shared" si="7"/>
        <v>49</v>
      </c>
      <c r="AL76" s="111">
        <v>80720871</v>
      </c>
      <c r="AM76" s="101">
        <f t="shared" si="8"/>
        <v>0</v>
      </c>
    </row>
    <row r="77" spans="1:39" s="112" customFormat="1" ht="87.75" customHeight="1">
      <c r="A77" s="375" t="s">
        <v>104</v>
      </c>
      <c r="B77" s="92">
        <f t="shared" si="42"/>
        <v>65165247</v>
      </c>
      <c r="C77" s="374" t="s">
        <v>78</v>
      </c>
      <c r="D77" s="374" t="s">
        <v>101</v>
      </c>
      <c r="E77" s="374" t="s">
        <v>99</v>
      </c>
      <c r="F77" s="374" t="s">
        <v>105</v>
      </c>
      <c r="G77" s="374" t="s">
        <v>100</v>
      </c>
      <c r="H77" s="64">
        <v>93</v>
      </c>
      <c r="I77" s="61" t="s">
        <v>985</v>
      </c>
      <c r="J77" s="62">
        <f>66636156-4663443+1877961+3192534-1877961</f>
        <v>65165247</v>
      </c>
      <c r="K77" s="62" t="s">
        <v>1259</v>
      </c>
      <c r="L77" s="62">
        <f>61972713+1766222-1766222+3192534</f>
        <v>65165247</v>
      </c>
      <c r="M77" s="63">
        <v>53</v>
      </c>
      <c r="N77" s="72"/>
      <c r="O77" s="62"/>
      <c r="P77" s="62">
        <v>6572864</v>
      </c>
      <c r="Q77" s="62">
        <v>5633883</v>
      </c>
      <c r="R77" s="62">
        <f>5633883</f>
        <v>5633883</v>
      </c>
      <c r="S77" s="62">
        <f>5633883</f>
        <v>5633883</v>
      </c>
      <c r="T77" s="62">
        <v>5633883</v>
      </c>
      <c r="U77" s="62">
        <f>5633883</f>
        <v>5633883</v>
      </c>
      <c r="V77" s="62">
        <f>5633883</f>
        <v>5633883</v>
      </c>
      <c r="W77" s="62">
        <f>5633883</f>
        <v>5633883</v>
      </c>
      <c r="X77" s="62">
        <f>5633883</f>
        <v>5633883</v>
      </c>
      <c r="Y77" s="79">
        <f>5633883+4694902+938981</f>
        <v>11267766</v>
      </c>
      <c r="Z77" s="176">
        <f t="shared" si="44"/>
        <v>62911694</v>
      </c>
      <c r="AA77" s="251">
        <f t="shared" si="36"/>
        <v>2253553</v>
      </c>
      <c r="AC77" s="83" t="s">
        <v>213</v>
      </c>
      <c r="AD77" s="167" t="str">
        <f t="shared" si="37"/>
        <v>70 -669</v>
      </c>
      <c r="AE77" s="111">
        <f t="shared" si="38"/>
        <v>65165247</v>
      </c>
      <c r="AF77" s="103">
        <v>42753</v>
      </c>
      <c r="AG77" s="139" t="str">
        <f t="shared" si="39"/>
        <v>128-129 - 1098</v>
      </c>
      <c r="AH77" s="111">
        <f t="shared" si="40"/>
        <v>65165247</v>
      </c>
      <c r="AI77" s="199">
        <v>42761</v>
      </c>
      <c r="AJ77" s="88" t="s">
        <v>335</v>
      </c>
      <c r="AK77" s="111">
        <f t="shared" si="7"/>
        <v>53</v>
      </c>
      <c r="AL77" s="111">
        <v>19322366</v>
      </c>
      <c r="AM77" s="101">
        <f t="shared" si="8"/>
        <v>0</v>
      </c>
    </row>
    <row r="78" spans="1:39" s="112" customFormat="1" ht="87.75" customHeight="1">
      <c r="A78" s="375" t="s">
        <v>104</v>
      </c>
      <c r="B78" s="92">
        <f t="shared" si="42"/>
        <v>72036140</v>
      </c>
      <c r="C78" s="374" t="s">
        <v>78</v>
      </c>
      <c r="D78" s="374" t="s">
        <v>101</v>
      </c>
      <c r="E78" s="374" t="s">
        <v>99</v>
      </c>
      <c r="F78" s="374" t="s">
        <v>105</v>
      </c>
      <c r="G78" s="374" t="s">
        <v>100</v>
      </c>
      <c r="H78" s="64">
        <v>95</v>
      </c>
      <c r="I78" s="61" t="s">
        <v>900</v>
      </c>
      <c r="J78" s="62">
        <f>73095495-3178065+2118710</f>
        <v>72036140</v>
      </c>
      <c r="K78" s="62" t="s">
        <v>1219</v>
      </c>
      <c r="L78" s="62">
        <f>69917430+2118710</f>
        <v>72036140</v>
      </c>
      <c r="M78" s="63">
        <v>44</v>
      </c>
      <c r="N78" s="72"/>
      <c r="O78" s="62"/>
      <c r="P78" s="62">
        <v>8686711</v>
      </c>
      <c r="Q78" s="62">
        <v>6356130</v>
      </c>
      <c r="R78" s="62">
        <v>6356130</v>
      </c>
      <c r="S78" s="62">
        <f t="shared" ref="S78:X78" si="46">6356130</f>
        <v>6356130</v>
      </c>
      <c r="T78" s="62">
        <f t="shared" si="46"/>
        <v>6356130</v>
      </c>
      <c r="U78" s="62">
        <f t="shared" si="46"/>
        <v>6356130</v>
      </c>
      <c r="V78" s="62">
        <f t="shared" si="46"/>
        <v>6356130</v>
      </c>
      <c r="W78" s="62">
        <f t="shared" si="46"/>
        <v>6356130</v>
      </c>
      <c r="X78" s="62">
        <f t="shared" si="46"/>
        <v>6356130</v>
      </c>
      <c r="Y78" s="79">
        <f>6356130+4025549+2118710</f>
        <v>12500389</v>
      </c>
      <c r="Z78" s="176">
        <f t="shared" si="44"/>
        <v>72036140</v>
      </c>
      <c r="AA78" s="251">
        <f t="shared" si="36"/>
        <v>0</v>
      </c>
      <c r="AC78" s="83" t="s">
        <v>214</v>
      </c>
      <c r="AD78" s="167" t="str">
        <f t="shared" si="37"/>
        <v>71 - 632</v>
      </c>
      <c r="AE78" s="111">
        <f t="shared" si="38"/>
        <v>72036140</v>
      </c>
      <c r="AF78" s="103">
        <v>42753</v>
      </c>
      <c r="AG78" s="139" t="str">
        <f t="shared" si="39"/>
        <v>103 - 991</v>
      </c>
      <c r="AH78" s="111">
        <f t="shared" si="40"/>
        <v>72036140</v>
      </c>
      <c r="AI78" s="199">
        <v>42755</v>
      </c>
      <c r="AJ78" s="88" t="s">
        <v>336</v>
      </c>
      <c r="AK78" s="111">
        <f t="shared" si="7"/>
        <v>44</v>
      </c>
      <c r="AL78" s="111">
        <v>80504076</v>
      </c>
      <c r="AM78" s="101">
        <f t="shared" si="8"/>
        <v>0</v>
      </c>
    </row>
    <row r="79" spans="1:39" s="112" customFormat="1" ht="92.25" customHeight="1">
      <c r="A79" s="375" t="s">
        <v>104</v>
      </c>
      <c r="B79" s="92">
        <f t="shared" si="42"/>
        <v>65714000</v>
      </c>
      <c r="C79" s="374" t="s">
        <v>78</v>
      </c>
      <c r="D79" s="374" t="s">
        <v>101</v>
      </c>
      <c r="E79" s="374" t="s">
        <v>99</v>
      </c>
      <c r="F79" s="374" t="s">
        <v>105</v>
      </c>
      <c r="G79" s="374" t="s">
        <v>100</v>
      </c>
      <c r="H79" s="64">
        <v>84</v>
      </c>
      <c r="I79" s="61">
        <v>123</v>
      </c>
      <c r="J79" s="62">
        <f>67586849-1872849</f>
        <v>65714000</v>
      </c>
      <c r="K79" s="62" t="s">
        <v>1260</v>
      </c>
      <c r="L79" s="62">
        <f>65714000+1872849-1872849</f>
        <v>65714000</v>
      </c>
      <c r="M79" s="63">
        <v>83</v>
      </c>
      <c r="N79" s="72"/>
      <c r="O79" s="62"/>
      <c r="P79" s="62">
        <v>5974000</v>
      </c>
      <c r="Q79" s="62">
        <v>5974000</v>
      </c>
      <c r="R79" s="62">
        <v>5974000</v>
      </c>
      <c r="S79" s="62">
        <f t="shared" ref="S79:X79" si="47">5974000</f>
        <v>5974000</v>
      </c>
      <c r="T79" s="62">
        <f t="shared" si="47"/>
        <v>5974000</v>
      </c>
      <c r="U79" s="62">
        <f t="shared" si="47"/>
        <v>5974000</v>
      </c>
      <c r="V79" s="62">
        <f t="shared" si="47"/>
        <v>5974000</v>
      </c>
      <c r="W79" s="62">
        <f t="shared" si="47"/>
        <v>5974000</v>
      </c>
      <c r="X79" s="62">
        <f t="shared" si="47"/>
        <v>5974000</v>
      </c>
      <c r="Y79" s="79">
        <f>5974000+5974000</f>
        <v>11948000</v>
      </c>
      <c r="Z79" s="176">
        <f t="shared" si="44"/>
        <v>65714000</v>
      </c>
      <c r="AA79" s="251">
        <f t="shared" si="36"/>
        <v>0</v>
      </c>
      <c r="AC79" s="83" t="s">
        <v>220</v>
      </c>
      <c r="AD79" s="167">
        <f t="shared" si="37"/>
        <v>123</v>
      </c>
      <c r="AE79" s="111">
        <f t="shared" si="38"/>
        <v>65714000</v>
      </c>
      <c r="AF79" s="103" t="s">
        <v>221</v>
      </c>
      <c r="AG79" s="139" t="str">
        <f t="shared" si="39"/>
        <v>190-191</v>
      </c>
      <c r="AH79" s="111">
        <f t="shared" si="40"/>
        <v>65714000</v>
      </c>
      <c r="AI79" s="199">
        <v>42767</v>
      </c>
      <c r="AJ79" s="88" t="s">
        <v>412</v>
      </c>
      <c r="AK79" s="111">
        <f t="shared" si="7"/>
        <v>83</v>
      </c>
      <c r="AL79" s="111">
        <v>53176815</v>
      </c>
      <c r="AM79" s="101">
        <f t="shared" si="8"/>
        <v>0</v>
      </c>
    </row>
    <row r="80" spans="1:39" s="112" customFormat="1" ht="90" customHeight="1">
      <c r="A80" s="375" t="s">
        <v>104</v>
      </c>
      <c r="B80" s="92">
        <f t="shared" si="42"/>
        <v>78062061</v>
      </c>
      <c r="C80" s="374" t="s">
        <v>78</v>
      </c>
      <c r="D80" s="374" t="s">
        <v>101</v>
      </c>
      <c r="E80" s="374" t="s">
        <v>99</v>
      </c>
      <c r="F80" s="374" t="s">
        <v>105</v>
      </c>
      <c r="G80" s="374" t="s">
        <v>100</v>
      </c>
      <c r="H80" s="64">
        <v>86</v>
      </c>
      <c r="I80" s="61">
        <v>124</v>
      </c>
      <c r="J80" s="62">
        <f>80286830-2224769</f>
        <v>78062061</v>
      </c>
      <c r="K80" s="62" t="s">
        <v>1261</v>
      </c>
      <c r="L80" s="62">
        <f>78062061+2224769-2224769</f>
        <v>78062061</v>
      </c>
      <c r="M80" s="63">
        <v>94</v>
      </c>
      <c r="N80" s="72"/>
      <c r="O80" s="62"/>
      <c r="P80" s="62">
        <v>7096551</v>
      </c>
      <c r="Q80" s="62">
        <v>7096551</v>
      </c>
      <c r="R80" s="62">
        <v>7096551</v>
      </c>
      <c r="S80" s="62">
        <f t="shared" ref="S80:X80" si="48">7096551</f>
        <v>7096551</v>
      </c>
      <c r="T80" s="62">
        <f t="shared" si="48"/>
        <v>7096551</v>
      </c>
      <c r="U80" s="62">
        <f t="shared" si="48"/>
        <v>7096551</v>
      </c>
      <c r="V80" s="62">
        <f t="shared" si="48"/>
        <v>7096551</v>
      </c>
      <c r="W80" s="62">
        <f t="shared" si="48"/>
        <v>7096551</v>
      </c>
      <c r="X80" s="62">
        <f t="shared" si="48"/>
        <v>7096551</v>
      </c>
      <c r="Y80" s="79">
        <f>7096551+7096551</f>
        <v>14193102</v>
      </c>
      <c r="Z80" s="176">
        <f t="shared" si="44"/>
        <v>78062061</v>
      </c>
      <c r="AA80" s="251">
        <f t="shared" si="36"/>
        <v>0</v>
      </c>
      <c r="AC80" s="83" t="s">
        <v>222</v>
      </c>
      <c r="AD80" s="167">
        <f t="shared" si="37"/>
        <v>124</v>
      </c>
      <c r="AE80" s="111">
        <f t="shared" si="38"/>
        <v>78062061</v>
      </c>
      <c r="AF80" s="103">
        <v>42762</v>
      </c>
      <c r="AG80" s="139" t="str">
        <f t="shared" si="39"/>
        <v>205-206</v>
      </c>
      <c r="AH80" s="111">
        <f t="shared" si="40"/>
        <v>78062061</v>
      </c>
      <c r="AI80" s="199">
        <v>42767</v>
      </c>
      <c r="AJ80" s="88" t="s">
        <v>413</v>
      </c>
      <c r="AK80" s="111">
        <f t="shared" si="7"/>
        <v>94</v>
      </c>
      <c r="AL80" s="111">
        <v>52385181</v>
      </c>
      <c r="AM80" s="101">
        <f t="shared" si="8"/>
        <v>0</v>
      </c>
    </row>
    <row r="81" spans="1:39" s="112" customFormat="1" ht="97.5" customHeight="1">
      <c r="A81" s="375" t="s">
        <v>104</v>
      </c>
      <c r="B81" s="92">
        <f t="shared" si="42"/>
        <v>6994618</v>
      </c>
      <c r="C81" s="374" t="s">
        <v>78</v>
      </c>
      <c r="D81" s="374" t="s">
        <v>101</v>
      </c>
      <c r="E81" s="374" t="s">
        <v>99</v>
      </c>
      <c r="F81" s="374" t="s">
        <v>105</v>
      </c>
      <c r="G81" s="374" t="s">
        <v>100</v>
      </c>
      <c r="H81" s="64">
        <v>308</v>
      </c>
      <c r="I81" s="61">
        <v>172</v>
      </c>
      <c r="J81" s="62">
        <f>7193965-7193965+6994618</f>
        <v>6994618</v>
      </c>
      <c r="K81" s="62">
        <v>305</v>
      </c>
      <c r="L81" s="62">
        <v>6994618</v>
      </c>
      <c r="M81" s="63">
        <v>141</v>
      </c>
      <c r="N81" s="72"/>
      <c r="O81" s="62"/>
      <c r="P81" s="62"/>
      <c r="Q81" s="62">
        <v>6994618</v>
      </c>
      <c r="R81" s="62"/>
      <c r="S81" s="62"/>
      <c r="T81" s="62"/>
      <c r="U81" s="62"/>
      <c r="V81" s="62"/>
      <c r="W81" s="62"/>
      <c r="X81" s="62"/>
      <c r="Y81" s="79"/>
      <c r="Z81" s="176">
        <f t="shared" si="44"/>
        <v>6994618</v>
      </c>
      <c r="AA81" s="251">
        <f t="shared" si="36"/>
        <v>0</v>
      </c>
      <c r="AC81" s="83" t="s">
        <v>443</v>
      </c>
      <c r="AD81" s="167">
        <f t="shared" si="37"/>
        <v>172</v>
      </c>
      <c r="AE81" s="111">
        <f t="shared" si="38"/>
        <v>6994618</v>
      </c>
      <c r="AF81" s="103">
        <v>42780</v>
      </c>
      <c r="AG81" s="139">
        <f t="shared" si="39"/>
        <v>305</v>
      </c>
      <c r="AH81" s="111">
        <f t="shared" si="40"/>
        <v>6994618</v>
      </c>
      <c r="AI81" s="199">
        <v>42789</v>
      </c>
      <c r="AJ81" s="88" t="s">
        <v>474</v>
      </c>
      <c r="AK81" s="111">
        <f t="shared" si="7"/>
        <v>141</v>
      </c>
      <c r="AL81" s="111">
        <v>1018414245</v>
      </c>
      <c r="AM81" s="101">
        <f t="shared" si="8"/>
        <v>0</v>
      </c>
    </row>
    <row r="82" spans="1:39" s="112" customFormat="1" ht="92.25" customHeight="1">
      <c r="A82" s="375" t="s">
        <v>104</v>
      </c>
      <c r="B82" s="92">
        <f t="shared" si="42"/>
        <v>93000000</v>
      </c>
      <c r="C82" s="374" t="s">
        <v>78</v>
      </c>
      <c r="D82" s="374" t="s">
        <v>101</v>
      </c>
      <c r="E82" s="374" t="s">
        <v>99</v>
      </c>
      <c r="F82" s="374" t="s">
        <v>105</v>
      </c>
      <c r="G82" s="374" t="s">
        <v>100</v>
      </c>
      <c r="H82" s="64">
        <v>91</v>
      </c>
      <c r="I82" s="61" t="s">
        <v>873</v>
      </c>
      <c r="J82" s="62">
        <f>90000000+3000000</f>
        <v>93000000</v>
      </c>
      <c r="K82" s="62" t="s">
        <v>972</v>
      </c>
      <c r="L82" s="62">
        <f>90000000+3000000</f>
        <v>93000000</v>
      </c>
      <c r="M82" s="63">
        <v>135</v>
      </c>
      <c r="N82" s="72"/>
      <c r="O82" s="62"/>
      <c r="P82" s="62">
        <v>3000000</v>
      </c>
      <c r="Q82" s="62">
        <v>9000000</v>
      </c>
      <c r="R82" s="62">
        <v>9000000</v>
      </c>
      <c r="S82" s="62">
        <f>9000000</f>
        <v>9000000</v>
      </c>
      <c r="T82" s="62">
        <f>9000000</f>
        <v>9000000</v>
      </c>
      <c r="U82" s="62">
        <v>9000000</v>
      </c>
      <c r="V82" s="62">
        <f>9000000</f>
        <v>9000000</v>
      </c>
      <c r="W82" s="62">
        <f>9000000</f>
        <v>9000000</v>
      </c>
      <c r="X82" s="62">
        <f>9000000</f>
        <v>9000000</v>
      </c>
      <c r="Y82" s="79">
        <f>9000000+6000000+3000000</f>
        <v>18000000</v>
      </c>
      <c r="Z82" s="176">
        <f t="shared" si="44"/>
        <v>93000000</v>
      </c>
      <c r="AA82" s="251">
        <f t="shared" si="36"/>
        <v>0</v>
      </c>
      <c r="AC82" s="83" t="s">
        <v>439</v>
      </c>
      <c r="AD82" s="167" t="str">
        <f t="shared" si="37"/>
        <v>181 - 537</v>
      </c>
      <c r="AE82" s="111">
        <f t="shared" si="38"/>
        <v>93000000</v>
      </c>
      <c r="AF82" s="103">
        <v>42783</v>
      </c>
      <c r="AG82" s="139" t="str">
        <f t="shared" si="39"/>
        <v>293 - 962</v>
      </c>
      <c r="AH82" s="111">
        <f t="shared" si="40"/>
        <v>93000000</v>
      </c>
      <c r="AI82" s="199">
        <v>42787</v>
      </c>
      <c r="AJ82" s="88" t="s">
        <v>473</v>
      </c>
      <c r="AK82" s="111">
        <f t="shared" si="7"/>
        <v>135</v>
      </c>
      <c r="AL82" s="111">
        <v>14837824</v>
      </c>
      <c r="AM82" s="101">
        <f t="shared" si="8"/>
        <v>0</v>
      </c>
    </row>
    <row r="83" spans="1:39" s="112" customFormat="1" ht="90.75" customHeight="1">
      <c r="A83" s="375" t="s">
        <v>104</v>
      </c>
      <c r="B83" s="92">
        <f t="shared" si="42"/>
        <v>55620000</v>
      </c>
      <c r="C83" s="374" t="s">
        <v>78</v>
      </c>
      <c r="D83" s="374" t="s">
        <v>101</v>
      </c>
      <c r="E83" s="374" t="s">
        <v>99</v>
      </c>
      <c r="F83" s="374" t="s">
        <v>105</v>
      </c>
      <c r="G83" s="374" t="s">
        <v>100</v>
      </c>
      <c r="H83" s="64">
        <v>90</v>
      </c>
      <c r="I83" s="61">
        <v>180</v>
      </c>
      <c r="J83" s="62">
        <v>55620000</v>
      </c>
      <c r="K83" s="62">
        <v>321</v>
      </c>
      <c r="L83" s="62">
        <v>55620000</v>
      </c>
      <c r="M83" s="63">
        <v>145</v>
      </c>
      <c r="N83" s="72"/>
      <c r="O83" s="62"/>
      <c r="P83" s="62"/>
      <c r="Q83" s="62">
        <v>6859800</v>
      </c>
      <c r="R83" s="62">
        <v>5562000</v>
      </c>
      <c r="S83" s="62">
        <f>5562000</f>
        <v>5562000</v>
      </c>
      <c r="T83" s="62">
        <v>5562000</v>
      </c>
      <c r="U83" s="62">
        <f>5562000</f>
        <v>5562000</v>
      </c>
      <c r="V83" s="62"/>
      <c r="W83" s="62">
        <f>5562000+3893400</f>
        <v>9455400</v>
      </c>
      <c r="X83" s="62">
        <f>7230600</f>
        <v>7230600</v>
      </c>
      <c r="Y83" s="79">
        <f>5562000+4264200</f>
        <v>9826200</v>
      </c>
      <c r="Z83" s="176">
        <f t="shared" si="44"/>
        <v>55620000</v>
      </c>
      <c r="AA83" s="251">
        <f t="shared" si="36"/>
        <v>0</v>
      </c>
      <c r="AC83" s="84" t="s">
        <v>440</v>
      </c>
      <c r="AD83" s="167">
        <f t="shared" si="37"/>
        <v>180</v>
      </c>
      <c r="AE83" s="111">
        <f t="shared" si="38"/>
        <v>55620000</v>
      </c>
      <c r="AF83" s="103">
        <v>42783</v>
      </c>
      <c r="AG83" s="139">
        <f t="shared" si="39"/>
        <v>321</v>
      </c>
      <c r="AH83" s="111">
        <f t="shared" si="40"/>
        <v>55620000</v>
      </c>
      <c r="AI83" s="199">
        <v>42790</v>
      </c>
      <c r="AJ83" s="89" t="s">
        <v>480</v>
      </c>
      <c r="AK83" s="111">
        <f t="shared" si="7"/>
        <v>145</v>
      </c>
      <c r="AL83" s="111">
        <v>1019028261</v>
      </c>
      <c r="AM83" s="101">
        <f t="shared" si="8"/>
        <v>0</v>
      </c>
    </row>
    <row r="84" spans="1:39" s="112" customFormat="1" ht="76.5">
      <c r="A84" s="375" t="s">
        <v>104</v>
      </c>
      <c r="B84" s="92">
        <f t="shared" si="42"/>
        <v>55620000</v>
      </c>
      <c r="C84" s="374" t="s">
        <v>78</v>
      </c>
      <c r="D84" s="374" t="s">
        <v>101</v>
      </c>
      <c r="E84" s="374" t="s">
        <v>99</v>
      </c>
      <c r="F84" s="374" t="s">
        <v>105</v>
      </c>
      <c r="G84" s="374" t="s">
        <v>100</v>
      </c>
      <c r="H84" s="64">
        <v>82</v>
      </c>
      <c r="I84" s="61">
        <v>179</v>
      </c>
      <c r="J84" s="62">
        <v>55620000</v>
      </c>
      <c r="K84" s="62">
        <v>326</v>
      </c>
      <c r="L84" s="62">
        <v>55620000</v>
      </c>
      <c r="M84" s="63">
        <v>151</v>
      </c>
      <c r="N84" s="72"/>
      <c r="O84" s="62"/>
      <c r="P84" s="62"/>
      <c r="Q84" s="62">
        <v>5562000</v>
      </c>
      <c r="R84" s="62">
        <v>5562000</v>
      </c>
      <c r="S84" s="62">
        <f>5562000</f>
        <v>5562000</v>
      </c>
      <c r="T84" s="62">
        <v>5562000</v>
      </c>
      <c r="U84" s="62">
        <v>5562000</v>
      </c>
      <c r="V84" s="62">
        <v>5562000</v>
      </c>
      <c r="W84" s="62">
        <f>5562000</f>
        <v>5562000</v>
      </c>
      <c r="X84" s="62">
        <f>5562000</f>
        <v>5562000</v>
      </c>
      <c r="Y84" s="95">
        <f>5562000+5562000</f>
        <v>11124000</v>
      </c>
      <c r="Z84" s="176">
        <f t="shared" ref="Z84:Z95" si="49">SUM(N84:Y84)</f>
        <v>55620000</v>
      </c>
      <c r="AA84" s="251">
        <f t="shared" si="36"/>
        <v>0</v>
      </c>
      <c r="AC84" s="84" t="s">
        <v>441</v>
      </c>
      <c r="AD84" s="167">
        <f t="shared" si="37"/>
        <v>179</v>
      </c>
      <c r="AE84" s="111">
        <f t="shared" si="38"/>
        <v>55620000</v>
      </c>
      <c r="AF84" s="103">
        <v>42783</v>
      </c>
      <c r="AG84" s="139">
        <f t="shared" si="39"/>
        <v>326</v>
      </c>
      <c r="AH84" s="111">
        <f t="shared" si="40"/>
        <v>55620000</v>
      </c>
      <c r="AI84" s="199">
        <v>42795</v>
      </c>
      <c r="AJ84" s="89" t="s">
        <v>507</v>
      </c>
      <c r="AK84" s="111">
        <f t="shared" ref="AK84:AK95" si="50">M84</f>
        <v>151</v>
      </c>
      <c r="AL84" s="111">
        <v>9725241</v>
      </c>
      <c r="AM84" s="101">
        <f t="shared" si="8"/>
        <v>0</v>
      </c>
    </row>
    <row r="85" spans="1:39" s="112" customFormat="1" ht="76.5">
      <c r="A85" s="375" t="s">
        <v>104</v>
      </c>
      <c r="B85" s="92">
        <f t="shared" si="42"/>
        <v>48533333</v>
      </c>
      <c r="C85" s="374" t="s">
        <v>78</v>
      </c>
      <c r="D85" s="374" t="s">
        <v>101</v>
      </c>
      <c r="E85" s="374" t="s">
        <v>99</v>
      </c>
      <c r="F85" s="374" t="s">
        <v>105</v>
      </c>
      <c r="G85" s="374" t="s">
        <v>100</v>
      </c>
      <c r="H85" s="64">
        <v>94</v>
      </c>
      <c r="I85" s="61" t="s">
        <v>899</v>
      </c>
      <c r="J85" s="62">
        <f>52000000-5200000+1733333</f>
        <v>48533333</v>
      </c>
      <c r="K85" s="62" t="s">
        <v>973</v>
      </c>
      <c r="L85" s="62">
        <f>46800000+1733333</f>
        <v>48533333</v>
      </c>
      <c r="M85" s="63">
        <v>175</v>
      </c>
      <c r="N85" s="72"/>
      <c r="O85" s="62"/>
      <c r="P85" s="62"/>
      <c r="Q85" s="62">
        <v>1733333</v>
      </c>
      <c r="R85" s="62">
        <v>5200000</v>
      </c>
      <c r="S85" s="62">
        <f t="shared" ref="S85:X85" si="51">5200000</f>
        <v>5200000</v>
      </c>
      <c r="T85" s="62">
        <f t="shared" si="51"/>
        <v>5200000</v>
      </c>
      <c r="U85" s="62">
        <f t="shared" si="51"/>
        <v>5200000</v>
      </c>
      <c r="V85" s="62">
        <f t="shared" si="51"/>
        <v>5200000</v>
      </c>
      <c r="W85" s="62">
        <f t="shared" si="51"/>
        <v>5200000</v>
      </c>
      <c r="X85" s="62">
        <f t="shared" si="51"/>
        <v>5200000</v>
      </c>
      <c r="Y85" s="95">
        <f>5200000+3466667+1733333</f>
        <v>10400000</v>
      </c>
      <c r="Z85" s="176">
        <f t="shared" si="49"/>
        <v>48533333</v>
      </c>
      <c r="AA85" s="251">
        <f t="shared" si="36"/>
        <v>0</v>
      </c>
      <c r="AC85" s="84" t="s">
        <v>466</v>
      </c>
      <c r="AD85" s="167" t="str">
        <f t="shared" si="37"/>
        <v>199 - 630</v>
      </c>
      <c r="AE85" s="111">
        <f t="shared" si="38"/>
        <v>48533333</v>
      </c>
      <c r="AF85" s="103">
        <v>42790</v>
      </c>
      <c r="AG85" s="139" t="str">
        <f t="shared" si="39"/>
        <v>379 - 981</v>
      </c>
      <c r="AH85" s="111">
        <f t="shared" si="40"/>
        <v>48533333</v>
      </c>
      <c r="AI85" s="199">
        <v>42815</v>
      </c>
      <c r="AJ85" s="89" t="s">
        <v>543</v>
      </c>
      <c r="AK85" s="111">
        <f t="shared" si="50"/>
        <v>175</v>
      </c>
      <c r="AL85" s="111">
        <v>38603772</v>
      </c>
      <c r="AM85" s="101">
        <f t="shared" si="8"/>
        <v>0</v>
      </c>
    </row>
    <row r="86" spans="1:39" s="112" customFormat="1" ht="89.25">
      <c r="A86" s="375" t="s">
        <v>104</v>
      </c>
      <c r="B86" s="92">
        <f t="shared" si="42"/>
        <v>7400000</v>
      </c>
      <c r="C86" s="374" t="s">
        <v>78</v>
      </c>
      <c r="D86" s="374" t="s">
        <v>101</v>
      </c>
      <c r="E86" s="374" t="s">
        <v>99</v>
      </c>
      <c r="F86" s="374" t="s">
        <v>105</v>
      </c>
      <c r="G86" s="374" t="s">
        <v>100</v>
      </c>
      <c r="H86" s="64">
        <v>85</v>
      </c>
      <c r="I86" s="61">
        <v>204</v>
      </c>
      <c r="J86" s="62">
        <v>7400000</v>
      </c>
      <c r="K86" s="62">
        <v>350</v>
      </c>
      <c r="L86" s="62">
        <v>7400000</v>
      </c>
      <c r="M86" s="63">
        <v>161</v>
      </c>
      <c r="N86" s="72"/>
      <c r="O86" s="62"/>
      <c r="P86" s="62"/>
      <c r="Q86" s="62">
        <v>2713333</v>
      </c>
      <c r="R86" s="62">
        <v>4686667</v>
      </c>
      <c r="S86" s="62"/>
      <c r="T86" s="62"/>
      <c r="U86" s="62"/>
      <c r="V86" s="62"/>
      <c r="W86" s="62"/>
      <c r="X86" s="62"/>
      <c r="Y86" s="95"/>
      <c r="Z86" s="176">
        <f t="shared" si="49"/>
        <v>7400000</v>
      </c>
      <c r="AA86" s="251">
        <f t="shared" si="36"/>
        <v>0</v>
      </c>
      <c r="AC86" s="84" t="s">
        <v>459</v>
      </c>
      <c r="AD86" s="167">
        <f t="shared" si="37"/>
        <v>204</v>
      </c>
      <c r="AE86" s="111">
        <f t="shared" si="38"/>
        <v>7400000</v>
      </c>
      <c r="AF86" s="103">
        <v>42794</v>
      </c>
      <c r="AG86" s="139">
        <f t="shared" si="39"/>
        <v>350</v>
      </c>
      <c r="AH86" s="111">
        <f t="shared" si="40"/>
        <v>7400000</v>
      </c>
      <c r="AI86" s="199">
        <v>42803</v>
      </c>
      <c r="AJ86" s="89" t="s">
        <v>510</v>
      </c>
      <c r="AK86" s="111">
        <f t="shared" si="50"/>
        <v>161</v>
      </c>
      <c r="AL86" s="111">
        <v>10254006</v>
      </c>
      <c r="AM86" s="101">
        <f t="shared" si="8"/>
        <v>0</v>
      </c>
    </row>
    <row r="87" spans="1:39" s="112" customFormat="1" ht="76.5">
      <c r="A87" s="375" t="s">
        <v>104</v>
      </c>
      <c r="B87" s="92">
        <f t="shared" si="42"/>
        <v>30805317</v>
      </c>
      <c r="C87" s="374" t="s">
        <v>78</v>
      </c>
      <c r="D87" s="374" t="s">
        <v>101</v>
      </c>
      <c r="E87" s="374" t="s">
        <v>99</v>
      </c>
      <c r="F87" s="374" t="s">
        <v>105</v>
      </c>
      <c r="G87" s="374" t="s">
        <v>100</v>
      </c>
      <c r="H87" s="64">
        <v>89</v>
      </c>
      <c r="I87" s="61">
        <v>218</v>
      </c>
      <c r="J87" s="62">
        <v>30805317</v>
      </c>
      <c r="K87" s="62">
        <v>389</v>
      </c>
      <c r="L87" s="62">
        <v>30805317</v>
      </c>
      <c r="M87" s="63">
        <v>218</v>
      </c>
      <c r="N87" s="72"/>
      <c r="O87" s="62"/>
      <c r="P87" s="62"/>
      <c r="Q87" s="62"/>
      <c r="R87" s="62">
        <v>4221469</v>
      </c>
      <c r="S87" s="62">
        <f>3422813</f>
        <v>3422813</v>
      </c>
      <c r="T87" s="62">
        <f>3422813</f>
        <v>3422813</v>
      </c>
      <c r="U87" s="62">
        <v>3422813</v>
      </c>
      <c r="V87" s="62">
        <v>3422813</v>
      </c>
      <c r="W87" s="62">
        <f>3422813</f>
        <v>3422813</v>
      </c>
      <c r="X87" s="62">
        <f>3422813</f>
        <v>3422813</v>
      </c>
      <c r="Y87" s="95">
        <f>3422813+2624157</f>
        <v>6046970</v>
      </c>
      <c r="Z87" s="176">
        <f t="shared" si="49"/>
        <v>30805317</v>
      </c>
      <c r="AA87" s="251">
        <f t="shared" si="36"/>
        <v>0</v>
      </c>
      <c r="AC87" s="84" t="s">
        <v>502</v>
      </c>
      <c r="AD87" s="167">
        <f t="shared" si="37"/>
        <v>218</v>
      </c>
      <c r="AE87" s="110">
        <f t="shared" si="38"/>
        <v>30805317</v>
      </c>
      <c r="AF87" s="103">
        <v>42804</v>
      </c>
      <c r="AG87" s="139">
        <f t="shared" si="39"/>
        <v>389</v>
      </c>
      <c r="AH87" s="111">
        <f t="shared" si="40"/>
        <v>30805317</v>
      </c>
      <c r="AI87" s="199">
        <v>42818</v>
      </c>
      <c r="AJ87" s="89" t="s">
        <v>555</v>
      </c>
      <c r="AK87" s="111">
        <f t="shared" si="50"/>
        <v>218</v>
      </c>
      <c r="AL87" s="111">
        <v>38602381</v>
      </c>
      <c r="AM87" s="101">
        <f t="shared" si="8"/>
        <v>0</v>
      </c>
    </row>
    <row r="88" spans="1:39" s="112" customFormat="1" ht="76.5">
      <c r="A88" s="375" t="s">
        <v>104</v>
      </c>
      <c r="B88" s="92">
        <f t="shared" si="42"/>
        <v>14000000</v>
      </c>
      <c r="C88" s="374" t="s">
        <v>78</v>
      </c>
      <c r="D88" s="374" t="s">
        <v>101</v>
      </c>
      <c r="E88" s="374" t="s">
        <v>99</v>
      </c>
      <c r="F88" s="374" t="s">
        <v>105</v>
      </c>
      <c r="G88" s="374" t="s">
        <v>100</v>
      </c>
      <c r="H88" s="64">
        <v>306</v>
      </c>
      <c r="I88" s="61">
        <v>234</v>
      </c>
      <c r="J88" s="62">
        <v>14000000</v>
      </c>
      <c r="K88" s="62">
        <v>396</v>
      </c>
      <c r="L88" s="62">
        <v>14000000</v>
      </c>
      <c r="M88" s="63">
        <v>190</v>
      </c>
      <c r="N88" s="72"/>
      <c r="O88" s="62"/>
      <c r="P88" s="62"/>
      <c r="Q88" s="62"/>
      <c r="R88" s="62">
        <v>3966667</v>
      </c>
      <c r="S88" s="62">
        <f t="shared" ref="S88:T90" si="52">3500000</f>
        <v>3500000</v>
      </c>
      <c r="T88" s="62">
        <f t="shared" si="52"/>
        <v>3500000</v>
      </c>
      <c r="U88" s="62">
        <f>3033333</f>
        <v>3033333</v>
      </c>
      <c r="V88" s="62"/>
      <c r="W88" s="62"/>
      <c r="X88" s="62"/>
      <c r="Y88" s="95"/>
      <c r="Z88" s="176">
        <f t="shared" si="49"/>
        <v>14000000</v>
      </c>
      <c r="AA88" s="251">
        <f t="shared" si="36"/>
        <v>0</v>
      </c>
      <c r="AC88" s="84" t="s">
        <v>524</v>
      </c>
      <c r="AD88" s="167">
        <f t="shared" si="37"/>
        <v>234</v>
      </c>
      <c r="AE88" s="110">
        <f t="shared" si="38"/>
        <v>14000000</v>
      </c>
      <c r="AF88" s="103">
        <v>42816</v>
      </c>
      <c r="AG88" s="139">
        <f t="shared" si="39"/>
        <v>396</v>
      </c>
      <c r="AH88" s="111">
        <f t="shared" si="40"/>
        <v>14000000</v>
      </c>
      <c r="AI88" s="199">
        <v>42821</v>
      </c>
      <c r="AJ88" s="89" t="s">
        <v>553</v>
      </c>
      <c r="AK88" s="111">
        <f t="shared" si="50"/>
        <v>190</v>
      </c>
      <c r="AL88" s="111">
        <v>1026286360</v>
      </c>
      <c r="AM88" s="101">
        <f t="shared" si="8"/>
        <v>0</v>
      </c>
    </row>
    <row r="89" spans="1:39" s="112" customFormat="1" ht="76.5">
      <c r="A89" s="375" t="s">
        <v>104</v>
      </c>
      <c r="B89" s="92">
        <f t="shared" si="42"/>
        <v>14000000</v>
      </c>
      <c r="C89" s="374" t="s">
        <v>78</v>
      </c>
      <c r="D89" s="374" t="s">
        <v>101</v>
      </c>
      <c r="E89" s="374" t="s">
        <v>99</v>
      </c>
      <c r="F89" s="374" t="s">
        <v>105</v>
      </c>
      <c r="G89" s="374" t="s">
        <v>100</v>
      </c>
      <c r="H89" s="64">
        <v>305</v>
      </c>
      <c r="I89" s="61">
        <v>235</v>
      </c>
      <c r="J89" s="62">
        <v>14000000</v>
      </c>
      <c r="K89" s="62">
        <v>410</v>
      </c>
      <c r="L89" s="62">
        <v>14000000</v>
      </c>
      <c r="M89" s="63">
        <v>198</v>
      </c>
      <c r="N89" s="72"/>
      <c r="O89" s="62"/>
      <c r="P89" s="62"/>
      <c r="Q89" s="62"/>
      <c r="R89" s="62">
        <v>3266667</v>
      </c>
      <c r="S89" s="62">
        <f t="shared" si="52"/>
        <v>3500000</v>
      </c>
      <c r="T89" s="62">
        <f t="shared" si="52"/>
        <v>3500000</v>
      </c>
      <c r="U89" s="62">
        <f>3733333</f>
        <v>3733333</v>
      </c>
      <c r="V89" s="62"/>
      <c r="W89" s="62"/>
      <c r="X89" s="62"/>
      <c r="Y89" s="95"/>
      <c r="Z89" s="176">
        <f t="shared" si="49"/>
        <v>14000000</v>
      </c>
      <c r="AA89" s="251">
        <f t="shared" si="36"/>
        <v>0</v>
      </c>
      <c r="AC89" s="84" t="s">
        <v>525</v>
      </c>
      <c r="AD89" s="167">
        <f t="shared" si="37"/>
        <v>235</v>
      </c>
      <c r="AE89" s="110">
        <f t="shared" si="38"/>
        <v>14000000</v>
      </c>
      <c r="AF89" s="103">
        <v>42816</v>
      </c>
      <c r="AG89" s="139">
        <f t="shared" si="39"/>
        <v>410</v>
      </c>
      <c r="AH89" s="111">
        <f t="shared" si="40"/>
        <v>14000000</v>
      </c>
      <c r="AI89" s="199">
        <v>42828</v>
      </c>
      <c r="AJ89" s="89" t="s">
        <v>586</v>
      </c>
      <c r="AK89" s="111">
        <f t="shared" si="50"/>
        <v>198</v>
      </c>
      <c r="AL89" s="111">
        <v>1010192571</v>
      </c>
      <c r="AM89" s="101">
        <f t="shared" si="8"/>
        <v>0</v>
      </c>
    </row>
    <row r="90" spans="1:39" s="112" customFormat="1" ht="76.5">
      <c r="A90" s="375" t="s">
        <v>104</v>
      </c>
      <c r="B90" s="92">
        <f t="shared" si="42"/>
        <v>14000000</v>
      </c>
      <c r="C90" s="374" t="s">
        <v>78</v>
      </c>
      <c r="D90" s="374" t="s">
        <v>101</v>
      </c>
      <c r="E90" s="374" t="s">
        <v>99</v>
      </c>
      <c r="F90" s="374" t="s">
        <v>105</v>
      </c>
      <c r="G90" s="374" t="s">
        <v>100</v>
      </c>
      <c r="H90" s="64">
        <v>304</v>
      </c>
      <c r="I90" s="61">
        <v>236</v>
      </c>
      <c r="J90" s="62">
        <v>14000000</v>
      </c>
      <c r="K90" s="62">
        <v>412</v>
      </c>
      <c r="L90" s="62">
        <v>14000000</v>
      </c>
      <c r="M90" s="63">
        <v>199</v>
      </c>
      <c r="N90" s="72"/>
      <c r="O90" s="62"/>
      <c r="P90" s="62"/>
      <c r="Q90" s="62"/>
      <c r="R90" s="62">
        <v>3150000</v>
      </c>
      <c r="S90" s="62">
        <f t="shared" si="52"/>
        <v>3500000</v>
      </c>
      <c r="T90" s="62">
        <f t="shared" si="52"/>
        <v>3500000</v>
      </c>
      <c r="U90" s="62">
        <f>3850000</f>
        <v>3850000</v>
      </c>
      <c r="V90" s="62"/>
      <c r="W90" s="62"/>
      <c r="X90" s="62"/>
      <c r="Y90" s="95"/>
      <c r="Z90" s="176">
        <f t="shared" si="49"/>
        <v>14000000</v>
      </c>
      <c r="AA90" s="251">
        <f t="shared" si="36"/>
        <v>0</v>
      </c>
      <c r="AC90" s="84" t="s">
        <v>525</v>
      </c>
      <c r="AD90" s="167">
        <f t="shared" si="37"/>
        <v>236</v>
      </c>
      <c r="AE90" s="110">
        <f t="shared" si="38"/>
        <v>14000000</v>
      </c>
      <c r="AF90" s="103">
        <v>42816</v>
      </c>
      <c r="AG90" s="139">
        <f t="shared" si="39"/>
        <v>412</v>
      </c>
      <c r="AH90" s="111">
        <f t="shared" si="40"/>
        <v>14000000</v>
      </c>
      <c r="AI90" s="199">
        <v>42829</v>
      </c>
      <c r="AJ90" s="89" t="s">
        <v>587</v>
      </c>
      <c r="AK90" s="111">
        <f t="shared" si="50"/>
        <v>199</v>
      </c>
      <c r="AL90" s="111">
        <v>1032366797</v>
      </c>
      <c r="AM90" s="101">
        <f t="shared" ref="AM90:AM95" si="53">AE90-AH90</f>
        <v>0</v>
      </c>
    </row>
    <row r="91" spans="1:39" s="112" customFormat="1" ht="76.5">
      <c r="A91" s="375" t="s">
        <v>104</v>
      </c>
      <c r="B91" s="92">
        <f>J91</f>
        <v>237750318</v>
      </c>
      <c r="C91" s="374" t="s">
        <v>78</v>
      </c>
      <c r="D91" s="374" t="s">
        <v>101</v>
      </c>
      <c r="E91" s="374" t="s">
        <v>99</v>
      </c>
      <c r="F91" s="374" t="s">
        <v>105</v>
      </c>
      <c r="G91" s="374" t="s">
        <v>100</v>
      </c>
      <c r="H91" s="64">
        <v>81</v>
      </c>
      <c r="I91" s="61">
        <v>322</v>
      </c>
      <c r="J91" s="62">
        <f>268783048-31032730</f>
        <v>237750318</v>
      </c>
      <c r="K91" s="62">
        <v>679</v>
      </c>
      <c r="L91" s="62">
        <f>237750318</f>
        <v>237750318</v>
      </c>
      <c r="M91" s="63">
        <v>284</v>
      </c>
      <c r="N91" s="72"/>
      <c r="O91" s="62"/>
      <c r="P91" s="62"/>
      <c r="Q91" s="62"/>
      <c r="R91" s="62"/>
      <c r="S91" s="62"/>
      <c r="T91" s="62"/>
      <c r="U91" s="62"/>
      <c r="V91" s="62"/>
      <c r="W91" s="62">
        <f>110104000</f>
        <v>110104000</v>
      </c>
      <c r="X91" s="62"/>
      <c r="Y91" s="95">
        <f>81260847</f>
        <v>81260847</v>
      </c>
      <c r="Z91" s="176">
        <f t="shared" si="49"/>
        <v>191364847</v>
      </c>
      <c r="AA91" s="251">
        <f t="shared" si="36"/>
        <v>46385471</v>
      </c>
      <c r="AC91" s="84" t="s">
        <v>651</v>
      </c>
      <c r="AD91" s="167">
        <f t="shared" si="37"/>
        <v>322</v>
      </c>
      <c r="AE91" s="110">
        <f t="shared" si="38"/>
        <v>237750318</v>
      </c>
      <c r="AF91" s="103">
        <v>42872</v>
      </c>
      <c r="AG91" s="139">
        <f t="shared" si="39"/>
        <v>679</v>
      </c>
      <c r="AH91" s="111">
        <f t="shared" si="40"/>
        <v>237750318</v>
      </c>
      <c r="AI91" s="199"/>
      <c r="AJ91" s="89"/>
      <c r="AK91" s="111">
        <f t="shared" si="50"/>
        <v>284</v>
      </c>
      <c r="AL91" s="111"/>
      <c r="AM91" s="101">
        <f t="shared" si="53"/>
        <v>0</v>
      </c>
    </row>
    <row r="92" spans="1:39" s="112" customFormat="1" ht="76.5">
      <c r="A92" s="375" t="s">
        <v>104</v>
      </c>
      <c r="B92" s="92">
        <f t="shared" si="42"/>
        <v>8334000</v>
      </c>
      <c r="C92" s="374" t="s">
        <v>78</v>
      </c>
      <c r="D92" s="374" t="s">
        <v>101</v>
      </c>
      <c r="E92" s="374" t="s">
        <v>99</v>
      </c>
      <c r="F92" s="374" t="s">
        <v>105</v>
      </c>
      <c r="G92" s="374" t="s">
        <v>100</v>
      </c>
      <c r="H92" s="64">
        <v>309</v>
      </c>
      <c r="I92" s="61">
        <v>346</v>
      </c>
      <c r="J92" s="62">
        <f>8334000</f>
        <v>8334000</v>
      </c>
      <c r="K92" s="62">
        <v>589</v>
      </c>
      <c r="L92" s="62">
        <f>8334000</f>
        <v>8334000</v>
      </c>
      <c r="M92" s="63">
        <v>249</v>
      </c>
      <c r="N92" s="72"/>
      <c r="O92" s="62"/>
      <c r="P92" s="62"/>
      <c r="Q92" s="62"/>
      <c r="R92" s="62"/>
      <c r="S92" s="62"/>
      <c r="T92" s="62"/>
      <c r="U92" s="62"/>
      <c r="V92" s="62">
        <f>2520000</f>
        <v>2520000</v>
      </c>
      <c r="W92" s="62"/>
      <c r="X92" s="62"/>
      <c r="Y92" s="95">
        <f>1233000</f>
        <v>1233000</v>
      </c>
      <c r="Z92" s="176">
        <f t="shared" si="49"/>
        <v>3753000</v>
      </c>
      <c r="AA92" s="251">
        <f t="shared" si="36"/>
        <v>4581000</v>
      </c>
      <c r="AC92" s="84" t="s">
        <v>650</v>
      </c>
      <c r="AD92" s="167">
        <f t="shared" si="37"/>
        <v>346</v>
      </c>
      <c r="AE92" s="110">
        <f t="shared" si="38"/>
        <v>8334000</v>
      </c>
      <c r="AF92" s="103" t="s">
        <v>762</v>
      </c>
      <c r="AG92" s="139">
        <f t="shared" si="39"/>
        <v>589</v>
      </c>
      <c r="AH92" s="111">
        <f t="shared" si="40"/>
        <v>8334000</v>
      </c>
      <c r="AI92" s="369">
        <v>42909</v>
      </c>
      <c r="AJ92" s="130" t="s">
        <v>696</v>
      </c>
      <c r="AK92" s="111">
        <f t="shared" si="50"/>
        <v>249</v>
      </c>
      <c r="AL92" s="111"/>
      <c r="AM92" s="101">
        <f t="shared" si="53"/>
        <v>0</v>
      </c>
    </row>
    <row r="93" spans="1:39" s="112" customFormat="1" ht="76.5">
      <c r="A93" s="375" t="s">
        <v>104</v>
      </c>
      <c r="B93" s="92">
        <f t="shared" si="42"/>
        <v>4000000</v>
      </c>
      <c r="C93" s="374" t="s">
        <v>78</v>
      </c>
      <c r="D93" s="374" t="s">
        <v>101</v>
      </c>
      <c r="E93" s="374" t="s">
        <v>99</v>
      </c>
      <c r="F93" s="374" t="s">
        <v>105</v>
      </c>
      <c r="G93" s="374" t="s">
        <v>100</v>
      </c>
      <c r="H93" s="64">
        <v>391</v>
      </c>
      <c r="I93" s="61">
        <v>442</v>
      </c>
      <c r="J93" s="62">
        <f>4000000</f>
        <v>4000000</v>
      </c>
      <c r="K93" s="62">
        <v>751</v>
      </c>
      <c r="L93" s="62">
        <f>4000000</f>
        <v>4000000</v>
      </c>
      <c r="M93" s="63">
        <v>307</v>
      </c>
      <c r="N93" s="72"/>
      <c r="O93" s="62"/>
      <c r="P93" s="62"/>
      <c r="Q93" s="62"/>
      <c r="R93" s="62"/>
      <c r="S93" s="62"/>
      <c r="T93" s="62"/>
      <c r="U93" s="62"/>
      <c r="V93" s="62"/>
      <c r="W93" s="62"/>
      <c r="X93" s="62">
        <f>4000000</f>
        <v>4000000</v>
      </c>
      <c r="Y93" s="95"/>
      <c r="Z93" s="176">
        <f t="shared" si="49"/>
        <v>4000000</v>
      </c>
      <c r="AA93" s="251">
        <f t="shared" si="36"/>
        <v>0</v>
      </c>
      <c r="AC93" s="84" t="s">
        <v>717</v>
      </c>
      <c r="AD93" s="167">
        <f t="shared" si="37"/>
        <v>442</v>
      </c>
      <c r="AE93" s="110">
        <f t="shared" si="38"/>
        <v>4000000</v>
      </c>
      <c r="AF93" s="103">
        <v>42972</v>
      </c>
      <c r="AG93" s="139">
        <f t="shared" si="39"/>
        <v>751</v>
      </c>
      <c r="AH93" s="111">
        <f t="shared" si="40"/>
        <v>4000000</v>
      </c>
      <c r="AI93" s="199">
        <v>42983</v>
      </c>
      <c r="AJ93" s="89" t="s">
        <v>799</v>
      </c>
      <c r="AK93" s="111">
        <f t="shared" si="50"/>
        <v>307</v>
      </c>
      <c r="AL93" s="111"/>
      <c r="AM93" s="101">
        <f t="shared" si="53"/>
        <v>0</v>
      </c>
    </row>
    <row r="94" spans="1:39" s="112" customFormat="1" ht="76.5">
      <c r="A94" s="375" t="s">
        <v>104</v>
      </c>
      <c r="B94" s="92">
        <f>J94</f>
        <v>0</v>
      </c>
      <c r="C94" s="374" t="s">
        <v>78</v>
      </c>
      <c r="D94" s="374" t="s">
        <v>101</v>
      </c>
      <c r="E94" s="374" t="s">
        <v>99</v>
      </c>
      <c r="F94" s="374" t="s">
        <v>105</v>
      </c>
      <c r="G94" s="374" t="s">
        <v>100</v>
      </c>
      <c r="H94" s="64" t="s">
        <v>736</v>
      </c>
      <c r="I94" s="61"/>
      <c r="J94" s="62">
        <v>0</v>
      </c>
      <c r="K94" s="62"/>
      <c r="L94" s="62"/>
      <c r="M94" s="63"/>
      <c r="N94" s="72"/>
      <c r="O94" s="62"/>
      <c r="P94" s="62"/>
      <c r="Q94" s="62"/>
      <c r="R94" s="62"/>
      <c r="S94" s="62"/>
      <c r="T94" s="62"/>
      <c r="U94" s="62"/>
      <c r="V94" s="62"/>
      <c r="W94" s="62"/>
      <c r="X94" s="62"/>
      <c r="Y94" s="95"/>
      <c r="Z94" s="176">
        <f t="shared" si="49"/>
        <v>0</v>
      </c>
      <c r="AA94" s="251">
        <f t="shared" si="36"/>
        <v>0</v>
      </c>
      <c r="AC94" s="84" t="s">
        <v>737</v>
      </c>
      <c r="AD94" s="167">
        <f t="shared" si="37"/>
        <v>0</v>
      </c>
      <c r="AE94" s="110">
        <f t="shared" si="38"/>
        <v>0</v>
      </c>
      <c r="AF94" s="103"/>
      <c r="AG94" s="139">
        <f t="shared" si="39"/>
        <v>0</v>
      </c>
      <c r="AH94" s="111">
        <f t="shared" si="40"/>
        <v>0</v>
      </c>
      <c r="AI94" s="199"/>
      <c r="AJ94" s="89"/>
      <c r="AK94" s="111">
        <f t="shared" si="50"/>
        <v>0</v>
      </c>
      <c r="AL94" s="111"/>
      <c r="AM94" s="101">
        <f t="shared" si="53"/>
        <v>0</v>
      </c>
    </row>
    <row r="95" spans="1:39" s="112" customFormat="1" ht="76.5">
      <c r="A95" s="375" t="s">
        <v>104</v>
      </c>
      <c r="B95" s="92">
        <f>J95</f>
        <v>14226417</v>
      </c>
      <c r="C95" s="374" t="s">
        <v>78</v>
      </c>
      <c r="D95" s="374" t="s">
        <v>101</v>
      </c>
      <c r="E95" s="374" t="s">
        <v>99</v>
      </c>
      <c r="F95" s="374" t="s">
        <v>105</v>
      </c>
      <c r="G95" s="374" t="s">
        <v>100</v>
      </c>
      <c r="H95" s="69">
        <v>384</v>
      </c>
      <c r="I95" s="67" t="s">
        <v>1044</v>
      </c>
      <c r="J95" s="62">
        <f>11999750+2226667</f>
        <v>14226417</v>
      </c>
      <c r="K95" s="62" t="s">
        <v>1105</v>
      </c>
      <c r="L95" s="62">
        <f>11999750+2226667</f>
        <v>14226417</v>
      </c>
      <c r="M95" s="63">
        <v>316</v>
      </c>
      <c r="N95" s="72"/>
      <c r="O95" s="62"/>
      <c r="P95" s="62"/>
      <c r="Q95" s="62"/>
      <c r="R95" s="62"/>
      <c r="S95" s="62"/>
      <c r="T95" s="62"/>
      <c r="U95" s="62"/>
      <c r="V95" s="62"/>
      <c r="W95" s="62"/>
      <c r="X95" s="62">
        <v>1028550</v>
      </c>
      <c r="Y95" s="95">
        <f>6857000+4114200+2226667</f>
        <v>13197867</v>
      </c>
      <c r="Z95" s="75">
        <f t="shared" si="49"/>
        <v>14226417</v>
      </c>
      <c r="AA95" s="251">
        <f t="shared" si="36"/>
        <v>0</v>
      </c>
      <c r="AC95" s="84" t="s">
        <v>763</v>
      </c>
      <c r="AD95" s="167" t="str">
        <f t="shared" si="37"/>
        <v>475 - 765</v>
      </c>
      <c r="AE95" s="110">
        <f t="shared" si="38"/>
        <v>14226417</v>
      </c>
      <c r="AF95" s="103">
        <v>42999</v>
      </c>
      <c r="AG95" s="139" t="str">
        <f t="shared" si="39"/>
        <v>835 - 1093</v>
      </c>
      <c r="AH95" s="111">
        <f t="shared" si="40"/>
        <v>14226417</v>
      </c>
      <c r="AI95" s="199">
        <v>43012</v>
      </c>
      <c r="AJ95" s="89" t="s">
        <v>833</v>
      </c>
      <c r="AK95" s="111">
        <f t="shared" si="50"/>
        <v>316</v>
      </c>
      <c r="AL95" s="111"/>
      <c r="AM95" s="101">
        <f t="shared" si="53"/>
        <v>0</v>
      </c>
    </row>
    <row r="96" spans="1:39" s="112" customFormat="1" ht="76.5">
      <c r="A96" s="375" t="s">
        <v>104</v>
      </c>
      <c r="B96" s="92">
        <f>J96</f>
        <v>18375000</v>
      </c>
      <c r="C96" s="374" t="s">
        <v>78</v>
      </c>
      <c r="D96" s="374" t="s">
        <v>101</v>
      </c>
      <c r="E96" s="374" t="s">
        <v>99</v>
      </c>
      <c r="F96" s="374" t="s">
        <v>105</v>
      </c>
      <c r="G96" s="374" t="s">
        <v>100</v>
      </c>
      <c r="H96" s="64">
        <v>514</v>
      </c>
      <c r="I96" s="61" t="s">
        <v>1042</v>
      </c>
      <c r="J96" s="62">
        <f>13125000+5250000</f>
        <v>18375000</v>
      </c>
      <c r="K96" s="62" t="s">
        <v>1106</v>
      </c>
      <c r="L96" s="62">
        <f>13125000+5250000</f>
        <v>18375000</v>
      </c>
      <c r="M96" s="63">
        <v>330</v>
      </c>
      <c r="N96" s="76"/>
      <c r="O96" s="51"/>
      <c r="P96" s="51"/>
      <c r="Q96" s="51"/>
      <c r="R96" s="51"/>
      <c r="S96" s="51"/>
      <c r="T96" s="51"/>
      <c r="U96" s="51"/>
      <c r="V96" s="51"/>
      <c r="W96" s="51"/>
      <c r="X96" s="62">
        <f>3150000</f>
        <v>3150000</v>
      </c>
      <c r="Y96" s="95">
        <f>5250000+4725000+525000</f>
        <v>10500000</v>
      </c>
      <c r="Z96" s="176">
        <f>SUM(N96:Y96)</f>
        <v>13650000</v>
      </c>
      <c r="AA96" s="251">
        <f t="shared" si="36"/>
        <v>4725000</v>
      </c>
      <c r="AC96" s="84" t="s">
        <v>820</v>
      </c>
      <c r="AD96" s="167" t="str">
        <f t="shared" si="37"/>
        <v>514 - 761</v>
      </c>
      <c r="AE96" s="110">
        <f t="shared" si="38"/>
        <v>18375000</v>
      </c>
      <c r="AF96" s="103"/>
      <c r="AG96" s="139" t="str">
        <f t="shared" si="39"/>
        <v>858 - 1112</v>
      </c>
      <c r="AH96" s="111">
        <f t="shared" si="40"/>
        <v>18375000</v>
      </c>
      <c r="AI96" s="199">
        <v>43021</v>
      </c>
      <c r="AJ96" s="89" t="s">
        <v>836</v>
      </c>
      <c r="AK96" s="111">
        <f>M96</f>
        <v>330</v>
      </c>
      <c r="AL96" s="111"/>
      <c r="AM96" s="106">
        <f>AE96-AH96</f>
        <v>0</v>
      </c>
    </row>
    <row r="97" spans="1:39" s="112" customFormat="1" ht="76.5">
      <c r="A97" s="375" t="s">
        <v>104</v>
      </c>
      <c r="B97" s="92">
        <f t="shared" ref="B97:B113" si="54">J97</f>
        <v>10850000</v>
      </c>
      <c r="C97" s="374" t="s">
        <v>78</v>
      </c>
      <c r="D97" s="374" t="s">
        <v>101</v>
      </c>
      <c r="E97" s="374" t="s">
        <v>99</v>
      </c>
      <c r="F97" s="374" t="s">
        <v>105</v>
      </c>
      <c r="G97" s="374" t="s">
        <v>100</v>
      </c>
      <c r="H97" s="64">
        <v>515</v>
      </c>
      <c r="I97" s="61" t="s">
        <v>986</v>
      </c>
      <c r="J97" s="62">
        <f>7750000+3100000</f>
        <v>10850000</v>
      </c>
      <c r="K97" s="62" t="s">
        <v>1107</v>
      </c>
      <c r="L97" s="62">
        <f>7750000+3100000</f>
        <v>10850000</v>
      </c>
      <c r="M97" s="63">
        <v>324</v>
      </c>
      <c r="N97" s="72"/>
      <c r="O97" s="62"/>
      <c r="P97" s="62"/>
      <c r="Q97" s="62"/>
      <c r="R97" s="62"/>
      <c r="S97" s="62"/>
      <c r="T97" s="62"/>
      <c r="U97" s="62"/>
      <c r="V97" s="62"/>
      <c r="W97" s="62"/>
      <c r="X97" s="62">
        <f>1963333</f>
        <v>1963333</v>
      </c>
      <c r="Y97" s="95">
        <f>3100000+2686667+413333</f>
        <v>6200000</v>
      </c>
      <c r="Z97" s="176">
        <f t="shared" ref="Z97:Z102" si="55">SUM(N97:Y97)</f>
        <v>8163333</v>
      </c>
      <c r="AA97" s="251">
        <f t="shared" si="36"/>
        <v>2686667</v>
      </c>
      <c r="AC97" s="84" t="s">
        <v>821</v>
      </c>
      <c r="AD97" s="167" t="str">
        <f t="shared" si="37"/>
        <v>515 - 668</v>
      </c>
      <c r="AE97" s="110">
        <f t="shared" si="38"/>
        <v>10850000</v>
      </c>
      <c r="AF97" s="103"/>
      <c r="AG97" s="139" t="str">
        <f t="shared" si="39"/>
        <v>853 - 1051</v>
      </c>
      <c r="AH97" s="111">
        <f t="shared" si="40"/>
        <v>10850000</v>
      </c>
      <c r="AI97" s="199">
        <v>43019</v>
      </c>
      <c r="AJ97" s="89" t="s">
        <v>586</v>
      </c>
      <c r="AK97" s="111">
        <f t="shared" ref="AK97:AK102" si="56">M97</f>
        <v>324</v>
      </c>
      <c r="AL97" s="111"/>
      <c r="AM97" s="101">
        <f t="shared" ref="AM97:AM102" si="57">AE97-AH97</f>
        <v>0</v>
      </c>
    </row>
    <row r="98" spans="1:39" s="112" customFormat="1" ht="76.5">
      <c r="A98" s="375" t="s">
        <v>104</v>
      </c>
      <c r="B98" s="92">
        <f t="shared" si="54"/>
        <v>3500000</v>
      </c>
      <c r="C98" s="374" t="s">
        <v>78</v>
      </c>
      <c r="D98" s="374" t="s">
        <v>101</v>
      </c>
      <c r="E98" s="374" t="s">
        <v>99</v>
      </c>
      <c r="F98" s="374" t="s">
        <v>105</v>
      </c>
      <c r="G98" s="374" t="s">
        <v>100</v>
      </c>
      <c r="H98" s="64">
        <v>516</v>
      </c>
      <c r="I98" s="61">
        <v>530</v>
      </c>
      <c r="J98" s="62">
        <f>3750000-250000</f>
        <v>3500000</v>
      </c>
      <c r="K98" s="62">
        <v>876</v>
      </c>
      <c r="L98" s="62">
        <v>3500000</v>
      </c>
      <c r="M98" s="63">
        <v>338</v>
      </c>
      <c r="N98" s="72"/>
      <c r="O98" s="62"/>
      <c r="P98" s="62"/>
      <c r="Q98" s="62"/>
      <c r="R98" s="62"/>
      <c r="S98" s="62"/>
      <c r="T98" s="62"/>
      <c r="U98" s="62"/>
      <c r="V98" s="62"/>
      <c r="W98" s="62"/>
      <c r="X98" s="62">
        <f>550000</f>
        <v>550000</v>
      </c>
      <c r="Y98" s="95">
        <f>1500000+1450000</f>
        <v>2950000</v>
      </c>
      <c r="Z98" s="176">
        <f t="shared" ref="Z98:Z99" si="58">SUM(N98:Y98)</f>
        <v>3500000</v>
      </c>
      <c r="AA98" s="251">
        <f t="shared" si="36"/>
        <v>0</v>
      </c>
      <c r="AC98" s="84" t="s">
        <v>822</v>
      </c>
      <c r="AD98" s="167">
        <f t="shared" si="37"/>
        <v>530</v>
      </c>
      <c r="AE98" s="110">
        <f t="shared" si="38"/>
        <v>3500000</v>
      </c>
      <c r="AF98" s="103"/>
      <c r="AG98" s="139">
        <f t="shared" si="39"/>
        <v>876</v>
      </c>
      <c r="AH98" s="111">
        <f t="shared" si="40"/>
        <v>3500000</v>
      </c>
      <c r="AI98" s="199">
        <v>43028</v>
      </c>
      <c r="AJ98" s="89" t="s">
        <v>839</v>
      </c>
      <c r="AK98" s="111">
        <f t="shared" ref="AK98:AK101" si="59">M98</f>
        <v>338</v>
      </c>
      <c r="AL98" s="111"/>
      <c r="AM98" s="101">
        <f t="shared" ref="AM98:AM101" si="60">AE98-AH98</f>
        <v>0</v>
      </c>
    </row>
    <row r="99" spans="1:39" s="112" customFormat="1" ht="76.5">
      <c r="A99" s="375" t="s">
        <v>104</v>
      </c>
      <c r="B99" s="92">
        <f t="shared" si="54"/>
        <v>4000000</v>
      </c>
      <c r="C99" s="374" t="s">
        <v>78</v>
      </c>
      <c r="D99" s="374" t="s">
        <v>101</v>
      </c>
      <c r="E99" s="374" t="s">
        <v>99</v>
      </c>
      <c r="F99" s="374" t="s">
        <v>105</v>
      </c>
      <c r="G99" s="374" t="s">
        <v>100</v>
      </c>
      <c r="H99" s="64">
        <v>296</v>
      </c>
      <c r="I99" s="61">
        <v>539</v>
      </c>
      <c r="J99" s="62">
        <f>4000000</f>
        <v>4000000</v>
      </c>
      <c r="K99" s="62">
        <v>997</v>
      </c>
      <c r="L99" s="62">
        <f>4000000</f>
        <v>4000000</v>
      </c>
      <c r="M99" s="63">
        <v>370</v>
      </c>
      <c r="N99" s="72"/>
      <c r="O99" s="62"/>
      <c r="P99" s="62"/>
      <c r="Q99" s="62"/>
      <c r="R99" s="62"/>
      <c r="S99" s="62"/>
      <c r="T99" s="62"/>
      <c r="U99" s="62"/>
      <c r="V99" s="62"/>
      <c r="W99" s="62"/>
      <c r="X99" s="62"/>
      <c r="Y99" s="95">
        <f>4000000</f>
        <v>4000000</v>
      </c>
      <c r="Z99" s="176">
        <f t="shared" si="58"/>
        <v>4000000</v>
      </c>
      <c r="AA99" s="251">
        <f t="shared" si="36"/>
        <v>0</v>
      </c>
      <c r="AC99" s="84" t="s">
        <v>814</v>
      </c>
      <c r="AD99" s="167">
        <f t="shared" si="37"/>
        <v>539</v>
      </c>
      <c r="AE99" s="110">
        <f t="shared" si="38"/>
        <v>4000000</v>
      </c>
      <c r="AF99" s="103"/>
      <c r="AG99" s="139">
        <f t="shared" si="39"/>
        <v>997</v>
      </c>
      <c r="AH99" s="111">
        <f t="shared" si="40"/>
        <v>4000000</v>
      </c>
      <c r="AI99" s="199">
        <v>43070</v>
      </c>
      <c r="AJ99" s="89" t="s">
        <v>1108</v>
      </c>
      <c r="AK99" s="111">
        <f t="shared" si="59"/>
        <v>370</v>
      </c>
      <c r="AL99" s="111"/>
      <c r="AM99" s="101">
        <f t="shared" si="60"/>
        <v>0</v>
      </c>
    </row>
    <row r="100" spans="1:39" s="112" customFormat="1" ht="89.25">
      <c r="A100" s="375" t="s">
        <v>104</v>
      </c>
      <c r="B100" s="92">
        <f t="shared" ref="B100:B101" si="61">J100</f>
        <v>177000</v>
      </c>
      <c r="C100" s="374" t="s">
        <v>78</v>
      </c>
      <c r="D100" s="374" t="s">
        <v>101</v>
      </c>
      <c r="E100" s="374" t="s">
        <v>99</v>
      </c>
      <c r="F100" s="374" t="s">
        <v>105</v>
      </c>
      <c r="G100" s="374" t="s">
        <v>100</v>
      </c>
      <c r="H100" s="64"/>
      <c r="I100" s="61">
        <v>808</v>
      </c>
      <c r="J100" s="62">
        <f>177000</f>
        <v>177000</v>
      </c>
      <c r="K100" s="62">
        <v>1126</v>
      </c>
      <c r="L100" s="62">
        <f>177000</f>
        <v>177000</v>
      </c>
      <c r="M100" s="63">
        <v>6626</v>
      </c>
      <c r="N100" s="72"/>
      <c r="O100" s="62"/>
      <c r="P100" s="62"/>
      <c r="Q100" s="62"/>
      <c r="R100" s="62"/>
      <c r="S100" s="62"/>
      <c r="T100" s="62"/>
      <c r="U100" s="62"/>
      <c r="V100" s="62"/>
      <c r="W100" s="62"/>
      <c r="X100" s="62"/>
      <c r="Y100" s="95">
        <f>177000</f>
        <v>177000</v>
      </c>
      <c r="Z100" s="176">
        <f t="shared" ref="Z100:Z101" si="62">SUM(N100:Y100)</f>
        <v>177000</v>
      </c>
      <c r="AA100" s="251">
        <f t="shared" si="36"/>
        <v>0</v>
      </c>
      <c r="AC100" s="84" t="s">
        <v>1046</v>
      </c>
      <c r="AD100" s="167">
        <f t="shared" si="37"/>
        <v>808</v>
      </c>
      <c r="AE100" s="110">
        <f t="shared" si="38"/>
        <v>177000</v>
      </c>
      <c r="AF100" s="103">
        <v>43089</v>
      </c>
      <c r="AG100" s="139">
        <f t="shared" si="39"/>
        <v>1126</v>
      </c>
      <c r="AH100" s="111">
        <f t="shared" si="40"/>
        <v>177000</v>
      </c>
      <c r="AI100" s="199">
        <v>43089</v>
      </c>
      <c r="AJ100" s="89" t="s">
        <v>594</v>
      </c>
      <c r="AK100" s="111">
        <f t="shared" si="59"/>
        <v>6626</v>
      </c>
      <c r="AL100" s="111"/>
      <c r="AM100" s="101">
        <f t="shared" si="60"/>
        <v>0</v>
      </c>
    </row>
    <row r="101" spans="1:39" s="112" customFormat="1" ht="76.5">
      <c r="A101" s="375" t="s">
        <v>104</v>
      </c>
      <c r="B101" s="92">
        <f t="shared" si="61"/>
        <v>0</v>
      </c>
      <c r="C101" s="374" t="s">
        <v>78</v>
      </c>
      <c r="D101" s="374" t="s">
        <v>101</v>
      </c>
      <c r="E101" s="374" t="s">
        <v>99</v>
      </c>
      <c r="F101" s="374" t="s">
        <v>105</v>
      </c>
      <c r="G101" s="374" t="s">
        <v>100</v>
      </c>
      <c r="H101" s="64"/>
      <c r="I101" s="61"/>
      <c r="J101" s="62"/>
      <c r="K101" s="62"/>
      <c r="L101" s="62"/>
      <c r="M101" s="63"/>
      <c r="N101" s="72"/>
      <c r="O101" s="62"/>
      <c r="P101" s="62"/>
      <c r="Q101" s="62"/>
      <c r="R101" s="62"/>
      <c r="S101" s="62"/>
      <c r="T101" s="62"/>
      <c r="U101" s="62"/>
      <c r="V101" s="62"/>
      <c r="W101" s="62"/>
      <c r="X101" s="62"/>
      <c r="Y101" s="95"/>
      <c r="Z101" s="176">
        <f t="shared" si="62"/>
        <v>0</v>
      </c>
      <c r="AA101" s="251">
        <f t="shared" si="36"/>
        <v>0</v>
      </c>
      <c r="AC101" s="84"/>
      <c r="AD101" s="167">
        <f t="shared" si="37"/>
        <v>0</v>
      </c>
      <c r="AE101" s="110">
        <f t="shared" si="38"/>
        <v>0</v>
      </c>
      <c r="AF101" s="103"/>
      <c r="AG101" s="139">
        <f t="shared" si="39"/>
        <v>0</v>
      </c>
      <c r="AH101" s="111">
        <f t="shared" si="40"/>
        <v>0</v>
      </c>
      <c r="AI101" s="199"/>
      <c r="AJ101" s="89"/>
      <c r="AK101" s="111">
        <f t="shared" si="59"/>
        <v>0</v>
      </c>
      <c r="AL101" s="111"/>
      <c r="AM101" s="101">
        <f t="shared" si="60"/>
        <v>0</v>
      </c>
    </row>
    <row r="102" spans="1:39" s="112" customFormat="1" ht="76.5">
      <c r="A102" s="375" t="s">
        <v>104</v>
      </c>
      <c r="B102" s="92">
        <f>J102</f>
        <v>0</v>
      </c>
      <c r="C102" s="374" t="s">
        <v>78</v>
      </c>
      <c r="D102" s="374" t="s">
        <v>101</v>
      </c>
      <c r="E102" s="374" t="s">
        <v>99</v>
      </c>
      <c r="F102" s="374" t="s">
        <v>105</v>
      </c>
      <c r="G102" s="374" t="s">
        <v>100</v>
      </c>
      <c r="H102" s="64"/>
      <c r="I102" s="61"/>
      <c r="J102" s="62"/>
      <c r="K102" s="62"/>
      <c r="L102" s="62"/>
      <c r="M102" s="63"/>
      <c r="N102" s="72"/>
      <c r="O102" s="62"/>
      <c r="P102" s="62"/>
      <c r="Q102" s="62"/>
      <c r="R102" s="62"/>
      <c r="S102" s="62"/>
      <c r="T102" s="62"/>
      <c r="U102" s="62"/>
      <c r="V102" s="62"/>
      <c r="W102" s="62"/>
      <c r="X102" s="62"/>
      <c r="Y102" s="95"/>
      <c r="Z102" s="176">
        <f t="shared" si="55"/>
        <v>0</v>
      </c>
      <c r="AA102" s="251">
        <f t="shared" si="36"/>
        <v>0</v>
      </c>
      <c r="AC102" s="84"/>
      <c r="AD102" s="167">
        <f t="shared" si="37"/>
        <v>0</v>
      </c>
      <c r="AE102" s="110">
        <f t="shared" si="38"/>
        <v>0</v>
      </c>
      <c r="AF102" s="103"/>
      <c r="AG102" s="139">
        <f t="shared" si="39"/>
        <v>0</v>
      </c>
      <c r="AH102" s="111">
        <f t="shared" si="40"/>
        <v>0</v>
      </c>
      <c r="AI102" s="199"/>
      <c r="AJ102" s="89"/>
      <c r="AK102" s="111">
        <f t="shared" si="56"/>
        <v>0</v>
      </c>
      <c r="AL102" s="111"/>
      <c r="AM102" s="101">
        <f t="shared" si="57"/>
        <v>0</v>
      </c>
    </row>
    <row r="103" spans="1:39" s="116" customFormat="1">
      <c r="A103" s="255" t="s">
        <v>132</v>
      </c>
      <c r="B103" s="55">
        <f>B72-B73-B74-B75-B76-B77-B78-B79-B80-B81-B82-B83-B84-B85-B86-B87-B88-B89-B90-B91-B92-B93-B94-B95-B96-B97-B98-B99-B100-B101-B102</f>
        <v>0</v>
      </c>
      <c r="C103" s="99"/>
      <c r="D103" s="99"/>
      <c r="E103" s="99"/>
      <c r="F103" s="99"/>
      <c r="G103" s="164"/>
      <c r="H103" s="144"/>
      <c r="I103" s="51"/>
      <c r="J103" s="51">
        <f>SUM(J72:J102)</f>
        <v>1173706784</v>
      </c>
      <c r="K103" s="51"/>
      <c r="L103" s="51">
        <f>SUM(L72:L102)</f>
        <v>1173706784</v>
      </c>
      <c r="M103" s="51"/>
      <c r="N103" s="51">
        <f t="shared" ref="N103:T103" si="63">SUM(N72:N94)</f>
        <v>0</v>
      </c>
      <c r="O103" s="51">
        <f t="shared" si="63"/>
        <v>0</v>
      </c>
      <c r="P103" s="51">
        <f t="shared" si="63"/>
        <v>60046193</v>
      </c>
      <c r="Q103" s="51">
        <f t="shared" si="63"/>
        <v>80427648</v>
      </c>
      <c r="R103" s="51">
        <f t="shared" si="63"/>
        <v>92180034</v>
      </c>
      <c r="S103" s="51">
        <f t="shared" si="63"/>
        <v>86811377</v>
      </c>
      <c r="T103" s="51">
        <f t="shared" si="63"/>
        <v>86811377</v>
      </c>
      <c r="U103" s="51">
        <f>SUM(U72:U95)</f>
        <v>86928043</v>
      </c>
      <c r="V103" s="51">
        <f t="shared" ref="V103:AA103" si="64">SUM(V72:V102)</f>
        <v>73269377</v>
      </c>
      <c r="W103" s="51">
        <f t="shared" si="64"/>
        <v>190308777</v>
      </c>
      <c r="X103" s="51">
        <f t="shared" si="64"/>
        <v>88671860</v>
      </c>
      <c r="Y103" s="51">
        <f t="shared" si="64"/>
        <v>267620407</v>
      </c>
      <c r="Z103" s="51">
        <f t="shared" si="64"/>
        <v>1113075093</v>
      </c>
      <c r="AA103" s="256">
        <f t="shared" si="64"/>
        <v>60631691</v>
      </c>
      <c r="AB103" s="76"/>
      <c r="AC103" s="51">
        <f>SUM(AC72:AC94)</f>
        <v>0</v>
      </c>
      <c r="AD103" s="51">
        <f>SUM(AD72:AD94)</f>
        <v>3194</v>
      </c>
      <c r="AE103" s="51">
        <f>SUM(AE72:AE94)</f>
        <v>1122578367</v>
      </c>
      <c r="AF103" s="51">
        <f>SUM(AF72:AF95)</f>
        <v>856085</v>
      </c>
      <c r="AG103" s="137">
        <f t="shared" ref="AG103:AG114" si="65">K103</f>
        <v>0</v>
      </c>
      <c r="AH103" s="51">
        <f ca="1">SUM(AH72:AH111)</f>
        <v>1142743520</v>
      </c>
      <c r="AI103" s="376"/>
      <c r="AJ103" s="44"/>
      <c r="AK103" s="101">
        <f t="shared" si="7"/>
        <v>0</v>
      </c>
      <c r="AL103" s="101"/>
      <c r="AM103" s="51">
        <f ca="1">SUM(AM72:AM111)</f>
        <v>-23988153</v>
      </c>
    </row>
    <row r="104" spans="1:39" s="112" customFormat="1" ht="96" customHeight="1">
      <c r="A104" s="373" t="s">
        <v>104</v>
      </c>
      <c r="B104" s="55">
        <f>300000000-39974476-48349540</f>
        <v>211675984</v>
      </c>
      <c r="C104" s="374" t="s">
        <v>78</v>
      </c>
      <c r="D104" s="374" t="s">
        <v>79</v>
      </c>
      <c r="E104" s="374" t="s">
        <v>99</v>
      </c>
      <c r="F104" s="374" t="s">
        <v>105</v>
      </c>
      <c r="G104" s="374" t="s">
        <v>100</v>
      </c>
      <c r="H104" s="66"/>
      <c r="I104" s="46"/>
      <c r="J104" s="47"/>
      <c r="K104" s="47"/>
      <c r="L104" s="47"/>
      <c r="M104" s="48"/>
      <c r="N104" s="74"/>
      <c r="O104" s="47"/>
      <c r="P104" s="47"/>
      <c r="Q104" s="47"/>
      <c r="R104" s="47"/>
      <c r="S104" s="47"/>
      <c r="T104" s="47"/>
      <c r="U104" s="47"/>
      <c r="V104" s="47"/>
      <c r="W104" s="47"/>
      <c r="X104" s="47"/>
      <c r="Y104" s="48"/>
      <c r="Z104" s="75">
        <f>SUM(N104:Y104)</f>
        <v>0</v>
      </c>
      <c r="AA104" s="251">
        <f t="shared" ref="AA104:AA113" si="66">L104-Z104</f>
        <v>0</v>
      </c>
      <c r="AC104" s="83"/>
      <c r="AD104" s="167">
        <f t="shared" ref="AD104:AD113" si="67">I104</f>
        <v>0</v>
      </c>
      <c r="AE104" s="111">
        <f t="shared" ref="AE104:AE113" si="68">J104</f>
        <v>0</v>
      </c>
      <c r="AF104" s="103"/>
      <c r="AG104" s="139">
        <f t="shared" si="65"/>
        <v>0</v>
      </c>
      <c r="AH104" s="111">
        <f t="shared" ref="AH104:AH113" si="69">L104</f>
        <v>0</v>
      </c>
      <c r="AI104" s="199"/>
      <c r="AJ104" s="88"/>
      <c r="AK104" s="111">
        <f t="shared" si="7"/>
        <v>0</v>
      </c>
      <c r="AL104" s="111"/>
      <c r="AM104" s="101">
        <f t="shared" si="8"/>
        <v>0</v>
      </c>
    </row>
    <row r="105" spans="1:39" s="112" customFormat="1" ht="87.75" customHeight="1">
      <c r="A105" s="375" t="s">
        <v>104</v>
      </c>
      <c r="B105" s="92">
        <f t="shared" si="54"/>
        <v>4000000</v>
      </c>
      <c r="C105" s="374" t="s">
        <v>78</v>
      </c>
      <c r="D105" s="374" t="s">
        <v>79</v>
      </c>
      <c r="E105" s="374" t="s">
        <v>99</v>
      </c>
      <c r="F105" s="374" t="s">
        <v>105</v>
      </c>
      <c r="G105" s="374" t="s">
        <v>100</v>
      </c>
      <c r="H105" s="69">
        <v>295</v>
      </c>
      <c r="I105" s="67">
        <v>257</v>
      </c>
      <c r="J105" s="68">
        <v>4000000</v>
      </c>
      <c r="K105" s="68">
        <v>443</v>
      </c>
      <c r="L105" s="68">
        <f>4000000</f>
        <v>4000000</v>
      </c>
      <c r="M105" s="63">
        <v>210</v>
      </c>
      <c r="N105" s="74"/>
      <c r="O105" s="47"/>
      <c r="P105" s="47"/>
      <c r="Q105" s="47"/>
      <c r="R105" s="47"/>
      <c r="S105" s="68">
        <f>4000000</f>
        <v>4000000</v>
      </c>
      <c r="T105" s="47"/>
      <c r="U105" s="47"/>
      <c r="V105" s="47"/>
      <c r="W105" s="47"/>
      <c r="X105" s="47"/>
      <c r="Y105" s="48"/>
      <c r="Z105" s="75">
        <f>SUM(N105:Y105)</f>
        <v>4000000</v>
      </c>
      <c r="AA105" s="251">
        <f t="shared" si="66"/>
        <v>0</v>
      </c>
      <c r="AC105" s="84" t="s">
        <v>550</v>
      </c>
      <c r="AD105" s="167">
        <f t="shared" si="67"/>
        <v>257</v>
      </c>
      <c r="AE105" s="111">
        <f t="shared" si="68"/>
        <v>4000000</v>
      </c>
      <c r="AF105" s="103">
        <v>42825</v>
      </c>
      <c r="AG105" s="139">
        <f t="shared" si="65"/>
        <v>443</v>
      </c>
      <c r="AH105" s="111">
        <f t="shared" si="69"/>
        <v>4000000</v>
      </c>
      <c r="AI105" s="199">
        <v>42849</v>
      </c>
      <c r="AJ105" s="89" t="s">
        <v>597</v>
      </c>
      <c r="AK105" s="111">
        <f t="shared" si="7"/>
        <v>210</v>
      </c>
      <c r="AL105" s="111">
        <v>79686764</v>
      </c>
      <c r="AM105" s="101">
        <f t="shared" si="8"/>
        <v>0</v>
      </c>
    </row>
    <row r="106" spans="1:39" s="112" customFormat="1" ht="76.5">
      <c r="A106" s="375" t="s">
        <v>104</v>
      </c>
      <c r="B106" s="92">
        <f t="shared" si="54"/>
        <v>52160022</v>
      </c>
      <c r="C106" s="374" t="s">
        <v>78</v>
      </c>
      <c r="D106" s="374" t="s">
        <v>79</v>
      </c>
      <c r="E106" s="374" t="s">
        <v>99</v>
      </c>
      <c r="F106" s="374" t="s">
        <v>105</v>
      </c>
      <c r="G106" s="374" t="s">
        <v>100</v>
      </c>
      <c r="H106" s="69">
        <v>81</v>
      </c>
      <c r="I106" s="67">
        <v>322</v>
      </c>
      <c r="J106" s="62">
        <f>52160022</f>
        <v>52160022</v>
      </c>
      <c r="K106" s="62">
        <v>679</v>
      </c>
      <c r="L106" s="62">
        <f>52160022</f>
        <v>52160022</v>
      </c>
      <c r="M106" s="63">
        <v>284</v>
      </c>
      <c r="N106" s="76"/>
      <c r="O106" s="51"/>
      <c r="P106" s="51"/>
      <c r="Q106" s="51"/>
      <c r="R106" s="51"/>
      <c r="S106" s="51"/>
      <c r="T106" s="51"/>
      <c r="U106" s="51"/>
      <c r="V106" s="51"/>
      <c r="W106" s="51"/>
      <c r="X106" s="51"/>
      <c r="Y106" s="79">
        <f>30185000</f>
        <v>30185000</v>
      </c>
      <c r="Z106" s="75">
        <f t="shared" ref="Z106:Z113" si="70">SUM(N106:Y106)</f>
        <v>30185000</v>
      </c>
      <c r="AA106" s="251">
        <f t="shared" si="66"/>
        <v>21975022</v>
      </c>
      <c r="AC106" s="84" t="s">
        <v>651</v>
      </c>
      <c r="AD106" s="167">
        <f t="shared" si="67"/>
        <v>322</v>
      </c>
      <c r="AE106" s="111">
        <f t="shared" si="68"/>
        <v>52160022</v>
      </c>
      <c r="AF106" s="103">
        <v>42872</v>
      </c>
      <c r="AG106" s="139">
        <f t="shared" si="65"/>
        <v>679</v>
      </c>
      <c r="AH106" s="111">
        <f t="shared" si="69"/>
        <v>52160022</v>
      </c>
      <c r="AI106" s="199"/>
      <c r="AJ106" s="89"/>
      <c r="AK106" s="111">
        <f t="shared" ref="AK106:AK113" si="71">M106</f>
        <v>284</v>
      </c>
      <c r="AL106" s="111"/>
      <c r="AM106" s="101">
        <f t="shared" ref="AM106:AM113" si="72">AE106-AH106</f>
        <v>0</v>
      </c>
    </row>
    <row r="107" spans="1:39" s="112" customFormat="1" ht="76.5">
      <c r="A107" s="375" t="s">
        <v>104</v>
      </c>
      <c r="B107" s="92">
        <f t="shared" si="54"/>
        <v>149665212</v>
      </c>
      <c r="C107" s="374" t="s">
        <v>78</v>
      </c>
      <c r="D107" s="374" t="s">
        <v>79</v>
      </c>
      <c r="E107" s="374" t="s">
        <v>99</v>
      </c>
      <c r="F107" s="374" t="s">
        <v>105</v>
      </c>
      <c r="G107" s="374" t="s">
        <v>100</v>
      </c>
      <c r="H107" s="69">
        <v>357</v>
      </c>
      <c r="I107" s="67">
        <v>345</v>
      </c>
      <c r="J107" s="62">
        <f>149665212</f>
        <v>149665212</v>
      </c>
      <c r="K107" s="62">
        <v>558</v>
      </c>
      <c r="L107" s="62">
        <f>149665212</f>
        <v>149665212</v>
      </c>
      <c r="M107" s="63">
        <v>247</v>
      </c>
      <c r="N107" s="76"/>
      <c r="O107" s="51"/>
      <c r="P107" s="51"/>
      <c r="Q107" s="51"/>
      <c r="R107" s="51"/>
      <c r="S107" s="51"/>
      <c r="T107" s="51"/>
      <c r="U107" s="51"/>
      <c r="V107" s="51"/>
      <c r="W107" s="51"/>
      <c r="X107" s="51"/>
      <c r="Y107" s="79">
        <f>58380513</f>
        <v>58380513</v>
      </c>
      <c r="Z107" s="75">
        <f t="shared" si="70"/>
        <v>58380513</v>
      </c>
      <c r="AA107" s="251">
        <f t="shared" si="66"/>
        <v>91284699</v>
      </c>
      <c r="AC107" s="84" t="s">
        <v>649</v>
      </c>
      <c r="AD107" s="167">
        <f t="shared" si="67"/>
        <v>345</v>
      </c>
      <c r="AE107" s="111">
        <f t="shared" si="68"/>
        <v>149665212</v>
      </c>
      <c r="AF107" s="103">
        <v>42893</v>
      </c>
      <c r="AG107" s="139">
        <f t="shared" si="65"/>
        <v>558</v>
      </c>
      <c r="AH107" s="111">
        <f t="shared" si="69"/>
        <v>149665212</v>
      </c>
      <c r="AI107" s="369">
        <v>42899</v>
      </c>
      <c r="AJ107" s="130" t="s">
        <v>693</v>
      </c>
      <c r="AK107" s="111">
        <f t="shared" si="71"/>
        <v>247</v>
      </c>
      <c r="AL107" s="111"/>
      <c r="AM107" s="101">
        <f t="shared" si="72"/>
        <v>0</v>
      </c>
    </row>
    <row r="108" spans="1:39" s="112" customFormat="1" ht="76.5">
      <c r="A108" s="375" t="s">
        <v>104</v>
      </c>
      <c r="B108" s="92">
        <f t="shared" si="54"/>
        <v>177000</v>
      </c>
      <c r="C108" s="374" t="s">
        <v>78</v>
      </c>
      <c r="D108" s="374" t="s">
        <v>79</v>
      </c>
      <c r="E108" s="374" t="s">
        <v>99</v>
      </c>
      <c r="F108" s="374" t="s">
        <v>105</v>
      </c>
      <c r="G108" s="374" t="s">
        <v>100</v>
      </c>
      <c r="H108" s="69"/>
      <c r="I108" s="67">
        <v>467</v>
      </c>
      <c r="J108" s="62">
        <f>177000</f>
        <v>177000</v>
      </c>
      <c r="K108" s="62">
        <v>781</v>
      </c>
      <c r="L108" s="62">
        <f>177000</f>
        <v>177000</v>
      </c>
      <c r="M108" s="63">
        <v>4409</v>
      </c>
      <c r="N108" s="76"/>
      <c r="O108" s="51"/>
      <c r="P108" s="51"/>
      <c r="Q108" s="51"/>
      <c r="R108" s="51"/>
      <c r="S108" s="51"/>
      <c r="T108" s="51"/>
      <c r="U108" s="51"/>
      <c r="V108" s="62">
        <f>177000</f>
        <v>177000</v>
      </c>
      <c r="W108" s="51"/>
      <c r="X108" s="51"/>
      <c r="Y108" s="77"/>
      <c r="Z108" s="75">
        <f t="shared" si="70"/>
        <v>177000</v>
      </c>
      <c r="AA108" s="251">
        <f t="shared" si="66"/>
        <v>0</v>
      </c>
      <c r="AC108" s="84" t="s">
        <v>741</v>
      </c>
      <c r="AD108" s="167">
        <f t="shared" si="67"/>
        <v>467</v>
      </c>
      <c r="AE108" s="111">
        <f t="shared" si="68"/>
        <v>177000</v>
      </c>
      <c r="AF108" s="103">
        <v>42989</v>
      </c>
      <c r="AG108" s="139">
        <f t="shared" si="65"/>
        <v>781</v>
      </c>
      <c r="AH108" s="111">
        <f t="shared" si="69"/>
        <v>177000</v>
      </c>
      <c r="AI108" s="199"/>
      <c r="AJ108" s="89"/>
      <c r="AK108" s="111">
        <f t="shared" si="71"/>
        <v>4409</v>
      </c>
      <c r="AL108" s="111"/>
      <c r="AM108" s="101">
        <f t="shared" si="72"/>
        <v>0</v>
      </c>
    </row>
    <row r="109" spans="1:39" s="112" customFormat="1" ht="76.5">
      <c r="A109" s="375" t="s">
        <v>104</v>
      </c>
      <c r="B109" s="92">
        <f t="shared" si="54"/>
        <v>5142750</v>
      </c>
      <c r="C109" s="374" t="s">
        <v>78</v>
      </c>
      <c r="D109" s="374" t="s">
        <v>79</v>
      </c>
      <c r="E109" s="374" t="s">
        <v>99</v>
      </c>
      <c r="F109" s="374" t="s">
        <v>105</v>
      </c>
      <c r="G109" s="374" t="s">
        <v>100</v>
      </c>
      <c r="H109" s="69">
        <v>384</v>
      </c>
      <c r="I109" s="67">
        <v>475</v>
      </c>
      <c r="J109" s="62">
        <f>11999750-6857000</f>
        <v>5142750</v>
      </c>
      <c r="K109" s="62">
        <v>835</v>
      </c>
      <c r="L109" s="62">
        <v>5142750</v>
      </c>
      <c r="M109" s="63">
        <v>316</v>
      </c>
      <c r="N109" s="76"/>
      <c r="O109" s="51"/>
      <c r="P109" s="51"/>
      <c r="Q109" s="51"/>
      <c r="R109" s="51"/>
      <c r="S109" s="51"/>
      <c r="T109" s="51"/>
      <c r="U109" s="51"/>
      <c r="V109" s="51"/>
      <c r="W109" s="51"/>
      <c r="X109" s="62">
        <v>5142750</v>
      </c>
      <c r="Y109" s="79"/>
      <c r="Z109" s="75">
        <f t="shared" si="70"/>
        <v>5142750</v>
      </c>
      <c r="AA109" s="251">
        <f t="shared" si="66"/>
        <v>0</v>
      </c>
      <c r="AC109" s="84" t="s">
        <v>763</v>
      </c>
      <c r="AD109" s="167">
        <f t="shared" si="67"/>
        <v>475</v>
      </c>
      <c r="AE109" s="111">
        <f t="shared" si="68"/>
        <v>5142750</v>
      </c>
      <c r="AF109" s="103">
        <v>42999</v>
      </c>
      <c r="AG109" s="139">
        <f t="shared" si="65"/>
        <v>835</v>
      </c>
      <c r="AH109" s="111">
        <f t="shared" si="69"/>
        <v>5142750</v>
      </c>
      <c r="AI109" s="199">
        <v>43012</v>
      </c>
      <c r="AJ109" s="89" t="s">
        <v>833</v>
      </c>
      <c r="AK109" s="111">
        <f t="shared" si="71"/>
        <v>316</v>
      </c>
      <c r="AL109" s="111"/>
      <c r="AM109" s="101">
        <f t="shared" si="72"/>
        <v>0</v>
      </c>
    </row>
    <row r="110" spans="1:39" s="112" customFormat="1" ht="76.5">
      <c r="A110" s="375" t="s">
        <v>104</v>
      </c>
      <c r="B110" s="92">
        <f t="shared" si="54"/>
        <v>177000</v>
      </c>
      <c r="C110" s="374" t="s">
        <v>78</v>
      </c>
      <c r="D110" s="374" t="s">
        <v>79</v>
      </c>
      <c r="E110" s="374" t="s">
        <v>99</v>
      </c>
      <c r="F110" s="374" t="s">
        <v>105</v>
      </c>
      <c r="G110" s="374" t="s">
        <v>100</v>
      </c>
      <c r="H110" s="69"/>
      <c r="I110" s="67">
        <v>595</v>
      </c>
      <c r="J110" s="62">
        <f>177000</f>
        <v>177000</v>
      </c>
      <c r="K110" s="62">
        <v>944</v>
      </c>
      <c r="L110" s="62">
        <f>177000</f>
        <v>177000</v>
      </c>
      <c r="M110" s="63">
        <v>5512</v>
      </c>
      <c r="N110" s="76"/>
      <c r="O110" s="51"/>
      <c r="P110" s="51"/>
      <c r="Q110" s="51"/>
      <c r="R110" s="51"/>
      <c r="S110" s="51"/>
      <c r="T110" s="51"/>
      <c r="U110" s="51"/>
      <c r="V110" s="51"/>
      <c r="W110" s="51"/>
      <c r="X110" s="62">
        <f>177000</f>
        <v>177000</v>
      </c>
      <c r="Y110" s="77"/>
      <c r="Z110" s="75">
        <f t="shared" si="70"/>
        <v>177000</v>
      </c>
      <c r="AA110" s="251">
        <f t="shared" si="66"/>
        <v>0</v>
      </c>
      <c r="AC110" s="84" t="s">
        <v>864</v>
      </c>
      <c r="AD110" s="167">
        <f t="shared" si="67"/>
        <v>595</v>
      </c>
      <c r="AE110" s="111">
        <f t="shared" si="68"/>
        <v>177000</v>
      </c>
      <c r="AF110" s="103">
        <v>43053</v>
      </c>
      <c r="AG110" s="139">
        <f t="shared" si="65"/>
        <v>944</v>
      </c>
      <c r="AH110" s="111">
        <f t="shared" si="69"/>
        <v>177000</v>
      </c>
      <c r="AI110" s="199">
        <v>43053</v>
      </c>
      <c r="AJ110" s="89" t="s">
        <v>594</v>
      </c>
      <c r="AK110" s="111">
        <f t="shared" si="71"/>
        <v>5512</v>
      </c>
      <c r="AL110" s="111"/>
      <c r="AM110" s="101">
        <f t="shared" si="72"/>
        <v>0</v>
      </c>
    </row>
    <row r="111" spans="1:39" s="112" customFormat="1" ht="76.5">
      <c r="A111" s="375" t="s">
        <v>104</v>
      </c>
      <c r="B111" s="92">
        <f>J111</f>
        <v>177000</v>
      </c>
      <c r="C111" s="374" t="s">
        <v>78</v>
      </c>
      <c r="D111" s="374" t="s">
        <v>101</v>
      </c>
      <c r="E111" s="374" t="s">
        <v>99</v>
      </c>
      <c r="F111" s="374" t="s">
        <v>105</v>
      </c>
      <c r="G111" s="374" t="s">
        <v>100</v>
      </c>
      <c r="H111" s="64">
        <v>395</v>
      </c>
      <c r="I111" s="61">
        <v>423</v>
      </c>
      <c r="J111" s="62">
        <f>177000</f>
        <v>177000</v>
      </c>
      <c r="K111" s="62">
        <v>705</v>
      </c>
      <c r="L111" s="62">
        <v>177000</v>
      </c>
      <c r="M111" s="63">
        <v>3910</v>
      </c>
      <c r="N111" s="72"/>
      <c r="O111" s="62"/>
      <c r="P111" s="62"/>
      <c r="Q111" s="62"/>
      <c r="R111" s="62"/>
      <c r="S111" s="62"/>
      <c r="T111" s="62"/>
      <c r="U111" s="62">
        <v>177000</v>
      </c>
      <c r="V111" s="62"/>
      <c r="W111" s="62"/>
      <c r="X111" s="62"/>
      <c r="Y111" s="95"/>
      <c r="Z111" s="176">
        <f>SUM(N111:Y111)</f>
        <v>177000</v>
      </c>
      <c r="AA111" s="251">
        <f t="shared" si="66"/>
        <v>0</v>
      </c>
      <c r="AC111" s="84" t="s">
        <v>698</v>
      </c>
      <c r="AD111" s="167">
        <f t="shared" si="67"/>
        <v>423</v>
      </c>
      <c r="AE111" s="110">
        <f t="shared" si="68"/>
        <v>177000</v>
      </c>
      <c r="AF111" s="103">
        <v>42962</v>
      </c>
      <c r="AG111" s="139">
        <f t="shared" si="65"/>
        <v>705</v>
      </c>
      <c r="AH111" s="111">
        <f t="shared" si="69"/>
        <v>177000</v>
      </c>
      <c r="AI111" s="199"/>
      <c r="AJ111" s="89"/>
      <c r="AK111" s="111">
        <f>M111</f>
        <v>3910</v>
      </c>
      <c r="AL111" s="111"/>
      <c r="AM111" s="101">
        <f>AE111-AH111</f>
        <v>0</v>
      </c>
    </row>
    <row r="112" spans="1:39" s="112" customFormat="1" ht="89.25">
      <c r="A112" s="375" t="s">
        <v>104</v>
      </c>
      <c r="B112" s="92">
        <f>J112</f>
        <v>177000</v>
      </c>
      <c r="C112" s="374" t="s">
        <v>78</v>
      </c>
      <c r="D112" s="374" t="s">
        <v>101</v>
      </c>
      <c r="E112" s="374" t="s">
        <v>99</v>
      </c>
      <c r="F112" s="374" t="s">
        <v>105</v>
      </c>
      <c r="G112" s="374" t="s">
        <v>100</v>
      </c>
      <c r="H112" s="64"/>
      <c r="I112" s="61">
        <v>543</v>
      </c>
      <c r="J112" s="62">
        <v>177000</v>
      </c>
      <c r="K112" s="62">
        <v>863</v>
      </c>
      <c r="L112" s="62">
        <v>177000</v>
      </c>
      <c r="M112" s="63">
        <v>5097</v>
      </c>
      <c r="N112" s="72"/>
      <c r="O112" s="62"/>
      <c r="P112" s="62"/>
      <c r="Q112" s="62"/>
      <c r="R112" s="62"/>
      <c r="S112" s="62"/>
      <c r="T112" s="62"/>
      <c r="U112" s="62"/>
      <c r="V112" s="62"/>
      <c r="W112" s="62">
        <f>177000</f>
        <v>177000</v>
      </c>
      <c r="X112" s="62"/>
      <c r="Y112" s="95"/>
      <c r="Z112" s="176">
        <f>SUM(N112:Y112)</f>
        <v>177000</v>
      </c>
      <c r="AA112" s="251">
        <f t="shared" si="66"/>
        <v>0</v>
      </c>
      <c r="AC112" s="84" t="s">
        <v>838</v>
      </c>
      <c r="AD112" s="167">
        <f t="shared" si="67"/>
        <v>543</v>
      </c>
      <c r="AE112" s="110">
        <f t="shared" si="68"/>
        <v>177000</v>
      </c>
      <c r="AF112" s="103"/>
      <c r="AG112" s="139">
        <f t="shared" si="65"/>
        <v>863</v>
      </c>
      <c r="AH112" s="111">
        <f t="shared" si="69"/>
        <v>177000</v>
      </c>
      <c r="AI112" s="199">
        <v>43026</v>
      </c>
      <c r="AJ112" s="89" t="s">
        <v>837</v>
      </c>
      <c r="AK112" s="111">
        <f>M112</f>
        <v>5097</v>
      </c>
      <c r="AL112" s="111"/>
      <c r="AM112" s="101">
        <f>AE112-AH112</f>
        <v>0</v>
      </c>
    </row>
    <row r="113" spans="1:39" s="112" customFormat="1" ht="76.5">
      <c r="A113" s="375" t="s">
        <v>104</v>
      </c>
      <c r="B113" s="92">
        <f t="shared" si="54"/>
        <v>0</v>
      </c>
      <c r="C113" s="374" t="s">
        <v>78</v>
      </c>
      <c r="D113" s="374" t="s">
        <v>79</v>
      </c>
      <c r="E113" s="374" t="s">
        <v>99</v>
      </c>
      <c r="F113" s="374" t="s">
        <v>105</v>
      </c>
      <c r="G113" s="374" t="s">
        <v>100</v>
      </c>
      <c r="H113" s="69"/>
      <c r="I113" s="67"/>
      <c r="J113" s="62"/>
      <c r="K113" s="62"/>
      <c r="L113" s="62"/>
      <c r="M113" s="63"/>
      <c r="N113" s="76"/>
      <c r="O113" s="51"/>
      <c r="P113" s="51"/>
      <c r="Q113" s="51"/>
      <c r="R113" s="51"/>
      <c r="S113" s="51"/>
      <c r="T113" s="51"/>
      <c r="U113" s="51"/>
      <c r="V113" s="51"/>
      <c r="W113" s="51"/>
      <c r="X113" s="51"/>
      <c r="Y113" s="77"/>
      <c r="Z113" s="75">
        <f t="shared" si="70"/>
        <v>0</v>
      </c>
      <c r="AA113" s="251">
        <f t="shared" si="66"/>
        <v>0</v>
      </c>
      <c r="AC113" s="84"/>
      <c r="AD113" s="167">
        <f t="shared" si="67"/>
        <v>0</v>
      </c>
      <c r="AE113" s="111">
        <f t="shared" si="68"/>
        <v>0</v>
      </c>
      <c r="AF113" s="103"/>
      <c r="AG113" s="139">
        <f t="shared" si="65"/>
        <v>0</v>
      </c>
      <c r="AH113" s="111">
        <f t="shared" si="69"/>
        <v>0</v>
      </c>
      <c r="AI113" s="199"/>
      <c r="AJ113" s="89"/>
      <c r="AK113" s="111">
        <f t="shared" si="71"/>
        <v>0</v>
      </c>
      <c r="AL113" s="111"/>
      <c r="AM113" s="101">
        <f t="shared" si="72"/>
        <v>0</v>
      </c>
    </row>
    <row r="114" spans="1:39" s="116" customFormat="1">
      <c r="A114" s="255" t="s">
        <v>132</v>
      </c>
      <c r="B114" s="99">
        <f>B104-B105-B106-B107-B108-B109-B110-B111-B112-B113</f>
        <v>0</v>
      </c>
      <c r="C114" s="54"/>
      <c r="D114" s="54"/>
      <c r="E114" s="54"/>
      <c r="F114" s="54"/>
      <c r="G114" s="377"/>
      <c r="H114" s="378"/>
      <c r="I114" s="47"/>
      <c r="J114" s="51">
        <f>SUM(J104:J113)</f>
        <v>211675984</v>
      </c>
      <c r="K114" s="51"/>
      <c r="L114" s="51">
        <f>SUM(L104:L113)</f>
        <v>211675984</v>
      </c>
      <c r="M114" s="48"/>
      <c r="N114" s="51">
        <f t="shared" ref="N114:AA114" si="73">SUM(N104:N113)</f>
        <v>0</v>
      </c>
      <c r="O114" s="51">
        <f t="shared" si="73"/>
        <v>0</v>
      </c>
      <c r="P114" s="51">
        <f t="shared" si="73"/>
        <v>0</v>
      </c>
      <c r="Q114" s="51">
        <f t="shared" si="73"/>
        <v>0</v>
      </c>
      <c r="R114" s="51">
        <f t="shared" si="73"/>
        <v>0</v>
      </c>
      <c r="S114" s="51">
        <f t="shared" si="73"/>
        <v>4000000</v>
      </c>
      <c r="T114" s="51">
        <f t="shared" si="73"/>
        <v>0</v>
      </c>
      <c r="U114" s="51">
        <f t="shared" si="73"/>
        <v>177000</v>
      </c>
      <c r="V114" s="51">
        <f t="shared" si="73"/>
        <v>177000</v>
      </c>
      <c r="W114" s="51">
        <f t="shared" si="73"/>
        <v>177000</v>
      </c>
      <c r="X114" s="51">
        <f>SUM(X104:X113)</f>
        <v>5319750</v>
      </c>
      <c r="Y114" s="51">
        <f t="shared" si="73"/>
        <v>88565513</v>
      </c>
      <c r="Z114" s="51">
        <f>SUM(Z104:Z113)</f>
        <v>98416263</v>
      </c>
      <c r="AA114" s="256">
        <f t="shared" si="73"/>
        <v>113259721</v>
      </c>
      <c r="AC114" s="200"/>
      <c r="AD114" s="200">
        <f>I114</f>
        <v>0</v>
      </c>
      <c r="AE114" s="51">
        <f>SUM(AE104:AE113)</f>
        <v>211675984</v>
      </c>
      <c r="AF114" s="379"/>
      <c r="AG114" s="137">
        <f t="shared" si="65"/>
        <v>0</v>
      </c>
      <c r="AH114" s="51">
        <f>SUM(AH104:AH113)</f>
        <v>211675984</v>
      </c>
      <c r="AI114" s="376"/>
      <c r="AJ114" s="44"/>
      <c r="AK114" s="101">
        <f t="shared" si="7"/>
        <v>0</v>
      </c>
      <c r="AL114" s="101"/>
      <c r="AM114" s="51">
        <f>SUM(AM104:AM113)</f>
        <v>0</v>
      </c>
    </row>
    <row r="115" spans="1:39" s="112" customFormat="1">
      <c r="A115" s="252"/>
      <c r="B115" s="45"/>
      <c r="C115" s="44"/>
      <c r="D115" s="44"/>
      <c r="E115" s="44"/>
      <c r="F115" s="44"/>
      <c r="G115" s="49"/>
      <c r="H115" s="66"/>
      <c r="I115" s="46"/>
      <c r="J115" s="47"/>
      <c r="K115" s="47"/>
      <c r="L115" s="47"/>
      <c r="M115" s="48"/>
      <c r="N115" s="74"/>
      <c r="O115" s="47"/>
      <c r="P115" s="47"/>
      <c r="Q115" s="47"/>
      <c r="R115" s="47"/>
      <c r="S115" s="47"/>
      <c r="T115" s="47"/>
      <c r="U115" s="47"/>
      <c r="V115" s="47"/>
      <c r="W115" s="47"/>
      <c r="X115" s="47"/>
      <c r="Y115" s="48"/>
      <c r="Z115" s="75"/>
      <c r="AA115" s="251"/>
      <c r="AC115" s="111"/>
      <c r="AD115" s="167"/>
      <c r="AE115" s="111"/>
      <c r="AF115" s="103"/>
      <c r="AG115" s="139"/>
      <c r="AH115" s="111"/>
      <c r="AI115" s="199"/>
      <c r="AJ115" s="89"/>
      <c r="AK115" s="111"/>
      <c r="AL115" s="111"/>
      <c r="AM115" s="101"/>
    </row>
    <row r="116" spans="1:39" s="116" customFormat="1">
      <c r="A116" s="380" t="s">
        <v>135</v>
      </c>
      <c r="B116" s="381">
        <f>B16+B65+B72+B104</f>
        <v>4440421834</v>
      </c>
      <c r="C116" s="381"/>
      <c r="D116" s="382"/>
      <c r="E116" s="381"/>
      <c r="F116" s="381"/>
      <c r="G116" s="383"/>
      <c r="H116" s="382"/>
      <c r="I116" s="381"/>
      <c r="J116" s="384">
        <f>J64+J71+J103+J114</f>
        <v>4440421834</v>
      </c>
      <c r="K116" s="385"/>
      <c r="L116" s="384">
        <f>L64+L71+L103+L114</f>
        <v>4440421834</v>
      </c>
      <c r="M116" s="386"/>
      <c r="N116" s="387">
        <f t="shared" ref="N116:AA116" si="74">N64+N71+N103+N114</f>
        <v>0</v>
      </c>
      <c r="O116" s="384">
        <f t="shared" si="74"/>
        <v>0</v>
      </c>
      <c r="P116" s="384">
        <f t="shared" si="74"/>
        <v>152629289</v>
      </c>
      <c r="Q116" s="384">
        <f t="shared" si="74"/>
        <v>180815950</v>
      </c>
      <c r="R116" s="384">
        <f t="shared" si="74"/>
        <v>228039774</v>
      </c>
      <c r="S116" s="384">
        <f t="shared" si="74"/>
        <v>266393419</v>
      </c>
      <c r="T116" s="384">
        <f t="shared" si="74"/>
        <v>262213885</v>
      </c>
      <c r="U116" s="384">
        <f t="shared" si="74"/>
        <v>524656593</v>
      </c>
      <c r="V116" s="384">
        <f t="shared" si="74"/>
        <v>243534977</v>
      </c>
      <c r="W116" s="384">
        <f t="shared" si="74"/>
        <v>387907858</v>
      </c>
      <c r="X116" s="384">
        <f t="shared" si="74"/>
        <v>319692854</v>
      </c>
      <c r="Y116" s="384">
        <f t="shared" si="74"/>
        <v>982924388</v>
      </c>
      <c r="Z116" s="384">
        <f t="shared" si="74"/>
        <v>3548808987</v>
      </c>
      <c r="AA116" s="388">
        <f t="shared" si="74"/>
        <v>891612847</v>
      </c>
      <c r="AC116" s="111"/>
      <c r="AD116" s="111"/>
      <c r="AE116" s="384">
        <f>AE64+AE71+AE103+AE114</f>
        <v>4341426671</v>
      </c>
      <c r="AF116" s="103"/>
      <c r="AG116" s="139"/>
      <c r="AH116" s="384">
        <f ca="1">AH64+AH71+AH103+AH114</f>
        <v>3922771394</v>
      </c>
      <c r="AI116" s="199"/>
      <c r="AJ116" s="89"/>
      <c r="AK116" s="111"/>
      <c r="AL116" s="111"/>
      <c r="AM116" s="384">
        <f ca="1">AM64+AM71+AM103+AM114</f>
        <v>52044577</v>
      </c>
    </row>
    <row r="117" spans="1:39" s="112" customFormat="1" hidden="1">
      <c r="A117" s="273"/>
      <c r="B117" s="59"/>
      <c r="C117" s="59"/>
      <c r="D117" s="59"/>
      <c r="E117" s="59"/>
      <c r="F117" s="59"/>
      <c r="G117" s="59"/>
      <c r="H117" s="71"/>
      <c r="I117" s="59"/>
      <c r="J117" s="274"/>
      <c r="K117" s="275"/>
      <c r="L117" s="274"/>
      <c r="M117" s="275"/>
      <c r="N117" s="276"/>
      <c r="O117" s="276"/>
      <c r="P117" s="276"/>
      <c r="Q117" s="276"/>
      <c r="R117" s="276"/>
      <c r="S117" s="276"/>
      <c r="T117" s="276"/>
      <c r="U117" s="276"/>
      <c r="V117" s="276"/>
      <c r="W117" s="276"/>
      <c r="X117" s="276"/>
      <c r="Y117" s="276"/>
      <c r="Z117" s="277"/>
      <c r="AA117" s="278"/>
      <c r="AF117" s="343"/>
      <c r="AG117" s="344"/>
      <c r="AI117" s="345"/>
      <c r="AJ117" s="130"/>
      <c r="AL117" s="116"/>
      <c r="AM117" s="346"/>
    </row>
    <row r="118" spans="1:39" s="112" customFormat="1" hidden="1">
      <c r="A118" s="273"/>
      <c r="B118" s="59"/>
      <c r="C118" s="59"/>
      <c r="D118" s="59"/>
      <c r="E118" s="59"/>
      <c r="F118" s="59"/>
      <c r="G118" s="59"/>
      <c r="H118" s="71"/>
      <c r="I118" s="59"/>
      <c r="J118" s="274"/>
      <c r="K118" s="275"/>
      <c r="L118" s="274"/>
      <c r="M118" s="275"/>
      <c r="N118" s="276"/>
      <c r="O118" s="276"/>
      <c r="P118" s="276"/>
      <c r="Q118" s="276"/>
      <c r="R118" s="276"/>
      <c r="S118" s="276"/>
      <c r="T118" s="276"/>
      <c r="U118" s="276"/>
      <c r="V118" s="276"/>
      <c r="W118" s="276"/>
      <c r="X118" s="276"/>
      <c r="Y118" s="276"/>
      <c r="Z118" s="277"/>
      <c r="AA118" s="278"/>
      <c r="AF118" s="343"/>
      <c r="AG118" s="344"/>
      <c r="AI118" s="345"/>
      <c r="AJ118" s="130"/>
      <c r="AL118" s="116"/>
      <c r="AM118" s="346"/>
    </row>
    <row r="119" spans="1:39" s="112" customFormat="1">
      <c r="A119" s="273"/>
      <c r="B119" s="59"/>
      <c r="C119" s="59"/>
      <c r="D119" s="59"/>
      <c r="E119" s="59"/>
      <c r="F119" s="59"/>
      <c r="G119" s="59"/>
      <c r="H119" s="71"/>
      <c r="I119" s="59"/>
      <c r="J119" s="274"/>
      <c r="K119" s="275"/>
      <c r="L119" s="274">
        <f>11999750+L109</f>
        <v>17142500</v>
      </c>
      <c r="M119" s="275"/>
      <c r="N119" s="276"/>
      <c r="O119" s="276"/>
      <c r="P119" s="276"/>
      <c r="Q119" s="276"/>
      <c r="R119" s="276"/>
      <c r="S119" s="276"/>
      <c r="T119" s="276"/>
      <c r="U119" s="276"/>
      <c r="V119" s="276"/>
      <c r="W119" s="276"/>
      <c r="X119" s="276"/>
      <c r="Y119" s="276"/>
      <c r="Z119" s="277"/>
      <c r="AA119" s="278"/>
      <c r="AF119" s="343"/>
      <c r="AG119" s="344"/>
      <c r="AI119" s="345"/>
      <c r="AJ119" s="130"/>
      <c r="AL119" s="116"/>
      <c r="AM119" s="346"/>
    </row>
    <row r="120" spans="1:39" s="112" customFormat="1">
      <c r="A120" s="273"/>
      <c r="B120" s="59"/>
      <c r="C120" s="59"/>
      <c r="D120" s="59"/>
      <c r="E120" s="59"/>
      <c r="F120" s="59"/>
      <c r="G120" s="59"/>
      <c r="H120" s="389" t="s">
        <v>225</v>
      </c>
      <c r="I120" s="59"/>
      <c r="J120" s="274"/>
      <c r="K120" s="275"/>
      <c r="L120" s="274"/>
      <c r="M120" s="275"/>
      <c r="N120" s="276"/>
      <c r="O120" s="276"/>
      <c r="P120" s="276"/>
      <c r="Q120" s="276"/>
      <c r="R120" s="276"/>
      <c r="S120" s="276"/>
      <c r="T120" s="276"/>
      <c r="U120" s="276"/>
      <c r="V120" s="276"/>
      <c r="W120" s="276"/>
      <c r="X120" s="276"/>
      <c r="Y120" s="276"/>
      <c r="Z120" s="277"/>
      <c r="AA120" s="278"/>
      <c r="AF120" s="343"/>
      <c r="AG120" s="344"/>
      <c r="AI120" s="345"/>
      <c r="AJ120" s="130"/>
      <c r="AL120" s="116"/>
      <c r="AM120" s="346"/>
    </row>
    <row r="121" spans="1:39" s="291" customFormat="1" ht="14.25" customHeight="1">
      <c r="A121" s="280" t="s">
        <v>58</v>
      </c>
      <c r="B121" s="81" t="s">
        <v>0</v>
      </c>
      <c r="C121" s="282"/>
      <c r="D121" s="282"/>
      <c r="E121" s="282"/>
      <c r="F121" s="282"/>
      <c r="G121" s="282">
        <f>J122+J120</f>
        <v>0</v>
      </c>
      <c r="H121" s="283" t="s">
        <v>199</v>
      </c>
      <c r="I121" s="81"/>
      <c r="J121" s="90">
        <f>4440421834</f>
        <v>4440421834</v>
      </c>
      <c r="K121" s="81"/>
      <c r="L121" s="90">
        <f>4440421834</f>
        <v>4440421834</v>
      </c>
      <c r="M121" s="82"/>
      <c r="N121" s="284">
        <v>0</v>
      </c>
      <c r="O121" s="285">
        <v>0</v>
      </c>
      <c r="P121" s="287">
        <v>152629289</v>
      </c>
      <c r="Q121" s="287">
        <v>180815950</v>
      </c>
      <c r="R121" s="287">
        <v>228039774</v>
      </c>
      <c r="S121" s="287">
        <v>266393419</v>
      </c>
      <c r="T121" s="287">
        <f>262213885</f>
        <v>262213885</v>
      </c>
      <c r="U121" s="286">
        <v>524656593</v>
      </c>
      <c r="V121" s="287">
        <v>243534977</v>
      </c>
      <c r="W121" s="287">
        <v>387907858</v>
      </c>
      <c r="X121" s="287">
        <v>319692854</v>
      </c>
      <c r="Y121" s="288">
        <f>982924388</f>
        <v>982924388</v>
      </c>
      <c r="Z121" s="289">
        <f>SUM(N121:Y121)</f>
        <v>3548808987</v>
      </c>
      <c r="AA121" s="390">
        <f>L121-Z121</f>
        <v>891612847</v>
      </c>
      <c r="AF121" s="391"/>
      <c r="AG121" s="392"/>
      <c r="AI121" s="393"/>
      <c r="AJ121" s="294"/>
      <c r="AL121" s="394"/>
      <c r="AM121" s="395"/>
    </row>
    <row r="122" spans="1:39" s="112" customFormat="1">
      <c r="A122" s="273"/>
      <c r="B122" s="59"/>
      <c r="C122" s="59"/>
      <c r="D122" s="59"/>
      <c r="E122" s="59"/>
      <c r="F122" s="59"/>
      <c r="G122" s="59"/>
      <c r="H122" s="389" t="s">
        <v>226</v>
      </c>
      <c r="I122" s="59"/>
      <c r="J122" s="274">
        <f>J116-J121</f>
        <v>0</v>
      </c>
      <c r="K122" s="275"/>
      <c r="L122" s="274">
        <f>L121-L116</f>
        <v>0</v>
      </c>
      <c r="M122" s="275"/>
      <c r="N122" s="276"/>
      <c r="O122" s="276"/>
      <c r="P122" s="276">
        <f>P121-P116</f>
        <v>0</v>
      </c>
      <c r="Q122" s="276">
        <f t="shared" ref="Q122:X122" si="75">Q121-Q116</f>
        <v>0</v>
      </c>
      <c r="R122" s="276">
        <f t="shared" si="75"/>
        <v>0</v>
      </c>
      <c r="S122" s="276">
        <f t="shared" si="75"/>
        <v>0</v>
      </c>
      <c r="T122" s="276">
        <f t="shared" si="75"/>
        <v>0</v>
      </c>
      <c r="U122" s="276">
        <f t="shared" si="75"/>
        <v>0</v>
      </c>
      <c r="V122" s="276">
        <f t="shared" si="75"/>
        <v>0</v>
      </c>
      <c r="W122" s="276">
        <f t="shared" si="75"/>
        <v>0</v>
      </c>
      <c r="X122" s="276">
        <f t="shared" si="75"/>
        <v>0</v>
      </c>
      <c r="Y122" s="276">
        <f>Y121-Y116</f>
        <v>0</v>
      </c>
      <c r="Z122" s="277"/>
      <c r="AA122" s="278"/>
      <c r="AF122" s="343"/>
      <c r="AG122" s="344"/>
      <c r="AI122" s="345"/>
      <c r="AJ122" s="130"/>
      <c r="AL122" s="116"/>
      <c r="AM122" s="346"/>
    </row>
    <row r="123" spans="1:39" s="307" customFormat="1" ht="58.5" customHeight="1" thickBot="1">
      <c r="A123" s="297" t="s">
        <v>134</v>
      </c>
      <c r="B123" s="396">
        <f>B16+B65+B72+B104</f>
        <v>4440421834</v>
      </c>
      <c r="C123" s="299"/>
      <c r="D123" s="299"/>
      <c r="E123" s="299"/>
      <c r="F123" s="299"/>
      <c r="G123" s="300" t="s">
        <v>134</v>
      </c>
      <c r="H123" s="301"/>
      <c r="I123" s="299"/>
      <c r="J123" s="302">
        <f>J64+J71+J103+J114</f>
        <v>4440421834</v>
      </c>
      <c r="K123" s="303"/>
      <c r="L123" s="302">
        <f>L64+L71+L103+L114</f>
        <v>4440421834</v>
      </c>
      <c r="M123" s="253"/>
      <c r="N123" s="302">
        <f t="shared" ref="N123:AA123" si="76">N64+N71+N103+N114</f>
        <v>0</v>
      </c>
      <c r="O123" s="302">
        <f t="shared" si="76"/>
        <v>0</v>
      </c>
      <c r="P123" s="302">
        <f t="shared" si="76"/>
        <v>152629289</v>
      </c>
      <c r="Q123" s="302">
        <f t="shared" si="76"/>
        <v>180815950</v>
      </c>
      <c r="R123" s="302">
        <f t="shared" si="76"/>
        <v>228039774</v>
      </c>
      <c r="S123" s="302">
        <f t="shared" si="76"/>
        <v>266393419</v>
      </c>
      <c r="T123" s="302">
        <f t="shared" si="76"/>
        <v>262213885</v>
      </c>
      <c r="U123" s="302">
        <f t="shared" si="76"/>
        <v>524656593</v>
      </c>
      <c r="V123" s="302">
        <f t="shared" si="76"/>
        <v>243534977</v>
      </c>
      <c r="W123" s="302">
        <f t="shared" si="76"/>
        <v>387907858</v>
      </c>
      <c r="X123" s="302">
        <f t="shared" si="76"/>
        <v>319692854</v>
      </c>
      <c r="Y123" s="304">
        <f t="shared" si="76"/>
        <v>982924388</v>
      </c>
      <c r="Z123" s="305">
        <f t="shared" si="76"/>
        <v>3548808987</v>
      </c>
      <c r="AA123" s="306">
        <f t="shared" si="76"/>
        <v>891612847</v>
      </c>
      <c r="AF123" s="397"/>
      <c r="AG123" s="398"/>
      <c r="AI123" s="399"/>
      <c r="AJ123" s="294"/>
      <c r="AL123" s="400"/>
      <c r="AM123" s="401"/>
    </row>
    <row r="124" spans="1:39" s="112" customFormat="1">
      <c r="A124" s="308"/>
      <c r="B124" s="59"/>
      <c r="C124" s="59"/>
      <c r="D124" s="59"/>
      <c r="E124" s="59"/>
      <c r="F124" s="59"/>
      <c r="G124" s="308"/>
      <c r="H124" s="71"/>
      <c r="I124" s="59"/>
      <c r="J124" s="274"/>
      <c r="K124" s="275"/>
      <c r="L124" s="274"/>
      <c r="M124" s="275"/>
      <c r="N124" s="116"/>
      <c r="O124" s="116"/>
      <c r="P124" s="116"/>
      <c r="Q124" s="116"/>
      <c r="R124" s="116"/>
      <c r="S124" s="116"/>
      <c r="T124" s="116"/>
      <c r="U124" s="116"/>
      <c r="V124" s="116"/>
      <c r="W124" s="116"/>
      <c r="X124" s="116"/>
      <c r="Y124" s="116"/>
      <c r="Z124" s="105"/>
      <c r="AA124" s="116"/>
      <c r="AF124" s="343"/>
      <c r="AG124" s="344"/>
      <c r="AI124" s="345"/>
      <c r="AJ124" s="130"/>
      <c r="AL124" s="116"/>
      <c r="AM124" s="346"/>
    </row>
    <row r="125" spans="1:39" s="112" customFormat="1" ht="38.25">
      <c r="A125" s="308" t="s">
        <v>948</v>
      </c>
      <c r="B125" s="59"/>
      <c r="C125" s="59"/>
      <c r="D125" s="59"/>
      <c r="E125" s="59"/>
      <c r="F125" s="59"/>
      <c r="G125" s="308"/>
      <c r="H125" s="71"/>
      <c r="I125" s="59"/>
      <c r="J125" s="274"/>
      <c r="K125" s="275"/>
      <c r="L125" s="274"/>
      <c r="M125" s="275"/>
      <c r="N125" s="116"/>
      <c r="O125" s="116"/>
      <c r="P125" s="116"/>
      <c r="Q125" s="116"/>
      <c r="R125" s="116"/>
      <c r="S125" s="116"/>
      <c r="T125" s="116"/>
      <c r="U125" s="116"/>
      <c r="V125" s="116"/>
      <c r="W125" s="116"/>
      <c r="X125" s="116"/>
      <c r="Y125" s="116"/>
      <c r="Z125" s="105"/>
      <c r="AA125" s="116"/>
      <c r="AF125" s="343"/>
      <c r="AG125" s="344"/>
      <c r="AI125" s="345"/>
      <c r="AJ125" s="130"/>
      <c r="AL125" s="116"/>
      <c r="AM125" s="346"/>
    </row>
    <row r="126" spans="1:39" s="112" customFormat="1">
      <c r="A126" s="308"/>
      <c r="B126" s="59"/>
      <c r="C126" s="59"/>
      <c r="D126" s="59"/>
      <c r="E126" s="59"/>
      <c r="F126" s="59"/>
      <c r="G126" s="308"/>
      <c r="H126" s="71"/>
      <c r="I126" s="59"/>
      <c r="J126" s="274"/>
      <c r="K126" s="275"/>
      <c r="L126" s="274"/>
      <c r="M126" s="275"/>
      <c r="N126" s="116"/>
      <c r="O126" s="116"/>
      <c r="P126" s="116"/>
      <c r="Q126" s="116"/>
      <c r="R126" s="116"/>
      <c r="S126" s="116"/>
      <c r="T126" s="116"/>
      <c r="U126" s="116"/>
      <c r="V126" s="116"/>
      <c r="W126" s="116"/>
      <c r="X126" s="116"/>
      <c r="Y126" s="116"/>
      <c r="Z126" s="105"/>
      <c r="AA126" s="116"/>
      <c r="AF126" s="343"/>
      <c r="AG126" s="344"/>
      <c r="AI126" s="345"/>
      <c r="AJ126" s="130"/>
      <c r="AL126" s="116"/>
      <c r="AM126" s="346"/>
    </row>
    <row r="127" spans="1:39" s="112" customFormat="1">
      <c r="B127" s="402"/>
      <c r="H127" s="309"/>
      <c r="J127" s="116"/>
      <c r="L127" s="116"/>
      <c r="N127" s="116"/>
      <c r="O127" s="116"/>
      <c r="P127" s="116"/>
      <c r="Q127" s="116"/>
      <c r="R127" s="116"/>
      <c r="S127" s="116"/>
      <c r="T127" s="116"/>
      <c r="U127" s="116"/>
      <c r="V127" s="116"/>
      <c r="W127" s="116"/>
      <c r="X127" s="116"/>
      <c r="Y127" s="116"/>
      <c r="Z127" s="105"/>
      <c r="AA127" s="116"/>
      <c r="AF127" s="343"/>
      <c r="AG127" s="344"/>
      <c r="AI127" s="345"/>
      <c r="AJ127" s="130"/>
      <c r="AL127" s="116"/>
      <c r="AM127" s="346"/>
    </row>
    <row r="128" spans="1:39" s="112" customFormat="1">
      <c r="H128" s="309"/>
      <c r="J128" s="116"/>
      <c r="L128" s="116"/>
      <c r="N128" s="116"/>
      <c r="O128" s="116"/>
      <c r="P128" s="116"/>
      <c r="Q128" s="116"/>
      <c r="R128" s="116"/>
      <c r="S128" s="116"/>
      <c r="T128" s="116"/>
      <c r="U128" s="116"/>
      <c r="V128" s="116"/>
      <c r="W128" s="116"/>
      <c r="X128" s="116"/>
      <c r="Y128" s="116"/>
      <c r="Z128" s="105"/>
      <c r="AA128" s="116"/>
      <c r="AF128" s="343"/>
      <c r="AG128" s="344"/>
      <c r="AI128" s="345"/>
      <c r="AJ128" s="130"/>
      <c r="AL128" s="116"/>
      <c r="AM128" s="346"/>
    </row>
    <row r="129" spans="1:39" s="112" customFormat="1" ht="14.25" customHeight="1">
      <c r="A129" s="310"/>
      <c r="D129" s="311"/>
      <c r="E129" s="312"/>
      <c r="F129" s="313"/>
      <c r="G129" s="313"/>
      <c r="H129" s="309"/>
      <c r="J129" s="116"/>
      <c r="L129" s="314"/>
      <c r="M129" s="315"/>
      <c r="N129" s="116"/>
      <c r="O129" s="116"/>
      <c r="P129" s="116"/>
      <c r="Q129" s="116"/>
      <c r="R129" s="116"/>
      <c r="S129" s="276"/>
      <c r="T129" s="276"/>
      <c r="U129" s="276"/>
      <c r="V129" s="276"/>
      <c r="W129" s="276"/>
      <c r="X129" s="276"/>
      <c r="Y129" s="276"/>
      <c r="Z129" s="277"/>
      <c r="AA129" s="276"/>
      <c r="AF129" s="343"/>
      <c r="AG129" s="344"/>
      <c r="AI129" s="345"/>
      <c r="AJ129" s="130"/>
      <c r="AL129" s="116"/>
      <c r="AM129" s="346"/>
    </row>
    <row r="130" spans="1:39" s="112" customFormat="1" ht="15.75">
      <c r="A130" s="317" t="s">
        <v>1370</v>
      </c>
      <c r="C130" s="570" t="s">
        <v>1371</v>
      </c>
      <c r="D130" s="570"/>
      <c r="F130" s="318" t="s">
        <v>1372</v>
      </c>
      <c r="H130" s="309"/>
      <c r="J130" s="116"/>
      <c r="L130" s="116"/>
      <c r="N130" s="116"/>
      <c r="O130" s="116"/>
      <c r="P130" s="116"/>
      <c r="Q130" s="116"/>
      <c r="R130" s="116"/>
      <c r="S130" s="276"/>
      <c r="T130" s="276"/>
      <c r="U130" s="276"/>
      <c r="V130" s="276"/>
      <c r="W130" s="276"/>
      <c r="X130" s="276"/>
      <c r="Y130" s="276"/>
      <c r="Z130" s="277"/>
      <c r="AA130" s="316"/>
      <c r="AF130" s="343"/>
      <c r="AG130" s="344"/>
      <c r="AI130" s="345"/>
      <c r="AJ130" s="130"/>
      <c r="AL130" s="116"/>
      <c r="AM130" s="346"/>
    </row>
    <row r="131" spans="1:39" s="112" customFormat="1" ht="15">
      <c r="C131" s="571" t="s">
        <v>74</v>
      </c>
      <c r="D131" s="571"/>
      <c r="F131" s="319" t="s">
        <v>1373</v>
      </c>
      <c r="H131" s="309"/>
      <c r="J131" s="116"/>
      <c r="L131" s="116"/>
      <c r="N131" s="116"/>
      <c r="O131" s="116"/>
      <c r="P131" s="116"/>
      <c r="Q131" s="116"/>
      <c r="R131" s="116"/>
      <c r="S131" s="276"/>
      <c r="T131" s="276"/>
      <c r="U131" s="276"/>
      <c r="V131" s="276"/>
      <c r="W131" s="276"/>
      <c r="X131" s="276"/>
      <c r="Y131" s="276"/>
      <c r="Z131" s="277"/>
      <c r="AA131" s="276"/>
      <c r="AF131" s="343"/>
      <c r="AG131" s="344"/>
      <c r="AI131" s="345"/>
      <c r="AJ131" s="130"/>
      <c r="AL131" s="116"/>
      <c r="AM131" s="346"/>
    </row>
    <row r="132" spans="1:39" s="112" customFormat="1">
      <c r="H132" s="309"/>
      <c r="J132" s="116"/>
      <c r="L132" s="116"/>
      <c r="N132" s="116"/>
      <c r="O132" s="116"/>
      <c r="P132" s="116"/>
      <c r="Q132" s="116"/>
      <c r="R132" s="116"/>
      <c r="S132" s="116"/>
      <c r="T132" s="116"/>
      <c r="U132" s="116"/>
      <c r="V132" s="116"/>
      <c r="W132" s="116"/>
      <c r="X132" s="116"/>
      <c r="Y132" s="116"/>
      <c r="Z132" s="105"/>
      <c r="AA132" s="116"/>
      <c r="AF132" s="343"/>
      <c r="AG132" s="344"/>
      <c r="AI132" s="345"/>
      <c r="AJ132" s="130"/>
      <c r="AL132" s="116"/>
      <c r="AM132" s="346"/>
    </row>
    <row r="133" spans="1:39" s="112" customFormat="1">
      <c r="H133" s="309"/>
      <c r="J133" s="116"/>
      <c r="L133" s="116"/>
      <c r="N133" s="116"/>
      <c r="O133" s="116"/>
      <c r="P133" s="116"/>
      <c r="Q133" s="116"/>
      <c r="R133" s="116"/>
      <c r="S133" s="116"/>
      <c r="T133" s="116"/>
      <c r="U133" s="116"/>
      <c r="V133" s="116"/>
      <c r="W133" s="116"/>
      <c r="X133" s="116"/>
      <c r="Y133" s="116"/>
      <c r="Z133" s="105"/>
      <c r="AA133" s="116"/>
      <c r="AF133" s="343"/>
      <c r="AG133" s="344"/>
      <c r="AI133" s="345"/>
      <c r="AJ133" s="130"/>
      <c r="AL133" s="116"/>
      <c r="AM133" s="346"/>
    </row>
    <row r="134" spans="1:39" s="112" customFormat="1">
      <c r="A134" s="320"/>
      <c r="B134" s="321"/>
      <c r="C134" s="322"/>
      <c r="D134" s="323"/>
      <c r="H134" s="309"/>
      <c r="J134" s="116"/>
      <c r="L134" s="116"/>
      <c r="N134" s="116"/>
      <c r="O134" s="116"/>
      <c r="P134" s="116"/>
      <c r="Q134" s="116"/>
      <c r="R134" s="116"/>
      <c r="S134" s="116"/>
      <c r="T134" s="116"/>
      <c r="U134" s="116"/>
      <c r="V134" s="116"/>
      <c r="W134" s="116"/>
      <c r="X134" s="116"/>
      <c r="Y134" s="116"/>
      <c r="Z134" s="105"/>
      <c r="AA134" s="116"/>
      <c r="AF134" s="343"/>
      <c r="AG134" s="344"/>
      <c r="AI134" s="345"/>
      <c r="AJ134" s="130"/>
      <c r="AL134" s="116"/>
      <c r="AM134" s="346"/>
    </row>
    <row r="135" spans="1:39" s="112" customFormat="1">
      <c r="A135" s="312"/>
      <c r="B135" s="315"/>
      <c r="C135" s="324"/>
      <c r="D135" s="325"/>
      <c r="H135" s="309"/>
      <c r="J135" s="116"/>
      <c r="L135" s="116"/>
      <c r="N135" s="116"/>
      <c r="O135" s="116"/>
      <c r="P135" s="116"/>
      <c r="Q135" s="116"/>
      <c r="R135" s="116"/>
      <c r="S135" s="116"/>
      <c r="T135" s="116"/>
      <c r="U135" s="116"/>
      <c r="V135" s="116"/>
      <c r="W135" s="116"/>
      <c r="X135" s="116"/>
      <c r="Y135" s="116"/>
      <c r="Z135" s="105"/>
      <c r="AA135" s="116"/>
      <c r="AF135" s="343"/>
      <c r="AG135" s="344"/>
      <c r="AI135" s="345"/>
      <c r="AJ135" s="130"/>
      <c r="AL135" s="116"/>
      <c r="AM135" s="346"/>
    </row>
    <row r="136" spans="1:39" s="112" customFormat="1">
      <c r="H136" s="309"/>
      <c r="J136" s="116"/>
      <c r="L136" s="116"/>
      <c r="N136" s="116"/>
      <c r="O136" s="116"/>
      <c r="P136" s="116"/>
      <c r="Q136" s="116"/>
      <c r="R136" s="116"/>
      <c r="S136" s="116"/>
      <c r="T136" s="116"/>
      <c r="U136" s="116"/>
      <c r="V136" s="116"/>
      <c r="W136" s="116"/>
      <c r="X136" s="116"/>
      <c r="Y136" s="116"/>
      <c r="Z136" s="105"/>
      <c r="AA136" s="116"/>
      <c r="AF136" s="343"/>
      <c r="AG136" s="344"/>
      <c r="AI136" s="345"/>
      <c r="AJ136" s="130"/>
      <c r="AL136" s="116"/>
      <c r="AM136" s="346"/>
    </row>
    <row r="137" spans="1:39" s="112" customFormat="1">
      <c r="H137" s="309"/>
      <c r="J137" s="116"/>
      <c r="L137" s="116"/>
      <c r="N137" s="116"/>
      <c r="O137" s="116"/>
      <c r="P137" s="116"/>
      <c r="Q137" s="116"/>
      <c r="R137" s="116"/>
      <c r="S137" s="116"/>
      <c r="T137" s="116"/>
      <c r="U137" s="116"/>
      <c r="V137" s="116"/>
      <c r="W137" s="116"/>
      <c r="X137" s="116"/>
      <c r="Y137" s="116"/>
      <c r="Z137" s="105"/>
      <c r="AA137" s="116"/>
      <c r="AF137" s="343"/>
      <c r="AG137" s="344"/>
      <c r="AI137" s="345"/>
      <c r="AJ137" s="130"/>
      <c r="AL137" s="116"/>
      <c r="AM137" s="346"/>
    </row>
    <row r="138" spans="1:39" s="112" customFormat="1">
      <c r="H138" s="309"/>
      <c r="J138" s="116"/>
      <c r="L138" s="116"/>
      <c r="N138" s="116"/>
      <c r="O138" s="116"/>
      <c r="P138" s="116"/>
      <c r="Q138" s="116"/>
      <c r="R138" s="116"/>
      <c r="S138" s="116"/>
      <c r="T138" s="116"/>
      <c r="U138" s="116"/>
      <c r="V138" s="116"/>
      <c r="W138" s="116"/>
      <c r="X138" s="116"/>
      <c r="Y138" s="116"/>
      <c r="Z138" s="105"/>
      <c r="AA138" s="116"/>
      <c r="AF138" s="343"/>
      <c r="AG138" s="344"/>
      <c r="AI138" s="345"/>
      <c r="AJ138" s="130"/>
      <c r="AL138" s="116"/>
      <c r="AM138" s="346"/>
    </row>
    <row r="139" spans="1:39" s="112" customFormat="1">
      <c r="H139" s="309"/>
      <c r="J139" s="116"/>
      <c r="L139" s="116"/>
      <c r="N139" s="116"/>
      <c r="O139" s="116"/>
      <c r="P139" s="116"/>
      <c r="Q139" s="116"/>
      <c r="R139" s="116"/>
      <c r="S139" s="116"/>
      <c r="T139" s="116"/>
      <c r="U139" s="116"/>
      <c r="V139" s="116"/>
      <c r="W139" s="116"/>
      <c r="X139" s="116"/>
      <c r="Y139" s="116"/>
      <c r="Z139" s="105"/>
      <c r="AA139" s="116"/>
      <c r="AF139" s="343"/>
      <c r="AG139" s="344"/>
      <c r="AI139" s="345"/>
      <c r="AJ139" s="130"/>
      <c r="AL139" s="116"/>
      <c r="AM139" s="346"/>
    </row>
    <row r="140" spans="1:39" s="112" customFormat="1">
      <c r="A140" s="312"/>
      <c r="B140" s="315"/>
      <c r="H140" s="309"/>
      <c r="J140" s="116"/>
      <c r="L140" s="116"/>
      <c r="N140" s="116"/>
      <c r="O140" s="116"/>
      <c r="P140" s="116"/>
      <c r="Q140" s="116"/>
      <c r="R140" s="116"/>
      <c r="S140" s="116"/>
      <c r="T140" s="116"/>
      <c r="U140" s="116"/>
      <c r="V140" s="116"/>
      <c r="W140" s="116"/>
      <c r="X140" s="116"/>
      <c r="Y140" s="116"/>
      <c r="Z140" s="105"/>
      <c r="AA140" s="116"/>
      <c r="AF140" s="343"/>
      <c r="AG140" s="344"/>
      <c r="AI140" s="345"/>
      <c r="AJ140" s="130"/>
      <c r="AL140" s="116"/>
      <c r="AM140" s="346"/>
    </row>
    <row r="141" spans="1:39" s="112" customFormat="1">
      <c r="A141" s="312"/>
      <c r="B141" s="315"/>
      <c r="H141" s="309"/>
      <c r="J141" s="116"/>
      <c r="L141" s="116"/>
      <c r="N141" s="116"/>
      <c r="O141" s="116"/>
      <c r="P141" s="116"/>
      <c r="Q141" s="116"/>
      <c r="R141" s="116"/>
      <c r="S141" s="116"/>
      <c r="T141" s="116"/>
      <c r="U141" s="116"/>
      <c r="V141" s="116"/>
      <c r="W141" s="116"/>
      <c r="X141" s="116"/>
      <c r="Y141" s="116"/>
      <c r="Z141" s="105"/>
      <c r="AA141" s="116"/>
      <c r="AF141" s="343"/>
      <c r="AG141" s="344"/>
      <c r="AI141" s="345"/>
      <c r="AJ141" s="130"/>
      <c r="AL141" s="116"/>
      <c r="AM141" s="346"/>
    </row>
    <row r="142" spans="1:39" s="112" customFormat="1">
      <c r="A142" s="312"/>
      <c r="B142" s="315"/>
      <c r="H142" s="309"/>
      <c r="J142" s="116"/>
      <c r="L142" s="116"/>
      <c r="N142" s="116"/>
      <c r="O142" s="116"/>
      <c r="P142" s="116"/>
      <c r="Q142" s="116"/>
      <c r="R142" s="116"/>
      <c r="S142" s="116"/>
      <c r="T142" s="116"/>
      <c r="U142" s="116"/>
      <c r="V142" s="116"/>
      <c r="W142" s="116"/>
      <c r="X142" s="116"/>
      <c r="Y142" s="116"/>
      <c r="Z142" s="105"/>
      <c r="AA142" s="116"/>
      <c r="AF142" s="343"/>
      <c r="AG142" s="344"/>
      <c r="AI142" s="345"/>
      <c r="AJ142" s="130"/>
      <c r="AL142" s="116"/>
      <c r="AM142" s="346"/>
    </row>
    <row r="143" spans="1:39" s="112" customFormat="1">
      <c r="A143" s="312"/>
      <c r="B143" s="315"/>
      <c r="H143" s="309"/>
      <c r="J143" s="116"/>
      <c r="L143" s="116"/>
      <c r="N143" s="116"/>
      <c r="O143" s="116"/>
      <c r="P143" s="116"/>
      <c r="Q143" s="116"/>
      <c r="R143" s="116"/>
      <c r="S143" s="116"/>
      <c r="T143" s="116"/>
      <c r="U143" s="116"/>
      <c r="V143" s="116"/>
      <c r="W143" s="116"/>
      <c r="X143" s="116"/>
      <c r="Y143" s="116"/>
      <c r="Z143" s="105"/>
      <c r="AA143" s="116"/>
      <c r="AF143" s="343"/>
      <c r="AG143" s="344"/>
      <c r="AI143" s="345"/>
      <c r="AJ143" s="130"/>
      <c r="AL143" s="116"/>
      <c r="AM143" s="346"/>
    </row>
    <row r="144" spans="1:39" s="112" customFormat="1">
      <c r="A144" s="312"/>
      <c r="B144" s="315"/>
      <c r="H144" s="309"/>
      <c r="J144" s="116"/>
      <c r="L144" s="116"/>
      <c r="N144" s="116"/>
      <c r="O144" s="116"/>
      <c r="P144" s="116"/>
      <c r="Q144" s="116"/>
      <c r="R144" s="116"/>
      <c r="S144" s="116"/>
      <c r="T144" s="116"/>
      <c r="U144" s="116"/>
      <c r="V144" s="116"/>
      <c r="W144" s="116"/>
      <c r="X144" s="116"/>
      <c r="Y144" s="116"/>
      <c r="Z144" s="105"/>
      <c r="AA144" s="116"/>
      <c r="AF144" s="343"/>
      <c r="AG144" s="344"/>
      <c r="AI144" s="345"/>
      <c r="AJ144" s="130"/>
      <c r="AL144" s="116"/>
      <c r="AM144" s="346"/>
    </row>
    <row r="145" spans="1:39" s="112" customFormat="1">
      <c r="A145" s="312"/>
      <c r="B145" s="315"/>
      <c r="H145" s="309"/>
      <c r="J145" s="116"/>
      <c r="L145" s="116"/>
      <c r="N145" s="116"/>
      <c r="O145" s="116"/>
      <c r="P145" s="116"/>
      <c r="Q145" s="116"/>
      <c r="R145" s="116"/>
      <c r="S145" s="116"/>
      <c r="T145" s="116"/>
      <c r="U145" s="116"/>
      <c r="V145" s="116"/>
      <c r="W145" s="116"/>
      <c r="X145" s="116"/>
      <c r="Y145" s="116"/>
      <c r="Z145" s="105"/>
      <c r="AA145" s="116"/>
      <c r="AF145" s="343"/>
      <c r="AG145" s="344"/>
      <c r="AI145" s="345"/>
      <c r="AJ145" s="130"/>
      <c r="AL145" s="116"/>
      <c r="AM145" s="346"/>
    </row>
    <row r="146" spans="1:39" s="112" customFormat="1">
      <c r="A146" s="312"/>
      <c r="B146" s="315"/>
      <c r="H146" s="309"/>
      <c r="J146" s="116"/>
      <c r="L146" s="116"/>
      <c r="N146" s="116"/>
      <c r="O146" s="116"/>
      <c r="P146" s="116"/>
      <c r="Q146" s="116"/>
      <c r="R146" s="116"/>
      <c r="S146" s="116"/>
      <c r="T146" s="116"/>
      <c r="U146" s="116"/>
      <c r="V146" s="116"/>
      <c r="W146" s="116"/>
      <c r="X146" s="116"/>
      <c r="Y146" s="116"/>
      <c r="Z146" s="105"/>
      <c r="AA146" s="116"/>
      <c r="AF146" s="343"/>
      <c r="AG146" s="344"/>
      <c r="AI146" s="345"/>
      <c r="AJ146" s="130"/>
      <c r="AL146" s="116"/>
      <c r="AM146" s="346"/>
    </row>
    <row r="147" spans="1:39" s="112" customFormat="1">
      <c r="A147" s="312"/>
      <c r="B147" s="315"/>
      <c r="H147" s="309"/>
      <c r="J147" s="116"/>
      <c r="L147" s="116"/>
      <c r="N147" s="116"/>
      <c r="O147" s="116"/>
      <c r="P147" s="116"/>
      <c r="Q147" s="116"/>
      <c r="R147" s="116"/>
      <c r="S147" s="116"/>
      <c r="T147" s="116"/>
      <c r="U147" s="116"/>
      <c r="V147" s="116"/>
      <c r="W147" s="116"/>
      <c r="X147" s="116"/>
      <c r="Y147" s="116"/>
      <c r="Z147" s="105"/>
      <c r="AA147" s="116"/>
      <c r="AF147" s="343"/>
      <c r="AG147" s="344"/>
      <c r="AI147" s="345"/>
      <c r="AJ147" s="130"/>
      <c r="AL147" s="116"/>
      <c r="AM147" s="346"/>
    </row>
    <row r="148" spans="1:39">
      <c r="A148" s="1"/>
      <c r="B148" s="4"/>
    </row>
    <row r="149" spans="1:39">
      <c r="A149" s="1"/>
      <c r="B149" s="4"/>
    </row>
    <row r="150" spans="1:39">
      <c r="A150" s="1"/>
      <c r="B150" s="4"/>
    </row>
    <row r="151" spans="1:39">
      <c r="A151" s="1"/>
      <c r="B151" s="4"/>
    </row>
    <row r="152" spans="1:39">
      <c r="A152" s="1"/>
      <c r="B152" s="4"/>
    </row>
    <row r="153" spans="1:39">
      <c r="A153" s="1"/>
      <c r="B153" s="4"/>
    </row>
    <row r="154" spans="1:39">
      <c r="A154" s="1"/>
      <c r="B154" s="4"/>
    </row>
    <row r="155" spans="1:39">
      <c r="A155" s="1"/>
      <c r="B155" s="4"/>
    </row>
    <row r="156" spans="1:39">
      <c r="A156" s="1"/>
      <c r="B156" s="4"/>
    </row>
    <row r="157" spans="1:39">
      <c r="A157" s="1"/>
      <c r="B157" s="4"/>
    </row>
    <row r="158" spans="1:39">
      <c r="A158" s="1"/>
      <c r="B158" s="4"/>
    </row>
  </sheetData>
  <autoFilter ref="A15:AM114"/>
  <mergeCells count="20">
    <mergeCell ref="C130:D130"/>
    <mergeCell ref="C131:D131"/>
    <mergeCell ref="A1:A2"/>
    <mergeCell ref="B1:C1"/>
    <mergeCell ref="D1:R1"/>
    <mergeCell ref="B9:D9"/>
    <mergeCell ref="B10:G10"/>
    <mergeCell ref="B11:G11"/>
    <mergeCell ref="A3:G3"/>
    <mergeCell ref="A4:G4"/>
    <mergeCell ref="A5:G5"/>
    <mergeCell ref="A6:G6"/>
    <mergeCell ref="A7:G7"/>
    <mergeCell ref="A8:G8"/>
    <mergeCell ref="S1:V1"/>
    <mergeCell ref="W1:AA1"/>
    <mergeCell ref="B2:C2"/>
    <mergeCell ref="D2:R2"/>
    <mergeCell ref="S2:V2"/>
    <mergeCell ref="W2:AA2"/>
  </mergeCells>
  <printOptions horizontalCentered="1" verticalCentered="1"/>
  <pageMargins left="1.0236220472440944" right="0.39370078740157483" top="0" bottom="0" header="0" footer="0"/>
  <pageSetup scale="28"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56"/>
  <sheetViews>
    <sheetView zoomScale="80" zoomScaleNormal="80" zoomScaleSheetLayoutView="40" workbookViewId="0">
      <selection sqref="A1:A2"/>
    </sheetView>
  </sheetViews>
  <sheetFormatPr baseColWidth="10" defaultRowHeight="12.75"/>
  <cols>
    <col min="1" max="1" width="27.140625" style="87" customWidth="1"/>
    <col min="2" max="2" width="22.85546875" style="87" customWidth="1"/>
    <col min="3" max="3" width="24.28515625" style="87" customWidth="1"/>
    <col min="4" max="4" width="25.85546875" style="87" customWidth="1"/>
    <col min="5" max="5" width="32.5703125" style="87" customWidth="1"/>
    <col min="6" max="6" width="30.5703125" style="87" customWidth="1"/>
    <col min="7" max="7" width="32.85546875" style="87" customWidth="1"/>
    <col min="8" max="8" width="13.28515625" style="171" customWidth="1"/>
    <col min="9" max="9" width="12.85546875" style="87" customWidth="1"/>
    <col min="10" max="10" width="15.7109375" style="97" customWidth="1"/>
    <col min="11" max="11" width="12.5703125" style="87" customWidth="1"/>
    <col min="12" max="12" width="17" style="97" customWidth="1"/>
    <col min="13" max="13" width="9.28515625" style="87" customWidth="1"/>
    <col min="14" max="19" width="13.85546875" style="97" bestFit="1" customWidth="1"/>
    <col min="20" max="20" width="14.28515625" style="97" bestFit="1" customWidth="1"/>
    <col min="21" max="24" width="13.85546875" style="97" bestFit="1" customWidth="1"/>
    <col min="25" max="25" width="14.140625" style="97" customWidth="1"/>
    <col min="26" max="26" width="21.28515625" style="97" bestFit="1" customWidth="1"/>
    <col min="27" max="27" width="16.5703125" style="97" customWidth="1"/>
    <col min="28" max="28" width="11.42578125" style="87"/>
    <col min="29" max="29" width="50.42578125" style="124" customWidth="1"/>
    <col min="30" max="30" width="11.42578125" style="126"/>
    <col min="31" max="31" width="16.28515625" style="126" bestFit="1" customWidth="1"/>
    <col min="32" max="33" width="11.42578125" style="126"/>
    <col min="34" max="34" width="16.7109375" style="126" customWidth="1"/>
    <col min="35" max="35" width="11.42578125" style="125"/>
    <col min="36" max="36" width="14.140625" style="125" customWidth="1"/>
    <col min="37" max="37" width="13" style="126" customWidth="1"/>
    <col min="38" max="38" width="16" style="128" bestFit="1" customWidth="1"/>
    <col min="39" max="39" width="15.5703125" style="193" bestFit="1" customWidth="1"/>
    <col min="40" max="16384" width="11.42578125" style="87"/>
  </cols>
  <sheetData>
    <row r="1" spans="1:39" ht="47.25" customHeight="1">
      <c r="A1" s="574"/>
      <c r="B1" s="568" t="s">
        <v>65</v>
      </c>
      <c r="C1" s="568"/>
      <c r="D1" s="564" t="s">
        <v>68</v>
      </c>
      <c r="E1" s="564"/>
      <c r="F1" s="564"/>
      <c r="G1" s="564"/>
      <c r="H1" s="564"/>
      <c r="I1" s="564"/>
      <c r="J1" s="564"/>
      <c r="K1" s="564"/>
      <c r="L1" s="564"/>
      <c r="M1" s="564"/>
      <c r="N1" s="564"/>
      <c r="O1" s="564"/>
      <c r="P1" s="564"/>
      <c r="Q1" s="564"/>
      <c r="R1" s="564"/>
      <c r="S1" s="572" t="s">
        <v>66</v>
      </c>
      <c r="T1" s="572"/>
      <c r="U1" s="572"/>
      <c r="V1" s="572"/>
      <c r="W1" s="565" t="s">
        <v>64</v>
      </c>
      <c r="X1" s="565"/>
      <c r="Y1" s="565"/>
      <c r="Z1" s="565"/>
      <c r="AA1" s="565"/>
    </row>
    <row r="2" spans="1:39" ht="47.25" customHeight="1" thickBot="1">
      <c r="A2" s="575"/>
      <c r="B2" s="569" t="s">
        <v>69</v>
      </c>
      <c r="C2" s="569"/>
      <c r="D2" s="561" t="s">
        <v>60</v>
      </c>
      <c r="E2" s="561"/>
      <c r="F2" s="561"/>
      <c r="G2" s="561"/>
      <c r="H2" s="561"/>
      <c r="I2" s="561"/>
      <c r="J2" s="561"/>
      <c r="K2" s="561"/>
      <c r="L2" s="561"/>
      <c r="M2" s="561"/>
      <c r="N2" s="561"/>
      <c r="O2" s="561"/>
      <c r="P2" s="561"/>
      <c r="Q2" s="561"/>
      <c r="R2" s="561"/>
      <c r="S2" s="573" t="s">
        <v>67</v>
      </c>
      <c r="T2" s="573"/>
      <c r="U2" s="573"/>
      <c r="V2" s="573"/>
      <c r="W2" s="562">
        <v>1</v>
      </c>
      <c r="X2" s="562"/>
      <c r="Y2" s="562"/>
      <c r="Z2" s="562"/>
      <c r="AA2" s="562"/>
    </row>
    <row r="3" spans="1:39" s="112" customFormat="1">
      <c r="A3" s="566" t="s">
        <v>145</v>
      </c>
      <c r="B3" s="567"/>
      <c r="C3" s="567"/>
      <c r="D3" s="567"/>
      <c r="E3" s="567"/>
      <c r="F3" s="567"/>
      <c r="G3" s="567"/>
      <c r="H3" s="426"/>
      <c r="I3" s="364"/>
      <c r="J3" s="365"/>
      <c r="K3" s="364"/>
      <c r="L3" s="365"/>
      <c r="M3" s="364"/>
      <c r="N3" s="238"/>
      <c r="O3" s="238"/>
      <c r="P3" s="238"/>
      <c r="Q3" s="238"/>
      <c r="R3" s="238"/>
      <c r="S3" s="238"/>
      <c r="T3" s="238"/>
      <c r="U3" s="238"/>
      <c r="V3" s="238"/>
      <c r="W3" s="238"/>
      <c r="X3" s="238"/>
      <c r="Y3" s="238"/>
      <c r="Z3" s="238"/>
      <c r="AA3" s="240"/>
      <c r="AC3" s="129"/>
      <c r="AD3" s="131"/>
      <c r="AE3" s="131"/>
      <c r="AF3" s="131"/>
      <c r="AG3" s="131"/>
      <c r="AH3" s="131"/>
      <c r="AI3" s="130"/>
      <c r="AJ3" s="130"/>
      <c r="AK3" s="131"/>
      <c r="AL3" s="133"/>
      <c r="AM3" s="195"/>
    </row>
    <row r="4" spans="1:39" s="112" customFormat="1">
      <c r="A4" s="551" t="s">
        <v>170</v>
      </c>
      <c r="B4" s="552"/>
      <c r="C4" s="552"/>
      <c r="D4" s="552"/>
      <c r="E4" s="552"/>
      <c r="F4" s="552"/>
      <c r="G4" s="552"/>
      <c r="H4" s="406"/>
      <c r="I4" s="347"/>
      <c r="J4" s="348"/>
      <c r="K4" s="347"/>
      <c r="L4" s="348"/>
      <c r="M4" s="347"/>
      <c r="N4" s="201"/>
      <c r="O4" s="201"/>
      <c r="P4" s="201"/>
      <c r="Q4" s="201"/>
      <c r="R4" s="201"/>
      <c r="S4" s="201"/>
      <c r="T4" s="201"/>
      <c r="U4" s="201"/>
      <c r="V4" s="201"/>
      <c r="W4" s="201"/>
      <c r="X4" s="201"/>
      <c r="Y4" s="201"/>
      <c r="Z4" s="201"/>
      <c r="AA4" s="241"/>
      <c r="AC4" s="129"/>
      <c r="AD4" s="131"/>
      <c r="AE4" s="131"/>
      <c r="AF4" s="131"/>
      <c r="AG4" s="131"/>
      <c r="AH4" s="131"/>
      <c r="AI4" s="130"/>
      <c r="AJ4" s="130"/>
      <c r="AK4" s="131"/>
      <c r="AL4" s="133"/>
      <c r="AM4" s="195"/>
    </row>
    <row r="5" spans="1:39" s="112" customFormat="1">
      <c r="A5" s="577" t="s">
        <v>123</v>
      </c>
      <c r="B5" s="578"/>
      <c r="C5" s="578"/>
      <c r="D5" s="578"/>
      <c r="E5" s="578"/>
      <c r="F5" s="578"/>
      <c r="G5" s="578"/>
      <c r="H5" s="406"/>
      <c r="I5" s="347"/>
      <c r="J5" s="348"/>
      <c r="K5" s="347"/>
      <c r="L5" s="348"/>
      <c r="M5" s="347"/>
      <c r="N5" s="201"/>
      <c r="O5" s="201"/>
      <c r="P5" s="201"/>
      <c r="Q5" s="201"/>
      <c r="R5" s="201"/>
      <c r="S5" s="201"/>
      <c r="T5" s="201"/>
      <c r="U5" s="201"/>
      <c r="V5" s="201"/>
      <c r="W5" s="201"/>
      <c r="X5" s="201"/>
      <c r="Y5" s="201"/>
      <c r="Z5" s="201"/>
      <c r="AA5" s="241"/>
      <c r="AC5" s="129"/>
      <c r="AD5" s="131"/>
      <c r="AE5" s="131"/>
      <c r="AF5" s="131"/>
      <c r="AG5" s="131"/>
      <c r="AH5" s="131"/>
      <c r="AI5" s="130"/>
      <c r="AJ5" s="130"/>
      <c r="AK5" s="131"/>
      <c r="AL5" s="133"/>
      <c r="AM5" s="195"/>
    </row>
    <row r="6" spans="1:39" s="112" customFormat="1">
      <c r="A6" s="577" t="s">
        <v>124</v>
      </c>
      <c r="B6" s="578"/>
      <c r="C6" s="578"/>
      <c r="D6" s="578"/>
      <c r="E6" s="578"/>
      <c r="F6" s="578"/>
      <c r="G6" s="578"/>
      <c r="H6" s="406"/>
      <c r="I6" s="347"/>
      <c r="J6" s="348"/>
      <c r="K6" s="347"/>
      <c r="L6" s="348"/>
      <c r="M6" s="347"/>
      <c r="N6" s="201"/>
      <c r="O6" s="201"/>
      <c r="P6" s="201"/>
      <c r="Q6" s="201"/>
      <c r="R6" s="201"/>
      <c r="S6" s="201"/>
      <c r="T6" s="201"/>
      <c r="U6" s="201"/>
      <c r="V6" s="201"/>
      <c r="W6" s="201"/>
      <c r="X6" s="201"/>
      <c r="Y6" s="201"/>
      <c r="Z6" s="201"/>
      <c r="AA6" s="241"/>
      <c r="AC6" s="129"/>
      <c r="AD6" s="131"/>
      <c r="AE6" s="131"/>
      <c r="AF6" s="131"/>
      <c r="AG6" s="131"/>
      <c r="AH6" s="131"/>
      <c r="AI6" s="130"/>
      <c r="AJ6" s="130"/>
      <c r="AK6" s="131"/>
      <c r="AL6" s="133"/>
      <c r="AM6" s="195"/>
    </row>
    <row r="7" spans="1:39" s="112" customFormat="1">
      <c r="A7" s="579" t="s">
        <v>125</v>
      </c>
      <c r="B7" s="580"/>
      <c r="C7" s="580"/>
      <c r="D7" s="580"/>
      <c r="E7" s="580"/>
      <c r="F7" s="580"/>
      <c r="G7" s="580"/>
      <c r="H7" s="406"/>
      <c r="I7" s="347"/>
      <c r="J7" s="348"/>
      <c r="K7" s="347"/>
      <c r="L7" s="348"/>
      <c r="M7" s="347"/>
      <c r="N7" s="201"/>
      <c r="O7" s="201"/>
      <c r="P7" s="201"/>
      <c r="Q7" s="201"/>
      <c r="R7" s="201"/>
      <c r="S7" s="201"/>
      <c r="T7" s="201"/>
      <c r="U7" s="201"/>
      <c r="V7" s="201"/>
      <c r="W7" s="201"/>
      <c r="X7" s="201"/>
      <c r="Y7" s="201"/>
      <c r="Z7" s="201"/>
      <c r="AA7" s="241"/>
      <c r="AC7" s="129"/>
      <c r="AD7" s="131"/>
      <c r="AE7" s="131"/>
      <c r="AF7" s="131"/>
      <c r="AG7" s="131"/>
      <c r="AH7" s="131"/>
      <c r="AI7" s="130"/>
      <c r="AJ7" s="130"/>
      <c r="AK7" s="131"/>
      <c r="AL7" s="133"/>
      <c r="AM7" s="195"/>
    </row>
    <row r="8" spans="1:39" s="112" customFormat="1">
      <c r="A8" s="581" t="s">
        <v>126</v>
      </c>
      <c r="B8" s="582"/>
      <c r="C8" s="582"/>
      <c r="D8" s="582"/>
      <c r="E8" s="582"/>
      <c r="F8" s="582"/>
      <c r="G8" s="582"/>
      <c r="H8" s="406"/>
      <c r="I8" s="347"/>
      <c r="J8" s="348"/>
      <c r="K8" s="347"/>
      <c r="L8" s="348"/>
      <c r="M8" s="347"/>
      <c r="N8" s="201"/>
      <c r="O8" s="201"/>
      <c r="P8" s="201"/>
      <c r="Q8" s="201"/>
      <c r="R8" s="201"/>
      <c r="S8" s="201"/>
      <c r="T8" s="201"/>
      <c r="U8" s="201"/>
      <c r="V8" s="201"/>
      <c r="W8" s="201"/>
      <c r="X8" s="201"/>
      <c r="Y8" s="201"/>
      <c r="Z8" s="201"/>
      <c r="AA8" s="241"/>
      <c r="AC8" s="129"/>
      <c r="AD8" s="131"/>
      <c r="AE8" s="131"/>
      <c r="AF8" s="131"/>
      <c r="AG8" s="131"/>
      <c r="AH8" s="131"/>
      <c r="AI8" s="130"/>
      <c r="AJ8" s="130"/>
      <c r="AK8" s="131"/>
      <c r="AL8" s="133"/>
      <c r="AM8" s="195"/>
    </row>
    <row r="9" spans="1:39" ht="26.25" customHeight="1">
      <c r="A9" s="408" t="s">
        <v>54</v>
      </c>
      <c r="B9" s="583" t="s">
        <v>186</v>
      </c>
      <c r="C9" s="583"/>
      <c r="D9" s="583"/>
      <c r="E9" s="203"/>
      <c r="F9" s="203"/>
      <c r="G9" s="203"/>
      <c r="H9" s="406"/>
      <c r="I9" s="205"/>
      <c r="J9" s="201"/>
      <c r="K9" s="205"/>
      <c r="L9" s="201"/>
      <c r="M9" s="205"/>
      <c r="N9" s="201"/>
      <c r="O9" s="201"/>
      <c r="P9" s="201"/>
      <c r="Q9" s="201"/>
      <c r="R9" s="201"/>
      <c r="S9" s="201"/>
      <c r="T9" s="201"/>
      <c r="U9" s="201"/>
      <c r="V9" s="201"/>
      <c r="W9" s="201"/>
      <c r="X9" s="201"/>
      <c r="Y9" s="201"/>
      <c r="Z9" s="201"/>
      <c r="AA9" s="241"/>
    </row>
    <row r="10" spans="1:39" ht="30" customHeight="1">
      <c r="A10" s="408" t="s">
        <v>53</v>
      </c>
      <c r="B10" s="584" t="s">
        <v>128</v>
      </c>
      <c r="C10" s="584"/>
      <c r="D10" s="584"/>
      <c r="E10" s="584"/>
      <c r="F10" s="584"/>
      <c r="G10" s="584"/>
      <c r="H10" s="406"/>
      <c r="I10" s="205"/>
      <c r="J10" s="201"/>
      <c r="K10" s="205"/>
      <c r="L10" s="201"/>
      <c r="M10" s="205"/>
      <c r="N10" s="201"/>
      <c r="O10" s="201"/>
      <c r="P10" s="201"/>
      <c r="Q10" s="201"/>
      <c r="R10" s="201"/>
      <c r="S10" s="201"/>
      <c r="T10" s="201"/>
      <c r="U10" s="201"/>
      <c r="V10" s="201"/>
      <c r="W10" s="201"/>
      <c r="X10" s="201"/>
      <c r="Y10" s="201"/>
      <c r="Z10" s="201"/>
      <c r="AA10" s="241"/>
    </row>
    <row r="11" spans="1:39" ht="30.75" customHeight="1">
      <c r="A11" s="409" t="s">
        <v>55</v>
      </c>
      <c r="B11" s="576" t="s">
        <v>129</v>
      </c>
      <c r="C11" s="576"/>
      <c r="D11" s="576"/>
      <c r="E11" s="576"/>
      <c r="F11" s="576"/>
      <c r="G11" s="576"/>
      <c r="H11" s="406"/>
      <c r="I11" s="205"/>
      <c r="J11" s="201"/>
      <c r="K11" s="205"/>
      <c r="L11" s="201"/>
      <c r="M11" s="205"/>
      <c r="N11" s="201"/>
      <c r="O11" s="201"/>
      <c r="P11" s="201"/>
      <c r="Q11" s="201"/>
      <c r="R11" s="201"/>
      <c r="S11" s="201"/>
      <c r="T11" s="201"/>
      <c r="U11" s="201"/>
      <c r="V11" s="201"/>
      <c r="W11" s="201"/>
      <c r="X11" s="201"/>
      <c r="Y11" s="201"/>
      <c r="Z11" s="201"/>
      <c r="AA11" s="241"/>
    </row>
    <row r="12" spans="1:39" ht="13.5" customHeight="1">
      <c r="A12" s="244" t="s">
        <v>59</v>
      </c>
      <c r="B12" s="206">
        <v>43104</v>
      </c>
      <c r="C12" s="207"/>
      <c r="D12" s="207"/>
      <c r="E12" s="207"/>
      <c r="F12" s="207"/>
      <c r="G12" s="207"/>
      <c r="H12" s="406"/>
      <c r="I12" s="205"/>
      <c r="J12" s="201"/>
      <c r="K12" s="205"/>
      <c r="L12" s="201"/>
      <c r="M12" s="205"/>
      <c r="N12" s="201"/>
      <c r="O12" s="201"/>
      <c r="P12" s="201"/>
      <c r="Q12" s="201"/>
      <c r="R12" s="201"/>
      <c r="S12" s="201"/>
      <c r="T12" s="201"/>
      <c r="U12" s="201"/>
      <c r="V12" s="201"/>
      <c r="W12" s="201"/>
      <c r="X12" s="201"/>
      <c r="Y12" s="201"/>
      <c r="Z12" s="201"/>
      <c r="AA12" s="241"/>
    </row>
    <row r="13" spans="1:39" ht="13.5" customHeight="1">
      <c r="A13" s="245" t="s">
        <v>56</v>
      </c>
      <c r="B13" s="209"/>
      <c r="C13" s="207"/>
      <c r="D13" s="207"/>
      <c r="E13" s="207"/>
      <c r="F13" s="207"/>
      <c r="G13" s="207"/>
      <c r="H13" s="406"/>
      <c r="I13" s="205"/>
      <c r="J13" s="201"/>
      <c r="K13" s="205"/>
      <c r="L13" s="201"/>
      <c r="M13" s="205"/>
      <c r="N13" s="212"/>
      <c r="O13" s="212"/>
      <c r="P13" s="212"/>
      <c r="Q13" s="212"/>
      <c r="R13" s="212"/>
      <c r="S13" s="212"/>
      <c r="T13" s="212"/>
      <c r="U13" s="212"/>
      <c r="V13" s="212"/>
      <c r="W13" s="212"/>
      <c r="X13" s="212"/>
      <c r="Y13" s="212"/>
      <c r="Z13" s="212"/>
      <c r="AA13" s="246"/>
    </row>
    <row r="14" spans="1:39" ht="28.5" customHeight="1">
      <c r="A14" s="247" t="s">
        <v>130</v>
      </c>
      <c r="B14" s="215">
        <f>B119</f>
        <v>2529833148</v>
      </c>
      <c r="C14" s="216"/>
      <c r="D14" s="211"/>
      <c r="E14" s="211"/>
      <c r="F14" s="211"/>
      <c r="G14" s="211"/>
      <c r="H14" s="350"/>
      <c r="I14" s="351"/>
      <c r="J14" s="352"/>
      <c r="K14" s="347"/>
      <c r="L14" s="348"/>
      <c r="M14" s="353"/>
      <c r="N14" s="329" t="s">
        <v>57</v>
      </c>
      <c r="O14" s="330" t="s">
        <v>21</v>
      </c>
      <c r="P14" s="330" t="s">
        <v>20</v>
      </c>
      <c r="Q14" s="330" t="s">
        <v>19</v>
      </c>
      <c r="R14" s="330" t="s">
        <v>18</v>
      </c>
      <c r="S14" s="330" t="s">
        <v>10</v>
      </c>
      <c r="T14" s="330" t="s">
        <v>11</v>
      </c>
      <c r="U14" s="330" t="s">
        <v>12</v>
      </c>
      <c r="V14" s="330" t="s">
        <v>13</v>
      </c>
      <c r="W14" s="330" t="s">
        <v>14</v>
      </c>
      <c r="X14" s="330" t="s">
        <v>15</v>
      </c>
      <c r="Y14" s="236" t="s">
        <v>16</v>
      </c>
      <c r="Z14" s="237" t="s">
        <v>17</v>
      </c>
      <c r="AA14" s="248" t="s">
        <v>9</v>
      </c>
    </row>
    <row r="15" spans="1:39" ht="43.5" customHeight="1">
      <c r="A15" s="249" t="s">
        <v>22</v>
      </c>
      <c r="B15" s="331" t="s">
        <v>0</v>
      </c>
      <c r="C15" s="227" t="s">
        <v>2</v>
      </c>
      <c r="D15" s="227" t="s">
        <v>1</v>
      </c>
      <c r="E15" s="227" t="s">
        <v>61</v>
      </c>
      <c r="F15" s="227" t="s">
        <v>172</v>
      </c>
      <c r="G15" s="227" t="s">
        <v>3</v>
      </c>
      <c r="H15" s="332" t="s">
        <v>63</v>
      </c>
      <c r="I15" s="333" t="s">
        <v>4</v>
      </c>
      <c r="J15" s="235" t="s">
        <v>5</v>
      </c>
      <c r="K15" s="235" t="s">
        <v>6</v>
      </c>
      <c r="L15" s="235" t="s">
        <v>5</v>
      </c>
      <c r="M15" s="236" t="s">
        <v>62</v>
      </c>
      <c r="N15" s="334" t="s">
        <v>7</v>
      </c>
      <c r="O15" s="335" t="s">
        <v>7</v>
      </c>
      <c r="P15" s="335" t="s">
        <v>7</v>
      </c>
      <c r="Q15" s="335" t="s">
        <v>7</v>
      </c>
      <c r="R15" s="335" t="s">
        <v>7</v>
      </c>
      <c r="S15" s="335" t="s">
        <v>7</v>
      </c>
      <c r="T15" s="335" t="s">
        <v>7</v>
      </c>
      <c r="U15" s="335" t="s">
        <v>7</v>
      </c>
      <c r="V15" s="335" t="s">
        <v>7</v>
      </c>
      <c r="W15" s="335" t="s">
        <v>7</v>
      </c>
      <c r="X15" s="335" t="s">
        <v>7</v>
      </c>
      <c r="Y15" s="233" t="s">
        <v>7</v>
      </c>
      <c r="Z15" s="336" t="s">
        <v>8</v>
      </c>
      <c r="AA15" s="366"/>
      <c r="AC15" s="235" t="s">
        <v>188</v>
      </c>
      <c r="AD15" s="235" t="s">
        <v>189</v>
      </c>
      <c r="AE15" s="235" t="s">
        <v>167</v>
      </c>
      <c r="AF15" s="407" t="s">
        <v>190</v>
      </c>
      <c r="AG15" s="234" t="s">
        <v>200</v>
      </c>
      <c r="AH15" s="235" t="s">
        <v>167</v>
      </c>
      <c r="AI15" s="235" t="s">
        <v>190</v>
      </c>
      <c r="AJ15" s="235" t="s">
        <v>191</v>
      </c>
      <c r="AK15" s="235" t="s">
        <v>192</v>
      </c>
      <c r="AL15" s="235" t="s">
        <v>193</v>
      </c>
      <c r="AM15" s="235" t="s">
        <v>194</v>
      </c>
    </row>
    <row r="16" spans="1:39" s="112" customFormat="1" ht="78.75" customHeight="1">
      <c r="A16" s="259" t="s">
        <v>106</v>
      </c>
      <c r="B16" s="52">
        <f>330000000+92435659-6814167+29833148-112379085-10731667</f>
        <v>322343888</v>
      </c>
      <c r="C16" s="260" t="s">
        <v>78</v>
      </c>
      <c r="D16" s="260" t="s">
        <v>107</v>
      </c>
      <c r="E16" s="260" t="s">
        <v>110</v>
      </c>
      <c r="F16" s="260" t="s">
        <v>131</v>
      </c>
      <c r="G16" s="260" t="s">
        <v>108</v>
      </c>
      <c r="H16" s="65"/>
      <c r="I16" s="50"/>
      <c r="J16" s="51"/>
      <c r="K16" s="51"/>
      <c r="L16" s="51"/>
      <c r="M16" s="48"/>
      <c r="N16" s="74"/>
      <c r="O16" s="47"/>
      <c r="P16" s="68"/>
      <c r="Q16" s="68"/>
      <c r="R16" s="68"/>
      <c r="S16" s="68"/>
      <c r="T16" s="68"/>
      <c r="U16" s="68"/>
      <c r="V16" s="68"/>
      <c r="W16" s="68"/>
      <c r="X16" s="68"/>
      <c r="Y16" s="63"/>
      <c r="Z16" s="75">
        <f>SUM(N16:Y16)</f>
        <v>0</v>
      </c>
      <c r="AA16" s="251">
        <f t="shared" ref="AA16:AA32" si="0">L16-Z16</f>
        <v>0</v>
      </c>
      <c r="AC16" s="83"/>
      <c r="AD16" s="167">
        <f t="shared" ref="AD16:AD32" si="1">I16</f>
        <v>0</v>
      </c>
      <c r="AE16" s="111">
        <f t="shared" ref="AE16:AE32" si="2">J16</f>
        <v>0</v>
      </c>
      <c r="AF16" s="197"/>
      <c r="AG16" s="109">
        <f t="shared" ref="AG16:AG32" si="3">K16</f>
        <v>0</v>
      </c>
      <c r="AH16" s="111">
        <f t="shared" ref="AH16:AH32" si="4">L16</f>
        <v>0</v>
      </c>
      <c r="AI16" s="88"/>
      <c r="AJ16" s="88"/>
      <c r="AK16" s="111">
        <f t="shared" ref="AK16:AK32" si="5">M16</f>
        <v>0</v>
      </c>
      <c r="AL16" s="111"/>
      <c r="AM16" s="101">
        <f>AE16-AH16</f>
        <v>0</v>
      </c>
    </row>
    <row r="17" spans="1:39" s="112" customFormat="1" ht="79.5" customHeight="1">
      <c r="A17" s="261" t="s">
        <v>106</v>
      </c>
      <c r="B17" s="92">
        <f>J17</f>
        <v>25738656</v>
      </c>
      <c r="C17" s="260" t="s">
        <v>78</v>
      </c>
      <c r="D17" s="260" t="s">
        <v>107</v>
      </c>
      <c r="E17" s="260" t="s">
        <v>110</v>
      </c>
      <c r="F17" s="260" t="s">
        <v>131</v>
      </c>
      <c r="G17" s="260" t="s">
        <v>108</v>
      </c>
      <c r="H17" s="64">
        <v>150</v>
      </c>
      <c r="I17" s="61">
        <v>120</v>
      </c>
      <c r="J17" s="62">
        <f>26472208-733552</f>
        <v>25738656</v>
      </c>
      <c r="K17" s="62" t="s">
        <v>1262</v>
      </c>
      <c r="L17" s="62">
        <f>25738656+733552-733552</f>
        <v>25738656</v>
      </c>
      <c r="M17" s="63">
        <v>67</v>
      </c>
      <c r="N17" s="74"/>
      <c r="O17" s="47"/>
      <c r="P17" s="68">
        <v>5399718</v>
      </c>
      <c r="Q17" s="68">
        <v>5399718</v>
      </c>
      <c r="R17" s="68">
        <v>5399718</v>
      </c>
      <c r="S17" s="68">
        <f>5399718</f>
        <v>5399718</v>
      </c>
      <c r="T17" s="68"/>
      <c r="U17" s="68">
        <f>4139784</f>
        <v>4139784</v>
      </c>
      <c r="V17" s="68"/>
      <c r="W17" s="68"/>
      <c r="X17" s="68"/>
      <c r="Y17" s="63"/>
      <c r="Z17" s="75">
        <f t="shared" ref="Z17:Z25" si="6">SUM(N17:Y17)</f>
        <v>25738656</v>
      </c>
      <c r="AA17" s="251">
        <f t="shared" si="0"/>
        <v>0</v>
      </c>
      <c r="AC17" s="83" t="s">
        <v>249</v>
      </c>
      <c r="AD17" s="167">
        <f t="shared" si="1"/>
        <v>120</v>
      </c>
      <c r="AE17" s="111">
        <f t="shared" si="2"/>
        <v>25738656</v>
      </c>
      <c r="AF17" s="198">
        <v>42762</v>
      </c>
      <c r="AG17" s="109" t="str">
        <f t="shared" si="3"/>
        <v>164-165</v>
      </c>
      <c r="AH17" s="111">
        <f t="shared" si="4"/>
        <v>25738656</v>
      </c>
      <c r="AI17" s="121">
        <v>42767</v>
      </c>
      <c r="AJ17" s="88" t="s">
        <v>421</v>
      </c>
      <c r="AK17" s="111">
        <f t="shared" si="5"/>
        <v>67</v>
      </c>
      <c r="AL17" s="111">
        <v>79898688</v>
      </c>
      <c r="AM17" s="101">
        <f t="shared" ref="AM17:AM117" si="7">AE17-AH17</f>
        <v>0</v>
      </c>
    </row>
    <row r="18" spans="1:39" s="112" customFormat="1" ht="79.5" customHeight="1">
      <c r="A18" s="261" t="s">
        <v>106</v>
      </c>
      <c r="B18" s="92">
        <f t="shared" ref="B18:B32" si="8">J18</f>
        <v>25750000</v>
      </c>
      <c r="C18" s="260" t="s">
        <v>78</v>
      </c>
      <c r="D18" s="260" t="s">
        <v>107</v>
      </c>
      <c r="E18" s="260" t="s">
        <v>110</v>
      </c>
      <c r="F18" s="260" t="s">
        <v>131</v>
      </c>
      <c r="G18" s="260" t="s">
        <v>108</v>
      </c>
      <c r="H18" s="64">
        <v>139</v>
      </c>
      <c r="I18" s="61">
        <v>130</v>
      </c>
      <c r="J18" s="62">
        <f>26483875+1-733876</f>
        <v>25750000</v>
      </c>
      <c r="K18" s="62" t="s">
        <v>1263</v>
      </c>
      <c r="L18" s="62">
        <f>25750000+733875-733875</f>
        <v>25750000</v>
      </c>
      <c r="M18" s="63">
        <v>108</v>
      </c>
      <c r="N18" s="76"/>
      <c r="O18" s="51"/>
      <c r="P18" s="62">
        <v>4291667</v>
      </c>
      <c r="Q18" s="62">
        <v>5150000</v>
      </c>
      <c r="R18" s="62">
        <v>5150000</v>
      </c>
      <c r="S18" s="62">
        <f>5150000</f>
        <v>5150000</v>
      </c>
      <c r="T18" s="62">
        <v>5150000</v>
      </c>
      <c r="U18" s="62">
        <f>858333</f>
        <v>858333</v>
      </c>
      <c r="V18" s="62"/>
      <c r="W18" s="62"/>
      <c r="X18" s="62"/>
      <c r="Y18" s="79"/>
      <c r="Z18" s="75">
        <f t="shared" si="6"/>
        <v>25750000</v>
      </c>
      <c r="AA18" s="251">
        <f t="shared" si="0"/>
        <v>0</v>
      </c>
      <c r="AC18" s="83" t="s">
        <v>252</v>
      </c>
      <c r="AD18" s="167">
        <f t="shared" si="1"/>
        <v>130</v>
      </c>
      <c r="AE18" s="111">
        <f t="shared" si="2"/>
        <v>25750000</v>
      </c>
      <c r="AF18" s="198">
        <v>42762</v>
      </c>
      <c r="AG18" s="109" t="str">
        <f t="shared" si="3"/>
        <v>244-245</v>
      </c>
      <c r="AH18" s="111">
        <f t="shared" si="4"/>
        <v>25750000</v>
      </c>
      <c r="AI18" s="121">
        <v>42772</v>
      </c>
      <c r="AJ18" s="88" t="s">
        <v>424</v>
      </c>
      <c r="AK18" s="111">
        <f t="shared" si="5"/>
        <v>108</v>
      </c>
      <c r="AL18" s="111">
        <v>52028479</v>
      </c>
      <c r="AM18" s="101">
        <f t="shared" si="7"/>
        <v>0</v>
      </c>
    </row>
    <row r="19" spans="1:39" s="112" customFormat="1" ht="79.5" customHeight="1">
      <c r="A19" s="261" t="s">
        <v>106</v>
      </c>
      <c r="B19" s="92">
        <f t="shared" si="8"/>
        <v>16651666</v>
      </c>
      <c r="C19" s="260" t="s">
        <v>78</v>
      </c>
      <c r="D19" s="260" t="s">
        <v>107</v>
      </c>
      <c r="E19" s="260" t="s">
        <v>110</v>
      </c>
      <c r="F19" s="260" t="s">
        <v>131</v>
      </c>
      <c r="G19" s="260" t="s">
        <v>108</v>
      </c>
      <c r="H19" s="64">
        <v>137</v>
      </c>
      <c r="I19" s="61">
        <v>131</v>
      </c>
      <c r="J19" s="62">
        <f>26483875-9832209</f>
        <v>16651666</v>
      </c>
      <c r="K19" s="62" t="s">
        <v>1264</v>
      </c>
      <c r="L19" s="62">
        <f>25750000-9098334</f>
        <v>16651666</v>
      </c>
      <c r="M19" s="63">
        <v>97</v>
      </c>
      <c r="N19" s="76"/>
      <c r="O19" s="51"/>
      <c r="P19" s="62">
        <v>4978333</v>
      </c>
      <c r="Q19" s="62">
        <v>5150000</v>
      </c>
      <c r="R19" s="62">
        <v>4635000</v>
      </c>
      <c r="S19" s="62"/>
      <c r="T19" s="62"/>
      <c r="U19" s="62">
        <v>515000</v>
      </c>
      <c r="V19" s="62"/>
      <c r="W19" s="62">
        <f>1373333</f>
        <v>1373333</v>
      </c>
      <c r="X19" s="62"/>
      <c r="Y19" s="79"/>
      <c r="Z19" s="75">
        <f>SUM(N19:Y19)</f>
        <v>16651666</v>
      </c>
      <c r="AA19" s="251">
        <f t="shared" si="0"/>
        <v>0</v>
      </c>
      <c r="AC19" s="83" t="s">
        <v>253</v>
      </c>
      <c r="AD19" s="167">
        <f t="shared" si="1"/>
        <v>131</v>
      </c>
      <c r="AE19" s="111">
        <f t="shared" si="2"/>
        <v>16651666</v>
      </c>
      <c r="AF19" s="198">
        <v>42762</v>
      </c>
      <c r="AG19" s="109" t="str">
        <f t="shared" si="3"/>
        <v>221-222</v>
      </c>
      <c r="AH19" s="111">
        <f t="shared" si="4"/>
        <v>16651666</v>
      </c>
      <c r="AI19" s="121">
        <v>42768</v>
      </c>
      <c r="AJ19" s="88" t="s">
        <v>425</v>
      </c>
      <c r="AK19" s="111">
        <f t="shared" si="5"/>
        <v>97</v>
      </c>
      <c r="AL19" s="111">
        <v>46667223</v>
      </c>
      <c r="AM19" s="101">
        <f t="shared" si="7"/>
        <v>0</v>
      </c>
    </row>
    <row r="20" spans="1:39" s="112" customFormat="1" ht="79.5" customHeight="1">
      <c r="A20" s="261" t="s">
        <v>106</v>
      </c>
      <c r="B20" s="92">
        <f t="shared" si="8"/>
        <v>18351900</v>
      </c>
      <c r="C20" s="260" t="s">
        <v>78</v>
      </c>
      <c r="D20" s="260" t="s">
        <v>107</v>
      </c>
      <c r="E20" s="260" t="s">
        <v>110</v>
      </c>
      <c r="F20" s="260" t="s">
        <v>131</v>
      </c>
      <c r="G20" s="260" t="s">
        <v>108</v>
      </c>
      <c r="H20" s="64">
        <v>142</v>
      </c>
      <c r="I20" s="61">
        <v>135</v>
      </c>
      <c r="J20" s="62">
        <f>18874929-523029</f>
        <v>18351900</v>
      </c>
      <c r="K20" s="62" t="s">
        <v>1265</v>
      </c>
      <c r="L20" s="62">
        <f>18351900+523029-523029</f>
        <v>18351900</v>
      </c>
      <c r="M20" s="63">
        <v>113</v>
      </c>
      <c r="N20" s="76"/>
      <c r="O20" s="51"/>
      <c r="P20" s="62">
        <v>2936304</v>
      </c>
      <c r="Q20" s="62">
        <v>3670380</v>
      </c>
      <c r="R20" s="62">
        <v>3670380</v>
      </c>
      <c r="S20" s="62">
        <f>3670380</f>
        <v>3670380</v>
      </c>
      <c r="T20" s="62">
        <v>3670380</v>
      </c>
      <c r="U20" s="62">
        <f>734076</f>
        <v>734076</v>
      </c>
      <c r="V20" s="62"/>
      <c r="W20" s="62"/>
      <c r="X20" s="62"/>
      <c r="Y20" s="79"/>
      <c r="Z20" s="75">
        <f t="shared" si="6"/>
        <v>18351900</v>
      </c>
      <c r="AA20" s="251">
        <f t="shared" si="0"/>
        <v>0</v>
      </c>
      <c r="AC20" s="83" t="s">
        <v>255</v>
      </c>
      <c r="AD20" s="167">
        <f t="shared" si="1"/>
        <v>135</v>
      </c>
      <c r="AE20" s="111">
        <f t="shared" si="2"/>
        <v>18351900</v>
      </c>
      <c r="AF20" s="198">
        <v>42762</v>
      </c>
      <c r="AG20" s="109" t="str">
        <f t="shared" si="3"/>
        <v>261-262</v>
      </c>
      <c r="AH20" s="111">
        <f t="shared" si="4"/>
        <v>18351900</v>
      </c>
      <c r="AI20" s="121">
        <v>42773</v>
      </c>
      <c r="AJ20" s="88" t="s">
        <v>427</v>
      </c>
      <c r="AK20" s="111">
        <f t="shared" si="5"/>
        <v>113</v>
      </c>
      <c r="AL20" s="111">
        <v>53167309</v>
      </c>
      <c r="AM20" s="101">
        <f t="shared" si="7"/>
        <v>0</v>
      </c>
    </row>
    <row r="21" spans="1:39" s="112" customFormat="1" ht="79.5" customHeight="1">
      <c r="A21" s="261" t="s">
        <v>106</v>
      </c>
      <c r="B21" s="92">
        <f t="shared" si="8"/>
        <v>41720000</v>
      </c>
      <c r="C21" s="260" t="s">
        <v>78</v>
      </c>
      <c r="D21" s="260" t="s">
        <v>107</v>
      </c>
      <c r="E21" s="260" t="s">
        <v>110</v>
      </c>
      <c r="F21" s="260" t="s">
        <v>131</v>
      </c>
      <c r="G21" s="260" t="s">
        <v>108</v>
      </c>
      <c r="H21" s="64">
        <v>144</v>
      </c>
      <c r="I21" s="61" t="s">
        <v>1266</v>
      </c>
      <c r="J21" s="62">
        <f>21598500-21598500+21000000-21000000+40600000-1400000+2520000</f>
        <v>41720000</v>
      </c>
      <c r="K21" s="62" t="s">
        <v>1120</v>
      </c>
      <c r="L21" s="62">
        <f>39200000+2520000</f>
        <v>41720000</v>
      </c>
      <c r="M21" s="63">
        <v>176</v>
      </c>
      <c r="N21" s="76"/>
      <c r="O21" s="51"/>
      <c r="P21" s="62"/>
      <c r="Q21" s="62">
        <v>2100000</v>
      </c>
      <c r="R21" s="62">
        <v>4200000</v>
      </c>
      <c r="S21" s="62">
        <f>4200000</f>
        <v>4200000</v>
      </c>
      <c r="T21" s="62">
        <v>4200000</v>
      </c>
      <c r="U21" s="62">
        <f>4200000</f>
        <v>4200000</v>
      </c>
      <c r="V21" s="62">
        <f>4200000</f>
        <v>4200000</v>
      </c>
      <c r="W21" s="62">
        <f>4200000</f>
        <v>4200000</v>
      </c>
      <c r="X21" s="62">
        <f>4200000</f>
        <v>4200000</v>
      </c>
      <c r="Y21" s="79">
        <f>4200000+3500000+840000</f>
        <v>8540000</v>
      </c>
      <c r="Z21" s="75">
        <f t="shared" si="6"/>
        <v>40040000</v>
      </c>
      <c r="AA21" s="251">
        <f t="shared" si="0"/>
        <v>1680000</v>
      </c>
      <c r="AC21" s="83" t="s">
        <v>366</v>
      </c>
      <c r="AD21" s="167" t="str">
        <f t="shared" si="1"/>
        <v>151-216 - 651</v>
      </c>
      <c r="AE21" s="111">
        <f t="shared" si="2"/>
        <v>41720000</v>
      </c>
      <c r="AF21" s="198">
        <v>42769</v>
      </c>
      <c r="AG21" s="109" t="str">
        <f t="shared" si="3"/>
        <v>376 - 1069</v>
      </c>
      <c r="AH21" s="111">
        <f t="shared" si="4"/>
        <v>41720000</v>
      </c>
      <c r="AI21" s="121">
        <v>42810</v>
      </c>
      <c r="AJ21" s="88" t="s">
        <v>537</v>
      </c>
      <c r="AK21" s="111">
        <f t="shared" si="5"/>
        <v>176</v>
      </c>
      <c r="AL21" s="111">
        <v>71369228</v>
      </c>
      <c r="AM21" s="101">
        <f t="shared" si="7"/>
        <v>0</v>
      </c>
    </row>
    <row r="22" spans="1:39" s="112" customFormat="1" ht="79.5" customHeight="1">
      <c r="A22" s="261" t="s">
        <v>106</v>
      </c>
      <c r="B22" s="92">
        <f t="shared" si="8"/>
        <v>14935000</v>
      </c>
      <c r="C22" s="260" t="s">
        <v>78</v>
      </c>
      <c r="D22" s="260" t="s">
        <v>107</v>
      </c>
      <c r="E22" s="260" t="s">
        <v>110</v>
      </c>
      <c r="F22" s="260" t="s">
        <v>131</v>
      </c>
      <c r="G22" s="260" t="s">
        <v>108</v>
      </c>
      <c r="H22" s="64">
        <v>146</v>
      </c>
      <c r="I22" s="61">
        <v>150</v>
      </c>
      <c r="J22" s="62">
        <f>15360648-425648</f>
        <v>14935000</v>
      </c>
      <c r="K22" s="62" t="s">
        <v>1267</v>
      </c>
      <c r="L22" s="62">
        <f>14935000+425648-425648</f>
        <v>14935000</v>
      </c>
      <c r="M22" s="63">
        <v>116</v>
      </c>
      <c r="N22" s="76"/>
      <c r="O22" s="51"/>
      <c r="P22" s="62">
        <v>2389600</v>
      </c>
      <c r="Q22" s="62">
        <v>2987000</v>
      </c>
      <c r="R22" s="62">
        <v>2987000</v>
      </c>
      <c r="S22" s="62">
        <f>2987000</f>
        <v>2987000</v>
      </c>
      <c r="T22" s="62">
        <v>2987000</v>
      </c>
      <c r="U22" s="62">
        <f>597400</f>
        <v>597400</v>
      </c>
      <c r="V22" s="62"/>
      <c r="W22" s="62"/>
      <c r="X22" s="62"/>
      <c r="Y22" s="79"/>
      <c r="Z22" s="75">
        <f t="shared" si="6"/>
        <v>14935000</v>
      </c>
      <c r="AA22" s="251">
        <f t="shared" si="0"/>
        <v>0</v>
      </c>
      <c r="AC22" s="83" t="s">
        <v>364</v>
      </c>
      <c r="AD22" s="167">
        <f t="shared" si="1"/>
        <v>150</v>
      </c>
      <c r="AE22" s="111">
        <f t="shared" si="2"/>
        <v>14935000</v>
      </c>
      <c r="AF22" s="198">
        <v>42769</v>
      </c>
      <c r="AG22" s="109" t="str">
        <f t="shared" si="3"/>
        <v>267-268</v>
      </c>
      <c r="AH22" s="111">
        <f t="shared" si="4"/>
        <v>14935000</v>
      </c>
      <c r="AI22" s="121">
        <v>42773</v>
      </c>
      <c r="AJ22" s="88" t="s">
        <v>430</v>
      </c>
      <c r="AK22" s="111">
        <f t="shared" si="5"/>
        <v>116</v>
      </c>
      <c r="AL22" s="111">
        <v>79969790</v>
      </c>
      <c r="AM22" s="101">
        <f t="shared" si="7"/>
        <v>0</v>
      </c>
    </row>
    <row r="23" spans="1:39" s="112" customFormat="1" ht="79.5" customHeight="1">
      <c r="A23" s="261" t="s">
        <v>106</v>
      </c>
      <c r="B23" s="92">
        <f t="shared" si="8"/>
        <v>14935000</v>
      </c>
      <c r="C23" s="260" t="s">
        <v>78</v>
      </c>
      <c r="D23" s="260" t="s">
        <v>107</v>
      </c>
      <c r="E23" s="260" t="s">
        <v>110</v>
      </c>
      <c r="F23" s="260" t="s">
        <v>131</v>
      </c>
      <c r="G23" s="260" t="s">
        <v>108</v>
      </c>
      <c r="H23" s="64">
        <v>148</v>
      </c>
      <c r="I23" s="61">
        <v>152</v>
      </c>
      <c r="J23" s="62">
        <f>15360648-425648</f>
        <v>14935000</v>
      </c>
      <c r="K23" s="62" t="s">
        <v>1268</v>
      </c>
      <c r="L23" s="62">
        <f>14935000+425648-425648</f>
        <v>14935000</v>
      </c>
      <c r="M23" s="63">
        <v>115</v>
      </c>
      <c r="N23" s="76"/>
      <c r="O23" s="51"/>
      <c r="P23" s="62">
        <v>2389600</v>
      </c>
      <c r="Q23" s="62">
        <v>2987000</v>
      </c>
      <c r="R23" s="62">
        <v>2987000</v>
      </c>
      <c r="S23" s="62">
        <f>2987000</f>
        <v>2987000</v>
      </c>
      <c r="T23" s="62">
        <v>2987000</v>
      </c>
      <c r="U23" s="62">
        <f>597400</f>
        <v>597400</v>
      </c>
      <c r="V23" s="62"/>
      <c r="W23" s="62"/>
      <c r="X23" s="62"/>
      <c r="Y23" s="79"/>
      <c r="Z23" s="75">
        <f t="shared" si="6"/>
        <v>14935000</v>
      </c>
      <c r="AA23" s="251">
        <f t="shared" si="0"/>
        <v>0</v>
      </c>
      <c r="AC23" s="83" t="s">
        <v>365</v>
      </c>
      <c r="AD23" s="167">
        <f t="shared" si="1"/>
        <v>152</v>
      </c>
      <c r="AE23" s="111">
        <f t="shared" si="2"/>
        <v>14935000</v>
      </c>
      <c r="AF23" s="198">
        <v>42769</v>
      </c>
      <c r="AG23" s="109" t="str">
        <f t="shared" si="3"/>
        <v>265-266</v>
      </c>
      <c r="AH23" s="111">
        <f t="shared" si="4"/>
        <v>14935000</v>
      </c>
      <c r="AI23" s="121">
        <v>42773</v>
      </c>
      <c r="AJ23" s="88" t="s">
        <v>431</v>
      </c>
      <c r="AK23" s="111">
        <f t="shared" si="5"/>
        <v>115</v>
      </c>
      <c r="AL23" s="111">
        <v>52740161</v>
      </c>
      <c r="AM23" s="101">
        <f t="shared" si="7"/>
        <v>0</v>
      </c>
    </row>
    <row r="24" spans="1:39" s="112" customFormat="1" ht="79.5" customHeight="1">
      <c r="A24" s="261" t="s">
        <v>106</v>
      </c>
      <c r="B24" s="92">
        <f t="shared" si="8"/>
        <v>31033334</v>
      </c>
      <c r="C24" s="260" t="s">
        <v>78</v>
      </c>
      <c r="D24" s="260" t="s">
        <v>107</v>
      </c>
      <c r="E24" s="260" t="s">
        <v>110</v>
      </c>
      <c r="F24" s="260" t="s">
        <v>131</v>
      </c>
      <c r="G24" s="260" t="s">
        <v>108</v>
      </c>
      <c r="H24" s="64">
        <v>140</v>
      </c>
      <c r="I24" s="61" t="s">
        <v>926</v>
      </c>
      <c r="J24" s="62">
        <f>29400000-1633333+3266667</f>
        <v>31033334</v>
      </c>
      <c r="K24" s="62" t="s">
        <v>1115</v>
      </c>
      <c r="L24" s="62">
        <f>29400000-1633333+3266667</f>
        <v>31033334</v>
      </c>
      <c r="M24" s="63">
        <v>259</v>
      </c>
      <c r="N24" s="76"/>
      <c r="O24" s="51"/>
      <c r="P24" s="51"/>
      <c r="Q24" s="51"/>
      <c r="R24" s="51"/>
      <c r="S24" s="51"/>
      <c r="T24" s="51"/>
      <c r="U24" s="62">
        <f>3266667</f>
        <v>3266667</v>
      </c>
      <c r="V24" s="62">
        <f>4900000</f>
        <v>4900000</v>
      </c>
      <c r="W24" s="62">
        <f>4900000</f>
        <v>4900000</v>
      </c>
      <c r="X24" s="62">
        <f>4900000</f>
        <v>4900000</v>
      </c>
      <c r="Y24" s="79">
        <f>4900000+4900000+163333</f>
        <v>9963333</v>
      </c>
      <c r="Z24" s="75">
        <f t="shared" si="6"/>
        <v>27930000</v>
      </c>
      <c r="AA24" s="251">
        <f t="shared" si="0"/>
        <v>3103334</v>
      </c>
      <c r="AC24" s="83" t="s">
        <v>253</v>
      </c>
      <c r="AD24" s="167" t="str">
        <f t="shared" si="1"/>
        <v>359 - 649</v>
      </c>
      <c r="AE24" s="111">
        <f t="shared" si="2"/>
        <v>31033334</v>
      </c>
      <c r="AF24" s="198">
        <v>42901</v>
      </c>
      <c r="AG24" s="109" t="str">
        <f t="shared" si="3"/>
        <v>611 - 1063</v>
      </c>
      <c r="AH24" s="111">
        <f t="shared" si="4"/>
        <v>31033334</v>
      </c>
      <c r="AI24" s="410">
        <v>42927</v>
      </c>
      <c r="AJ24" s="88" t="s">
        <v>678</v>
      </c>
      <c r="AK24" s="111">
        <f t="shared" si="5"/>
        <v>259</v>
      </c>
      <c r="AL24" s="111"/>
      <c r="AM24" s="101">
        <f t="shared" si="7"/>
        <v>0</v>
      </c>
    </row>
    <row r="25" spans="1:39" s="112" customFormat="1" ht="79.5" customHeight="1">
      <c r="A25" s="261" t="s">
        <v>106</v>
      </c>
      <c r="B25" s="92">
        <f t="shared" si="8"/>
        <v>7023333</v>
      </c>
      <c r="C25" s="260" t="s">
        <v>78</v>
      </c>
      <c r="D25" s="260" t="s">
        <v>107</v>
      </c>
      <c r="E25" s="260" t="s">
        <v>110</v>
      </c>
      <c r="F25" s="260" t="s">
        <v>131</v>
      </c>
      <c r="G25" s="260" t="s">
        <v>108</v>
      </c>
      <c r="H25" s="64">
        <v>151</v>
      </c>
      <c r="I25" s="61">
        <v>373</v>
      </c>
      <c r="J25" s="62">
        <f>29400000-22376667</f>
        <v>7023333</v>
      </c>
      <c r="K25" s="62">
        <v>610</v>
      </c>
      <c r="L25" s="62">
        <f>27766667-20743334</f>
        <v>7023333</v>
      </c>
      <c r="M25" s="63">
        <v>258</v>
      </c>
      <c r="N25" s="76"/>
      <c r="O25" s="51"/>
      <c r="P25" s="51"/>
      <c r="Q25" s="51"/>
      <c r="R25" s="51"/>
      <c r="S25" s="51"/>
      <c r="T25" s="51"/>
      <c r="U25" s="62">
        <f>3430000</f>
        <v>3430000</v>
      </c>
      <c r="V25" s="51"/>
      <c r="W25" s="62">
        <f>3593333</f>
        <v>3593333</v>
      </c>
      <c r="X25" s="51"/>
      <c r="Y25" s="77"/>
      <c r="Z25" s="75">
        <f t="shared" si="6"/>
        <v>7023333</v>
      </c>
      <c r="AA25" s="251">
        <f t="shared" si="0"/>
        <v>0</v>
      </c>
      <c r="AC25" s="83" t="s">
        <v>249</v>
      </c>
      <c r="AD25" s="167">
        <f t="shared" si="1"/>
        <v>373</v>
      </c>
      <c r="AE25" s="111">
        <f t="shared" si="2"/>
        <v>7023333</v>
      </c>
      <c r="AF25" s="198">
        <v>42915</v>
      </c>
      <c r="AG25" s="109">
        <f t="shared" si="3"/>
        <v>610</v>
      </c>
      <c r="AH25" s="111">
        <f t="shared" si="4"/>
        <v>7023333</v>
      </c>
      <c r="AI25" s="410">
        <v>42926</v>
      </c>
      <c r="AJ25" s="88" t="s">
        <v>677</v>
      </c>
      <c r="AK25" s="111">
        <f t="shared" si="5"/>
        <v>258</v>
      </c>
      <c r="AL25" s="111"/>
      <c r="AM25" s="101">
        <f t="shared" ref="AM25:AM32" si="9">AE25-AH25</f>
        <v>0</v>
      </c>
    </row>
    <row r="26" spans="1:39" s="112" customFormat="1" ht="79.5" customHeight="1">
      <c r="A26" s="261" t="s">
        <v>106</v>
      </c>
      <c r="B26" s="92">
        <f t="shared" si="8"/>
        <v>26693333</v>
      </c>
      <c r="C26" s="260" t="s">
        <v>78</v>
      </c>
      <c r="D26" s="260" t="s">
        <v>107</v>
      </c>
      <c r="E26" s="260" t="s">
        <v>110</v>
      </c>
      <c r="F26" s="260" t="s">
        <v>131</v>
      </c>
      <c r="G26" s="260" t="s">
        <v>108</v>
      </c>
      <c r="H26" s="64">
        <v>143</v>
      </c>
      <c r="I26" s="61" t="s">
        <v>927</v>
      </c>
      <c r="J26" s="62">
        <f>22750000+3943333</f>
        <v>26693333</v>
      </c>
      <c r="K26" s="62" t="s">
        <v>1118</v>
      </c>
      <c r="L26" s="62">
        <f>22750000+3943333</f>
        <v>26693333</v>
      </c>
      <c r="M26" s="63">
        <v>262</v>
      </c>
      <c r="N26" s="76"/>
      <c r="O26" s="51"/>
      <c r="P26" s="51"/>
      <c r="Q26" s="51"/>
      <c r="R26" s="51"/>
      <c r="S26" s="51"/>
      <c r="T26" s="51"/>
      <c r="U26" s="62">
        <f>1971667</f>
        <v>1971667</v>
      </c>
      <c r="V26" s="62">
        <f>4550000</f>
        <v>4550000</v>
      </c>
      <c r="W26" s="62">
        <f>4550000</f>
        <v>4550000</v>
      </c>
      <c r="X26" s="62">
        <f>4550000</f>
        <v>4550000</v>
      </c>
      <c r="Y26" s="79">
        <f>4550000+2578333+2123333</f>
        <v>9251666</v>
      </c>
      <c r="Z26" s="75">
        <f t="shared" ref="Z26:Z32" si="10">SUM(N26:Y26)</f>
        <v>24873333</v>
      </c>
      <c r="AA26" s="251">
        <f t="shared" si="0"/>
        <v>1820000</v>
      </c>
      <c r="AC26" s="83" t="s">
        <v>255</v>
      </c>
      <c r="AD26" s="167" t="str">
        <f t="shared" si="1"/>
        <v>382 - 650</v>
      </c>
      <c r="AE26" s="111">
        <f t="shared" si="2"/>
        <v>26693333</v>
      </c>
      <c r="AF26" s="198">
        <v>42926</v>
      </c>
      <c r="AG26" s="109" t="str">
        <f t="shared" si="3"/>
        <v>623 - 1066</v>
      </c>
      <c r="AH26" s="111">
        <f t="shared" si="4"/>
        <v>26693333</v>
      </c>
      <c r="AI26" s="121">
        <v>42934</v>
      </c>
      <c r="AJ26" s="88" t="s">
        <v>427</v>
      </c>
      <c r="AK26" s="111">
        <f t="shared" si="5"/>
        <v>262</v>
      </c>
      <c r="AL26" s="111"/>
      <c r="AM26" s="101">
        <f t="shared" si="9"/>
        <v>0</v>
      </c>
    </row>
    <row r="27" spans="1:39" s="112" customFormat="1" ht="79.5" customHeight="1">
      <c r="A27" s="261" t="s">
        <v>106</v>
      </c>
      <c r="B27" s="92">
        <f t="shared" si="8"/>
        <v>30041667</v>
      </c>
      <c r="C27" s="260" t="s">
        <v>78</v>
      </c>
      <c r="D27" s="260" t="s">
        <v>107</v>
      </c>
      <c r="E27" s="260" t="s">
        <v>110</v>
      </c>
      <c r="F27" s="260" t="s">
        <v>131</v>
      </c>
      <c r="G27" s="260" t="s">
        <v>108</v>
      </c>
      <c r="H27" s="64">
        <v>138</v>
      </c>
      <c r="I27" s="61" t="s">
        <v>925</v>
      </c>
      <c r="J27" s="62">
        <f>25750000+4291667</f>
        <v>30041667</v>
      </c>
      <c r="K27" s="62" t="s">
        <v>1117</v>
      </c>
      <c r="L27" s="62">
        <f>25750000+4291667</f>
        <v>30041667</v>
      </c>
      <c r="M27" s="63">
        <v>269</v>
      </c>
      <c r="N27" s="76"/>
      <c r="O27" s="51"/>
      <c r="P27" s="51"/>
      <c r="Q27" s="51"/>
      <c r="R27" s="51"/>
      <c r="S27" s="51"/>
      <c r="T27" s="51"/>
      <c r="U27" s="62">
        <f>2060000</f>
        <v>2060000</v>
      </c>
      <c r="V27" s="62">
        <f>5150000</f>
        <v>5150000</v>
      </c>
      <c r="W27" s="62">
        <f>5150000</f>
        <v>5150000</v>
      </c>
      <c r="X27" s="62">
        <f>5150000</f>
        <v>5150000</v>
      </c>
      <c r="Y27" s="79">
        <f>5150000+3090000+2231667</f>
        <v>10471667</v>
      </c>
      <c r="Z27" s="75">
        <f t="shared" si="10"/>
        <v>27981667</v>
      </c>
      <c r="AA27" s="251">
        <f t="shared" si="0"/>
        <v>2060000</v>
      </c>
      <c r="AC27" s="83" t="s">
        <v>681</v>
      </c>
      <c r="AD27" s="167" t="str">
        <f t="shared" si="1"/>
        <v>384 - 648</v>
      </c>
      <c r="AE27" s="111">
        <f t="shared" si="2"/>
        <v>30041667</v>
      </c>
      <c r="AF27" s="198">
        <v>42929</v>
      </c>
      <c r="AG27" s="109" t="str">
        <f t="shared" si="3"/>
        <v>629 - 1065</v>
      </c>
      <c r="AH27" s="111">
        <f t="shared" si="4"/>
        <v>30041667</v>
      </c>
      <c r="AI27" s="121">
        <v>42935</v>
      </c>
      <c r="AJ27" s="88" t="s">
        <v>424</v>
      </c>
      <c r="AK27" s="111">
        <f t="shared" si="5"/>
        <v>269</v>
      </c>
      <c r="AL27" s="111"/>
      <c r="AM27" s="101">
        <f t="shared" si="9"/>
        <v>0</v>
      </c>
    </row>
    <row r="28" spans="1:39" s="112" customFormat="1" ht="79.5" customHeight="1">
      <c r="A28" s="261" t="s">
        <v>106</v>
      </c>
      <c r="B28" s="92">
        <f t="shared" si="8"/>
        <v>15930666</v>
      </c>
      <c r="C28" s="260" t="s">
        <v>78</v>
      </c>
      <c r="D28" s="260" t="s">
        <v>107</v>
      </c>
      <c r="E28" s="260" t="s">
        <v>110</v>
      </c>
      <c r="F28" s="260" t="s">
        <v>131</v>
      </c>
      <c r="G28" s="260" t="s">
        <v>108</v>
      </c>
      <c r="H28" s="64">
        <v>147</v>
      </c>
      <c r="I28" s="61" t="s">
        <v>928</v>
      </c>
      <c r="J28" s="62">
        <f>14935000-995667+1991333</f>
        <v>15930666</v>
      </c>
      <c r="K28" s="62" t="s">
        <v>1126</v>
      </c>
      <c r="L28" s="62">
        <f>13939333+1991333</f>
        <v>15930666</v>
      </c>
      <c r="M28" s="63">
        <v>287</v>
      </c>
      <c r="N28" s="76"/>
      <c r="O28" s="51"/>
      <c r="P28" s="51"/>
      <c r="Q28" s="51"/>
      <c r="R28" s="51"/>
      <c r="S28" s="51"/>
      <c r="T28" s="51"/>
      <c r="U28" s="51"/>
      <c r="V28" s="62">
        <f>1991333</f>
        <v>1991333</v>
      </c>
      <c r="W28" s="62">
        <f>2987000</f>
        <v>2987000</v>
      </c>
      <c r="X28" s="62">
        <f>2987000</f>
        <v>2987000</v>
      </c>
      <c r="Y28" s="79">
        <f>2987000+2987000+99567</f>
        <v>6073567</v>
      </c>
      <c r="Z28" s="75">
        <f t="shared" si="10"/>
        <v>14038900</v>
      </c>
      <c r="AA28" s="251">
        <f t="shared" si="0"/>
        <v>1891766</v>
      </c>
      <c r="AC28" s="83" t="s">
        <v>708</v>
      </c>
      <c r="AD28" s="167" t="str">
        <f t="shared" si="1"/>
        <v>407 - 652</v>
      </c>
      <c r="AE28" s="111">
        <f t="shared" si="2"/>
        <v>15930666</v>
      </c>
      <c r="AF28" s="198">
        <v>42947</v>
      </c>
      <c r="AG28" s="109" t="str">
        <f t="shared" si="3"/>
        <v>692 - 1095</v>
      </c>
      <c r="AH28" s="111">
        <f t="shared" si="4"/>
        <v>15930666</v>
      </c>
      <c r="AI28" s="121">
        <v>42958</v>
      </c>
      <c r="AJ28" s="88" t="s">
        <v>431</v>
      </c>
      <c r="AK28" s="111">
        <f t="shared" si="5"/>
        <v>287</v>
      </c>
      <c r="AL28" s="111"/>
      <c r="AM28" s="101">
        <f t="shared" si="9"/>
        <v>0</v>
      </c>
    </row>
    <row r="29" spans="1:39" s="112" customFormat="1" ht="79.5" customHeight="1">
      <c r="A29" s="261" t="s">
        <v>106</v>
      </c>
      <c r="B29" s="92">
        <f t="shared" si="8"/>
        <v>20000000</v>
      </c>
      <c r="C29" s="260" t="s">
        <v>78</v>
      </c>
      <c r="D29" s="260" t="s">
        <v>107</v>
      </c>
      <c r="E29" s="260" t="s">
        <v>110</v>
      </c>
      <c r="F29" s="260" t="s">
        <v>131</v>
      </c>
      <c r="G29" s="260" t="s">
        <v>108</v>
      </c>
      <c r="H29" s="64">
        <v>354</v>
      </c>
      <c r="I29" s="61" t="s">
        <v>932</v>
      </c>
      <c r="J29" s="62">
        <f>18000000+2000000</f>
        <v>20000000</v>
      </c>
      <c r="K29" s="62" t="s">
        <v>1123</v>
      </c>
      <c r="L29" s="62">
        <f>18000000+2000000</f>
        <v>20000000</v>
      </c>
      <c r="M29" s="63">
        <v>290</v>
      </c>
      <c r="N29" s="76"/>
      <c r="O29" s="51"/>
      <c r="P29" s="51"/>
      <c r="Q29" s="51"/>
      <c r="R29" s="51"/>
      <c r="S29" s="51"/>
      <c r="T29" s="51"/>
      <c r="U29" s="51"/>
      <c r="V29" s="62">
        <f>2266667</f>
        <v>2266667</v>
      </c>
      <c r="W29" s="62">
        <f>4000000</f>
        <v>4000000</v>
      </c>
      <c r="X29" s="62">
        <f>4000000</f>
        <v>4000000</v>
      </c>
      <c r="Y29" s="79">
        <f>4000000+3733333+400000</f>
        <v>8133333</v>
      </c>
      <c r="Z29" s="75">
        <f t="shared" si="10"/>
        <v>18400000</v>
      </c>
      <c r="AA29" s="251">
        <f t="shared" si="0"/>
        <v>1600000</v>
      </c>
      <c r="AC29" s="83" t="s">
        <v>700</v>
      </c>
      <c r="AD29" s="167" t="str">
        <f t="shared" si="1"/>
        <v>409 - 656</v>
      </c>
      <c r="AE29" s="111">
        <f t="shared" si="2"/>
        <v>20000000</v>
      </c>
      <c r="AF29" s="198">
        <v>42949</v>
      </c>
      <c r="AG29" s="109" t="str">
        <f t="shared" si="3"/>
        <v>695 - 1081</v>
      </c>
      <c r="AH29" s="111">
        <f t="shared" si="4"/>
        <v>20000000</v>
      </c>
      <c r="AI29" s="121">
        <v>42961</v>
      </c>
      <c r="AJ29" s="88" t="s">
        <v>709</v>
      </c>
      <c r="AK29" s="111">
        <f t="shared" si="5"/>
        <v>290</v>
      </c>
      <c r="AL29" s="111"/>
      <c r="AM29" s="101">
        <f t="shared" si="9"/>
        <v>0</v>
      </c>
    </row>
    <row r="30" spans="1:39" s="112" customFormat="1" ht="79.5" customHeight="1">
      <c r="A30" s="261" t="s">
        <v>106</v>
      </c>
      <c r="B30" s="92">
        <f t="shared" si="8"/>
        <v>13939333</v>
      </c>
      <c r="C30" s="260" t="s">
        <v>78</v>
      </c>
      <c r="D30" s="260" t="s">
        <v>107</v>
      </c>
      <c r="E30" s="260" t="s">
        <v>110</v>
      </c>
      <c r="F30" s="260" t="s">
        <v>131</v>
      </c>
      <c r="G30" s="260" t="s">
        <v>108</v>
      </c>
      <c r="H30" s="64">
        <v>149</v>
      </c>
      <c r="I30" s="61" t="s">
        <v>929</v>
      </c>
      <c r="J30" s="62">
        <f>11948000+1991333</f>
        <v>13939333</v>
      </c>
      <c r="K30" s="62" t="s">
        <v>1116</v>
      </c>
      <c r="L30" s="62">
        <f>11948000+1991333</f>
        <v>13939333</v>
      </c>
      <c r="M30" s="63">
        <v>306</v>
      </c>
      <c r="N30" s="76"/>
      <c r="O30" s="51"/>
      <c r="P30" s="51"/>
      <c r="Q30" s="51"/>
      <c r="R30" s="51"/>
      <c r="S30" s="51"/>
      <c r="T30" s="51"/>
      <c r="U30" s="51"/>
      <c r="V30" s="51"/>
      <c r="W30" s="62">
        <f>2987000</f>
        <v>2987000</v>
      </c>
      <c r="X30" s="62">
        <f>2987000</f>
        <v>2987000</v>
      </c>
      <c r="Y30" s="79">
        <f>2987000+2987000+99567</f>
        <v>6073567</v>
      </c>
      <c r="Z30" s="75">
        <f t="shared" si="10"/>
        <v>12047567</v>
      </c>
      <c r="AA30" s="251">
        <f t="shared" si="0"/>
        <v>1891766</v>
      </c>
      <c r="AC30" s="83" t="s">
        <v>700</v>
      </c>
      <c r="AD30" s="167" t="str">
        <f t="shared" si="1"/>
        <v>434 - 653</v>
      </c>
      <c r="AE30" s="111">
        <f t="shared" si="2"/>
        <v>13939333</v>
      </c>
      <c r="AF30" s="198">
        <v>42969</v>
      </c>
      <c r="AG30" s="109" t="str">
        <f t="shared" si="3"/>
        <v>743 - 1064</v>
      </c>
      <c r="AH30" s="111">
        <f t="shared" si="4"/>
        <v>13939333</v>
      </c>
      <c r="AI30" s="121">
        <v>42979</v>
      </c>
      <c r="AJ30" s="88" t="s">
        <v>803</v>
      </c>
      <c r="AK30" s="111">
        <f t="shared" si="5"/>
        <v>306</v>
      </c>
      <c r="AL30" s="111"/>
      <c r="AM30" s="101">
        <f t="shared" si="9"/>
        <v>0</v>
      </c>
    </row>
    <row r="31" spans="1:39" s="112" customFormat="1" ht="79.5" customHeight="1">
      <c r="A31" s="261" t="s">
        <v>106</v>
      </c>
      <c r="B31" s="92">
        <f t="shared" si="8"/>
        <v>19600000</v>
      </c>
      <c r="C31" s="260" t="s">
        <v>78</v>
      </c>
      <c r="D31" s="260" t="s">
        <v>107</v>
      </c>
      <c r="E31" s="260" t="s">
        <v>110</v>
      </c>
      <c r="F31" s="260" t="s">
        <v>131</v>
      </c>
      <c r="G31" s="260" t="s">
        <v>108</v>
      </c>
      <c r="H31" s="64">
        <v>450</v>
      </c>
      <c r="I31" s="61" t="s">
        <v>933</v>
      </c>
      <c r="J31" s="62">
        <f>17150000-2450000+4900000</f>
        <v>19600000</v>
      </c>
      <c r="K31" s="62" t="s">
        <v>1121</v>
      </c>
      <c r="L31" s="62">
        <f>14700000+4900000</f>
        <v>19600000</v>
      </c>
      <c r="M31" s="63">
        <v>310</v>
      </c>
      <c r="N31" s="76"/>
      <c r="O31" s="51"/>
      <c r="P31" s="51"/>
      <c r="Q31" s="51"/>
      <c r="R31" s="51"/>
      <c r="S31" s="51"/>
      <c r="T31" s="51"/>
      <c r="U31" s="51"/>
      <c r="V31" s="51"/>
      <c r="W31" s="62">
        <f>1633333</f>
        <v>1633333</v>
      </c>
      <c r="X31" s="62">
        <f>4900000</f>
        <v>4900000</v>
      </c>
      <c r="Y31" s="79">
        <f>4900000+3266667+1796666</f>
        <v>9963333</v>
      </c>
      <c r="Z31" s="75">
        <f t="shared" si="10"/>
        <v>16496666</v>
      </c>
      <c r="AA31" s="251">
        <f t="shared" si="0"/>
        <v>3103334</v>
      </c>
      <c r="AC31" s="83" t="s">
        <v>700</v>
      </c>
      <c r="AD31" s="167" t="str">
        <f t="shared" si="1"/>
        <v>465 - 657</v>
      </c>
      <c r="AE31" s="111">
        <f t="shared" si="2"/>
        <v>19600000</v>
      </c>
      <c r="AF31" s="198">
        <v>42989</v>
      </c>
      <c r="AG31" s="109" t="str">
        <f t="shared" si="3"/>
        <v>794 - 1076</v>
      </c>
      <c r="AH31" s="111">
        <f t="shared" si="4"/>
        <v>19600000</v>
      </c>
      <c r="AI31" s="121">
        <v>42998</v>
      </c>
      <c r="AJ31" s="88" t="s">
        <v>804</v>
      </c>
      <c r="AK31" s="111">
        <f t="shared" si="5"/>
        <v>310</v>
      </c>
      <c r="AL31" s="111"/>
      <c r="AM31" s="101">
        <f t="shared" si="9"/>
        <v>0</v>
      </c>
    </row>
    <row r="32" spans="1:39" s="112" customFormat="1" ht="79.5" customHeight="1">
      <c r="A32" s="261" t="s">
        <v>106</v>
      </c>
      <c r="B32" s="92">
        <f t="shared" si="8"/>
        <v>0</v>
      </c>
      <c r="C32" s="260" t="s">
        <v>78</v>
      </c>
      <c r="D32" s="260" t="s">
        <v>107</v>
      </c>
      <c r="E32" s="260" t="s">
        <v>110</v>
      </c>
      <c r="F32" s="260" t="s">
        <v>131</v>
      </c>
      <c r="G32" s="260" t="s">
        <v>108</v>
      </c>
      <c r="H32" s="64"/>
      <c r="I32" s="61"/>
      <c r="J32" s="62"/>
      <c r="K32" s="51"/>
      <c r="L32" s="51"/>
      <c r="M32" s="48"/>
      <c r="N32" s="76"/>
      <c r="O32" s="51"/>
      <c r="P32" s="51"/>
      <c r="Q32" s="51"/>
      <c r="R32" s="51"/>
      <c r="S32" s="51"/>
      <c r="T32" s="51"/>
      <c r="U32" s="51"/>
      <c r="V32" s="51"/>
      <c r="W32" s="51"/>
      <c r="X32" s="51"/>
      <c r="Y32" s="77"/>
      <c r="Z32" s="75">
        <f t="shared" si="10"/>
        <v>0</v>
      </c>
      <c r="AA32" s="251">
        <f t="shared" si="0"/>
        <v>0</v>
      </c>
      <c r="AC32" s="83"/>
      <c r="AD32" s="167">
        <f t="shared" si="1"/>
        <v>0</v>
      </c>
      <c r="AE32" s="111">
        <f t="shared" si="2"/>
        <v>0</v>
      </c>
      <c r="AF32" s="197"/>
      <c r="AG32" s="109">
        <f t="shared" si="3"/>
        <v>0</v>
      </c>
      <c r="AH32" s="111">
        <f t="shared" si="4"/>
        <v>0</v>
      </c>
      <c r="AI32" s="88"/>
      <c r="AJ32" s="88"/>
      <c r="AK32" s="111">
        <f t="shared" si="5"/>
        <v>0</v>
      </c>
      <c r="AL32" s="111"/>
      <c r="AM32" s="101">
        <f t="shared" si="9"/>
        <v>0</v>
      </c>
    </row>
    <row r="33" spans="1:39" s="116" customFormat="1">
      <c r="A33" s="255" t="s">
        <v>132</v>
      </c>
      <c r="B33" s="54">
        <f>B16-B17-B18-B19-B20-B21-B22-B23-B24-B25-B26-B27-B28-B29-B30-B31-B32</f>
        <v>0</v>
      </c>
      <c r="C33" s="99"/>
      <c r="D33" s="99"/>
      <c r="E33" s="99"/>
      <c r="F33" s="99"/>
      <c r="G33" s="164"/>
      <c r="H33" s="144"/>
      <c r="I33" s="51"/>
      <c r="J33" s="51">
        <f>SUM(J16:J32)</f>
        <v>322343888</v>
      </c>
      <c r="K33" s="51"/>
      <c r="L33" s="51">
        <f>SUM(L16:L32)</f>
        <v>322343888</v>
      </c>
      <c r="M33" s="51"/>
      <c r="N33" s="51">
        <f t="shared" ref="N33:AM33" si="11">SUM(N16:N29)</f>
        <v>0</v>
      </c>
      <c r="O33" s="51">
        <f t="shared" si="11"/>
        <v>0</v>
      </c>
      <c r="P33" s="51">
        <f t="shared" si="11"/>
        <v>22385222</v>
      </c>
      <c r="Q33" s="51">
        <f t="shared" si="11"/>
        <v>27444098</v>
      </c>
      <c r="R33" s="51">
        <f t="shared" si="11"/>
        <v>29029098</v>
      </c>
      <c r="S33" s="51">
        <f t="shared" si="11"/>
        <v>24394098</v>
      </c>
      <c r="T33" s="51">
        <f t="shared" si="11"/>
        <v>18994380</v>
      </c>
      <c r="U33" s="51">
        <f>SUM(U16:U32)</f>
        <v>22370327</v>
      </c>
      <c r="V33" s="51">
        <f t="shared" ref="V33:AA33" si="12">SUM(V16:V32)</f>
        <v>23058000</v>
      </c>
      <c r="W33" s="51">
        <f t="shared" si="12"/>
        <v>35373999</v>
      </c>
      <c r="X33" s="51">
        <f t="shared" si="12"/>
        <v>33674000</v>
      </c>
      <c r="Y33" s="51">
        <f>SUM(Y16:Y32)</f>
        <v>68470466</v>
      </c>
      <c r="Z33" s="51">
        <f t="shared" si="12"/>
        <v>305193688</v>
      </c>
      <c r="AA33" s="256">
        <f t="shared" si="12"/>
        <v>17150200</v>
      </c>
      <c r="AB33" s="76">
        <f t="shared" si="11"/>
        <v>0</v>
      </c>
      <c r="AC33" s="51">
        <f t="shared" si="11"/>
        <v>0</v>
      </c>
      <c r="AD33" s="51">
        <f t="shared" si="11"/>
        <v>1191</v>
      </c>
      <c r="AE33" s="51">
        <f t="shared" si="11"/>
        <v>288804555</v>
      </c>
      <c r="AF33" s="51">
        <f>SUM(AF16:AF31)</f>
        <v>642880</v>
      </c>
      <c r="AG33" s="51">
        <f t="shared" si="11"/>
        <v>610</v>
      </c>
      <c r="AH33" s="51">
        <f t="shared" si="11"/>
        <v>288804555</v>
      </c>
      <c r="AI33" s="51">
        <f>SUM(AI16:AI31)</f>
        <v>643054</v>
      </c>
      <c r="AJ33" s="51">
        <f t="shared" si="11"/>
        <v>0</v>
      </c>
      <c r="AK33" s="51">
        <f t="shared" si="11"/>
        <v>2417</v>
      </c>
      <c r="AL33" s="51">
        <f t="shared" si="11"/>
        <v>435840878</v>
      </c>
      <c r="AM33" s="51">
        <f t="shared" si="11"/>
        <v>0</v>
      </c>
    </row>
    <row r="34" spans="1:39" s="112" customFormat="1" ht="85.5" customHeight="1">
      <c r="A34" s="252" t="s">
        <v>109</v>
      </c>
      <c r="B34" s="52">
        <f>1400000000+132861644+70000000-3542582+49000000+112379085+11267530+6712210+7200000+8256360</f>
        <v>1794134247</v>
      </c>
      <c r="C34" s="88" t="s">
        <v>78</v>
      </c>
      <c r="D34" s="83" t="s">
        <v>107</v>
      </c>
      <c r="E34" s="88" t="s">
        <v>110</v>
      </c>
      <c r="F34" s="88" t="s">
        <v>131</v>
      </c>
      <c r="G34" s="88" t="s">
        <v>108</v>
      </c>
      <c r="H34" s="65"/>
      <c r="I34" s="50"/>
      <c r="J34" s="51"/>
      <c r="K34" s="51"/>
      <c r="L34" s="51"/>
      <c r="M34" s="48"/>
      <c r="N34" s="74"/>
      <c r="O34" s="68"/>
      <c r="P34" s="68"/>
      <c r="Q34" s="68"/>
      <c r="R34" s="68"/>
      <c r="S34" s="68"/>
      <c r="T34" s="68"/>
      <c r="U34" s="68"/>
      <c r="V34" s="68"/>
      <c r="W34" s="47"/>
      <c r="X34" s="47"/>
      <c r="Y34" s="48"/>
      <c r="Z34" s="75">
        <f>SUM(N34:Y34)</f>
        <v>0</v>
      </c>
      <c r="AA34" s="251">
        <f t="shared" ref="AA34:AA65" si="13">L34-Z34</f>
        <v>0</v>
      </c>
      <c r="AC34" s="83"/>
      <c r="AD34" s="167">
        <f t="shared" ref="AD34:AD65" si="14">I34</f>
        <v>0</v>
      </c>
      <c r="AE34" s="111">
        <f t="shared" ref="AE34:AE65" si="15">J34</f>
        <v>0</v>
      </c>
      <c r="AF34" s="197"/>
      <c r="AG34" s="109">
        <f t="shared" ref="AG34:AG65" si="16">K34</f>
        <v>0</v>
      </c>
      <c r="AH34" s="111">
        <f t="shared" ref="AH34:AH65" si="17">L34</f>
        <v>0</v>
      </c>
      <c r="AI34" s="88"/>
      <c r="AJ34" s="88"/>
      <c r="AK34" s="111">
        <f t="shared" ref="AK34:AK66" si="18">M34</f>
        <v>0</v>
      </c>
      <c r="AL34" s="111"/>
      <c r="AM34" s="101">
        <f t="shared" si="7"/>
        <v>0</v>
      </c>
    </row>
    <row r="35" spans="1:39" s="112" customFormat="1" ht="81.75" customHeight="1">
      <c r="A35" s="372" t="s">
        <v>109</v>
      </c>
      <c r="B35" s="92">
        <f>J35</f>
        <v>51551500</v>
      </c>
      <c r="C35" s="88" t="s">
        <v>78</v>
      </c>
      <c r="D35" s="83" t="s">
        <v>107</v>
      </c>
      <c r="E35" s="88" t="s">
        <v>110</v>
      </c>
      <c r="F35" s="88" t="s">
        <v>131</v>
      </c>
      <c r="G35" s="88" t="s">
        <v>108</v>
      </c>
      <c r="H35" s="64">
        <v>106</v>
      </c>
      <c r="I35" s="61">
        <v>13</v>
      </c>
      <c r="J35" s="62">
        <f>53020718-1469218</f>
        <v>51551500</v>
      </c>
      <c r="K35" s="62" t="s">
        <v>1269</v>
      </c>
      <c r="L35" s="68">
        <f>51551500+1469218-1469218</f>
        <v>51551500</v>
      </c>
      <c r="M35" s="73">
        <v>21</v>
      </c>
      <c r="N35" s="74"/>
      <c r="O35" s="68">
        <v>2187033</v>
      </c>
      <c r="P35" s="68">
        <f>4686500</f>
        <v>4686500</v>
      </c>
      <c r="Q35" s="68">
        <v>4686500</v>
      </c>
      <c r="R35" s="68">
        <v>4686500</v>
      </c>
      <c r="S35" s="68">
        <f>4686500</f>
        <v>4686500</v>
      </c>
      <c r="T35" s="68">
        <v>4686500</v>
      </c>
      <c r="U35" s="68">
        <f>4686500</f>
        <v>4686500</v>
      </c>
      <c r="V35" s="68">
        <f>4686500</f>
        <v>4686500</v>
      </c>
      <c r="W35" s="68">
        <f>4686500</f>
        <v>4686500</v>
      </c>
      <c r="X35" s="68">
        <f>4686500</f>
        <v>4686500</v>
      </c>
      <c r="Y35" s="63">
        <f>4686500+2499467</f>
        <v>7185967</v>
      </c>
      <c r="Z35" s="75">
        <f>SUM(N35:Y35)</f>
        <v>51551500</v>
      </c>
      <c r="AA35" s="251">
        <f t="shared" si="13"/>
        <v>0</v>
      </c>
      <c r="AC35" s="83" t="s">
        <v>231</v>
      </c>
      <c r="AD35" s="167">
        <f t="shared" si="14"/>
        <v>13</v>
      </c>
      <c r="AE35" s="111">
        <f t="shared" si="15"/>
        <v>51551500</v>
      </c>
      <c r="AF35" s="198">
        <v>42746</v>
      </c>
      <c r="AG35" s="109" t="str">
        <f t="shared" si="16"/>
        <v>56-57</v>
      </c>
      <c r="AH35" s="111">
        <f t="shared" si="17"/>
        <v>51551500</v>
      </c>
      <c r="AI35" s="121">
        <v>42752</v>
      </c>
      <c r="AJ35" s="88" t="s">
        <v>343</v>
      </c>
      <c r="AK35" s="111">
        <f t="shared" si="18"/>
        <v>21</v>
      </c>
      <c r="AL35" s="111">
        <v>1015402542</v>
      </c>
      <c r="AM35" s="101">
        <f t="shared" si="7"/>
        <v>0</v>
      </c>
    </row>
    <row r="36" spans="1:39" s="112" customFormat="1" ht="84.75" customHeight="1">
      <c r="A36" s="372" t="s">
        <v>109</v>
      </c>
      <c r="B36" s="92">
        <f t="shared" ref="B36:B91" si="19">J36</f>
        <v>28325000</v>
      </c>
      <c r="C36" s="88" t="s">
        <v>78</v>
      </c>
      <c r="D36" s="83" t="s">
        <v>107</v>
      </c>
      <c r="E36" s="88" t="s">
        <v>110</v>
      </c>
      <c r="F36" s="88" t="s">
        <v>131</v>
      </c>
      <c r="G36" s="88" t="s">
        <v>108</v>
      </c>
      <c r="H36" s="64">
        <v>107</v>
      </c>
      <c r="I36" s="61">
        <v>12</v>
      </c>
      <c r="J36" s="62">
        <f>29132263-807263</f>
        <v>28325000</v>
      </c>
      <c r="K36" s="62" t="s">
        <v>1270</v>
      </c>
      <c r="L36" s="68">
        <f>28325000+807263-807263</f>
        <v>28325000</v>
      </c>
      <c r="M36" s="73">
        <v>8</v>
      </c>
      <c r="N36" s="76"/>
      <c r="O36" s="62">
        <v>1287500</v>
      </c>
      <c r="P36" s="62">
        <f>2575000</f>
        <v>2575000</v>
      </c>
      <c r="Q36" s="62">
        <v>2575000</v>
      </c>
      <c r="R36" s="62">
        <v>2575000</v>
      </c>
      <c r="S36" s="62">
        <f>2575000</f>
        <v>2575000</v>
      </c>
      <c r="T36" s="62">
        <v>2575000</v>
      </c>
      <c r="U36" s="62">
        <f>2575000</f>
        <v>2575000</v>
      </c>
      <c r="V36" s="62">
        <f>2575000</f>
        <v>2575000</v>
      </c>
      <c r="W36" s="62">
        <f>2575000</f>
        <v>2575000</v>
      </c>
      <c r="X36" s="62">
        <f>2575000</f>
        <v>2575000</v>
      </c>
      <c r="Y36" s="79">
        <f>2575000+1287500</f>
        <v>3862500</v>
      </c>
      <c r="Z36" s="75">
        <f t="shared" ref="Z36:Z43" si="20">SUM(N36:Y36)</f>
        <v>28325000</v>
      </c>
      <c r="AA36" s="251">
        <f t="shared" si="13"/>
        <v>0</v>
      </c>
      <c r="AC36" s="83" t="s">
        <v>230</v>
      </c>
      <c r="AD36" s="167">
        <f t="shared" si="14"/>
        <v>12</v>
      </c>
      <c r="AE36" s="111">
        <f t="shared" si="15"/>
        <v>28325000</v>
      </c>
      <c r="AF36" s="198">
        <v>42746</v>
      </c>
      <c r="AG36" s="109" t="str">
        <f t="shared" si="16"/>
        <v>30-31</v>
      </c>
      <c r="AH36" s="111">
        <f t="shared" si="17"/>
        <v>28325000</v>
      </c>
      <c r="AI36" s="121">
        <v>42751</v>
      </c>
      <c r="AJ36" s="88" t="s">
        <v>342</v>
      </c>
      <c r="AK36" s="111">
        <f t="shared" si="18"/>
        <v>8</v>
      </c>
      <c r="AL36" s="111">
        <v>1019051018</v>
      </c>
      <c r="AM36" s="101">
        <f t="shared" si="7"/>
        <v>0</v>
      </c>
    </row>
    <row r="37" spans="1:39" s="112" customFormat="1" ht="83.25" customHeight="1">
      <c r="A37" s="372" t="s">
        <v>109</v>
      </c>
      <c r="B37" s="92">
        <f t="shared" si="19"/>
        <v>59328000</v>
      </c>
      <c r="C37" s="88" t="s">
        <v>78</v>
      </c>
      <c r="D37" s="83" t="s">
        <v>107</v>
      </c>
      <c r="E37" s="88" t="s">
        <v>110</v>
      </c>
      <c r="F37" s="88" t="s">
        <v>131</v>
      </c>
      <c r="G37" s="88" t="s">
        <v>108</v>
      </c>
      <c r="H37" s="64">
        <v>124</v>
      </c>
      <c r="I37" s="61" t="s">
        <v>991</v>
      </c>
      <c r="J37" s="62">
        <f>55933944-1549944+4994000-50000</f>
        <v>59328000</v>
      </c>
      <c r="K37" s="62" t="s">
        <v>1271</v>
      </c>
      <c r="L37" s="68">
        <f>54384000+1549944-1549944+4944000</f>
        <v>59328000</v>
      </c>
      <c r="M37" s="73">
        <v>3</v>
      </c>
      <c r="N37" s="76"/>
      <c r="O37" s="62">
        <v>3131200</v>
      </c>
      <c r="P37" s="62">
        <f>4944000</f>
        <v>4944000</v>
      </c>
      <c r="Q37" s="62">
        <v>4944000</v>
      </c>
      <c r="R37" s="62">
        <v>4944000</v>
      </c>
      <c r="S37" s="62">
        <f t="shared" ref="S37:X37" si="21">4944000</f>
        <v>4944000</v>
      </c>
      <c r="T37" s="62">
        <f t="shared" si="21"/>
        <v>4944000</v>
      </c>
      <c r="U37" s="62">
        <f t="shared" si="21"/>
        <v>4944000</v>
      </c>
      <c r="V37" s="62">
        <f t="shared" si="21"/>
        <v>4944000</v>
      </c>
      <c r="W37" s="62">
        <f t="shared" si="21"/>
        <v>4944000</v>
      </c>
      <c r="X37" s="62">
        <f t="shared" si="21"/>
        <v>4944000</v>
      </c>
      <c r="Y37" s="79">
        <f>4944000+1812800+3131200</f>
        <v>9888000</v>
      </c>
      <c r="Z37" s="75">
        <f t="shared" si="20"/>
        <v>57515200</v>
      </c>
      <c r="AA37" s="251">
        <f t="shared" si="13"/>
        <v>1812800</v>
      </c>
      <c r="AC37" s="83" t="s">
        <v>227</v>
      </c>
      <c r="AD37" s="167" t="str">
        <f t="shared" si="14"/>
        <v>8 - 719</v>
      </c>
      <c r="AE37" s="111">
        <f t="shared" si="15"/>
        <v>59328000</v>
      </c>
      <c r="AF37" s="198">
        <v>42746</v>
      </c>
      <c r="AG37" s="109" t="str">
        <f t="shared" si="16"/>
        <v>14-15 - 1043</v>
      </c>
      <c r="AH37" s="111">
        <f t="shared" si="17"/>
        <v>59328000</v>
      </c>
      <c r="AI37" s="121">
        <v>42747</v>
      </c>
      <c r="AJ37" s="88" t="s">
        <v>338</v>
      </c>
      <c r="AK37" s="111">
        <f t="shared" si="18"/>
        <v>3</v>
      </c>
      <c r="AL37" s="111">
        <v>1130607014</v>
      </c>
      <c r="AM37" s="101">
        <f t="shared" si="7"/>
        <v>0</v>
      </c>
    </row>
    <row r="38" spans="1:39" s="112" customFormat="1" ht="81" customHeight="1">
      <c r="A38" s="372" t="s">
        <v>109</v>
      </c>
      <c r="B38" s="92">
        <f t="shared" si="19"/>
        <v>34704000</v>
      </c>
      <c r="C38" s="88" t="s">
        <v>78</v>
      </c>
      <c r="D38" s="83" t="s">
        <v>107</v>
      </c>
      <c r="E38" s="88" t="s">
        <v>110</v>
      </c>
      <c r="F38" s="88" t="s">
        <v>131</v>
      </c>
      <c r="G38" s="88" t="s">
        <v>108</v>
      </c>
      <c r="H38" s="64">
        <v>125</v>
      </c>
      <c r="I38" s="61" t="s">
        <v>992</v>
      </c>
      <c r="J38" s="62">
        <f>32718642-906642+2892000</f>
        <v>34704000</v>
      </c>
      <c r="K38" s="93" t="s">
        <v>1272</v>
      </c>
      <c r="L38" s="68">
        <f>31812000+906642-906642+2892000</f>
        <v>34704000</v>
      </c>
      <c r="M38" s="73">
        <v>2</v>
      </c>
      <c r="N38" s="76"/>
      <c r="O38" s="62">
        <v>1831600</v>
      </c>
      <c r="P38" s="62">
        <f>2892000</f>
        <v>2892000</v>
      </c>
      <c r="Q38" s="62">
        <v>2892000</v>
      </c>
      <c r="R38" s="62">
        <v>2892000</v>
      </c>
      <c r="S38" s="62">
        <f>2892000</f>
        <v>2892000</v>
      </c>
      <c r="T38" s="62">
        <v>2892000</v>
      </c>
      <c r="U38" s="62">
        <f>2892000</f>
        <v>2892000</v>
      </c>
      <c r="V38" s="62">
        <f>2892000</f>
        <v>2892000</v>
      </c>
      <c r="W38" s="62">
        <f>2892000</f>
        <v>2892000</v>
      </c>
      <c r="X38" s="62">
        <f>2892000</f>
        <v>2892000</v>
      </c>
      <c r="Y38" s="79">
        <f>2892000+1060400+1831600</f>
        <v>5784000</v>
      </c>
      <c r="Z38" s="75">
        <f t="shared" si="20"/>
        <v>33643600</v>
      </c>
      <c r="AA38" s="251">
        <f t="shared" si="13"/>
        <v>1060400</v>
      </c>
      <c r="AC38" s="83" t="s">
        <v>229</v>
      </c>
      <c r="AD38" s="167" t="str">
        <f t="shared" si="14"/>
        <v>10 - 720</v>
      </c>
      <c r="AE38" s="111">
        <f t="shared" si="15"/>
        <v>34704000</v>
      </c>
      <c r="AF38" s="198">
        <v>42746</v>
      </c>
      <c r="AG38" s="109" t="str">
        <f t="shared" si="16"/>
        <v>12-13 - 1041</v>
      </c>
      <c r="AH38" s="111">
        <f t="shared" si="17"/>
        <v>34704000</v>
      </c>
      <c r="AI38" s="121">
        <v>42747</v>
      </c>
      <c r="AJ38" s="88" t="s">
        <v>340</v>
      </c>
      <c r="AK38" s="111">
        <f t="shared" si="18"/>
        <v>2</v>
      </c>
      <c r="AL38" s="111">
        <v>11221369</v>
      </c>
      <c r="AM38" s="101">
        <f t="shared" si="7"/>
        <v>0</v>
      </c>
    </row>
    <row r="39" spans="1:39" s="112" customFormat="1" ht="78.75" customHeight="1">
      <c r="A39" s="372" t="s">
        <v>109</v>
      </c>
      <c r="B39" s="92">
        <f t="shared" si="19"/>
        <v>34188000</v>
      </c>
      <c r="C39" s="88" t="s">
        <v>78</v>
      </c>
      <c r="D39" s="83" t="s">
        <v>107</v>
      </c>
      <c r="E39" s="88" t="s">
        <v>110</v>
      </c>
      <c r="F39" s="88" t="s">
        <v>131</v>
      </c>
      <c r="G39" s="88" t="s">
        <v>108</v>
      </c>
      <c r="H39" s="64">
        <v>133</v>
      </c>
      <c r="I39" s="61" t="s">
        <v>993</v>
      </c>
      <c r="J39" s="62">
        <f>32232162-893162+2849000</f>
        <v>34188000</v>
      </c>
      <c r="K39" s="62" t="s">
        <v>1273</v>
      </c>
      <c r="L39" s="68">
        <f>31339000+893162-893162+2849000</f>
        <v>34188000</v>
      </c>
      <c r="M39" s="73">
        <v>1</v>
      </c>
      <c r="N39" s="76"/>
      <c r="O39" s="62">
        <v>1804367</v>
      </c>
      <c r="P39" s="62">
        <f>2849000</f>
        <v>2849000</v>
      </c>
      <c r="Q39" s="62">
        <v>2849000</v>
      </c>
      <c r="R39" s="62">
        <v>2849000</v>
      </c>
      <c r="S39" s="62">
        <f>2849000</f>
        <v>2849000</v>
      </c>
      <c r="T39" s="62">
        <v>2849000</v>
      </c>
      <c r="U39" s="62">
        <f>2849000</f>
        <v>2849000</v>
      </c>
      <c r="V39" s="62">
        <f>2849000</f>
        <v>2849000</v>
      </c>
      <c r="W39" s="62">
        <f>2849000</f>
        <v>2849000</v>
      </c>
      <c r="X39" s="62">
        <f>2849000</f>
        <v>2849000</v>
      </c>
      <c r="Y39" s="79">
        <f>2849000+1044633+1804367</f>
        <v>5698000</v>
      </c>
      <c r="Z39" s="75">
        <f t="shared" si="20"/>
        <v>33143367</v>
      </c>
      <c r="AA39" s="251">
        <f t="shared" si="13"/>
        <v>1044633</v>
      </c>
      <c r="AC39" s="83" t="s">
        <v>228</v>
      </c>
      <c r="AD39" s="167" t="str">
        <f t="shared" si="14"/>
        <v>9 - 721</v>
      </c>
      <c r="AE39" s="111">
        <f t="shared" si="15"/>
        <v>34188000</v>
      </c>
      <c r="AF39" s="198">
        <v>42746</v>
      </c>
      <c r="AG39" s="109" t="str">
        <f t="shared" si="16"/>
        <v>18-19 - 1039</v>
      </c>
      <c r="AH39" s="111">
        <f t="shared" si="17"/>
        <v>34188000</v>
      </c>
      <c r="AI39" s="121">
        <v>42747</v>
      </c>
      <c r="AJ39" s="88" t="s">
        <v>339</v>
      </c>
      <c r="AK39" s="111">
        <f t="shared" si="18"/>
        <v>1</v>
      </c>
      <c r="AL39" s="111">
        <v>63344285</v>
      </c>
      <c r="AM39" s="101">
        <f t="shared" si="7"/>
        <v>0</v>
      </c>
    </row>
    <row r="40" spans="1:39" s="112" customFormat="1" ht="83.25" customHeight="1">
      <c r="A40" s="372" t="s">
        <v>109</v>
      </c>
      <c r="B40" s="92">
        <f t="shared" si="19"/>
        <v>59328000</v>
      </c>
      <c r="C40" s="88" t="s">
        <v>78</v>
      </c>
      <c r="D40" s="83" t="s">
        <v>107</v>
      </c>
      <c r="E40" s="88" t="s">
        <v>110</v>
      </c>
      <c r="F40" s="88" t="s">
        <v>131</v>
      </c>
      <c r="G40" s="88" t="s">
        <v>108</v>
      </c>
      <c r="H40" s="64">
        <v>123</v>
      </c>
      <c r="I40" s="61" t="s">
        <v>990</v>
      </c>
      <c r="J40" s="62">
        <f>55933944-1549944+4994000-50000</f>
        <v>59328000</v>
      </c>
      <c r="K40" s="62" t="s">
        <v>1274</v>
      </c>
      <c r="L40" s="68">
        <f>54384000+1549944-1549944+4944000</f>
        <v>59328000</v>
      </c>
      <c r="M40" s="73">
        <v>4</v>
      </c>
      <c r="N40" s="76"/>
      <c r="O40" s="62">
        <v>3131200</v>
      </c>
      <c r="P40" s="62">
        <f>4944000</f>
        <v>4944000</v>
      </c>
      <c r="Q40" s="62">
        <v>4944000</v>
      </c>
      <c r="R40" s="62">
        <v>4944000</v>
      </c>
      <c r="S40" s="62">
        <f>4944000</f>
        <v>4944000</v>
      </c>
      <c r="T40" s="62">
        <v>4944000</v>
      </c>
      <c r="U40" s="62">
        <v>4944000</v>
      </c>
      <c r="V40" s="62">
        <f>4944000</f>
        <v>4944000</v>
      </c>
      <c r="W40" s="62">
        <f>4944000</f>
        <v>4944000</v>
      </c>
      <c r="X40" s="62">
        <f>4944000</f>
        <v>4944000</v>
      </c>
      <c r="Y40" s="79">
        <f>4944000+1812800+3131200</f>
        <v>9888000</v>
      </c>
      <c r="Z40" s="75">
        <f t="shared" si="20"/>
        <v>57515200</v>
      </c>
      <c r="AA40" s="251">
        <f t="shared" si="13"/>
        <v>1812800</v>
      </c>
      <c r="AC40" s="83" t="s">
        <v>227</v>
      </c>
      <c r="AD40" s="167" t="str">
        <f t="shared" si="14"/>
        <v>11 - 718</v>
      </c>
      <c r="AE40" s="111">
        <f t="shared" si="15"/>
        <v>59328000</v>
      </c>
      <c r="AF40" s="198">
        <v>42746</v>
      </c>
      <c r="AG40" s="109" t="str">
        <f t="shared" si="16"/>
        <v>16-17 - 1040</v>
      </c>
      <c r="AH40" s="111">
        <f t="shared" si="17"/>
        <v>59328000</v>
      </c>
      <c r="AI40" s="121">
        <v>42747</v>
      </c>
      <c r="AJ40" s="88" t="s">
        <v>341</v>
      </c>
      <c r="AK40" s="111">
        <f t="shared" si="18"/>
        <v>4</v>
      </c>
      <c r="AL40" s="111">
        <v>80257033</v>
      </c>
      <c r="AM40" s="101">
        <f t="shared" si="7"/>
        <v>0</v>
      </c>
    </row>
    <row r="41" spans="1:39" s="112" customFormat="1" ht="81.75" customHeight="1">
      <c r="A41" s="372" t="s">
        <v>109</v>
      </c>
      <c r="B41" s="92">
        <f t="shared" si="19"/>
        <v>34167041</v>
      </c>
      <c r="C41" s="88" t="s">
        <v>78</v>
      </c>
      <c r="D41" s="83" t="s">
        <v>107</v>
      </c>
      <c r="E41" s="88" t="s">
        <v>110</v>
      </c>
      <c r="F41" s="88" t="s">
        <v>131</v>
      </c>
      <c r="G41" s="88" t="s">
        <v>108</v>
      </c>
      <c r="H41" s="64" t="s">
        <v>187</v>
      </c>
      <c r="I41" s="61" t="s">
        <v>672</v>
      </c>
      <c r="J41" s="62">
        <f>51432893+1587827-18154572-699107</f>
        <v>34167041</v>
      </c>
      <c r="K41" s="62" t="s">
        <v>1275</v>
      </c>
      <c r="L41" s="68">
        <f>50007674+1425219+1543828-1425219-16729353-655108</f>
        <v>34167041</v>
      </c>
      <c r="M41" s="73">
        <v>18</v>
      </c>
      <c r="N41" s="76"/>
      <c r="O41" s="62">
        <v>2121538</v>
      </c>
      <c r="P41" s="62">
        <f>4546152+91417</f>
        <v>4637569</v>
      </c>
      <c r="Q41" s="62">
        <f>4546152+152351</f>
        <v>4698503</v>
      </c>
      <c r="R41" s="62">
        <f>4546152+152351</f>
        <v>4698503</v>
      </c>
      <c r="S41" s="62">
        <f>4546152+152351</f>
        <v>4698503</v>
      </c>
      <c r="T41" s="62">
        <f>4546152+152351</f>
        <v>4698503</v>
      </c>
      <c r="U41" s="62">
        <f>4546152+152351</f>
        <v>4698503</v>
      </c>
      <c r="V41" s="62"/>
      <c r="W41" s="51"/>
      <c r="X41" s="51"/>
      <c r="Y41" s="79">
        <f>1060769+35548</f>
        <v>1096317</v>
      </c>
      <c r="Z41" s="75">
        <f t="shared" si="20"/>
        <v>31347939</v>
      </c>
      <c r="AA41" s="251">
        <f t="shared" si="13"/>
        <v>2819102</v>
      </c>
      <c r="AC41" s="83" t="s">
        <v>363</v>
      </c>
      <c r="AD41" s="167" t="str">
        <f t="shared" si="14"/>
        <v>38-146</v>
      </c>
      <c r="AE41" s="111">
        <f t="shared" si="15"/>
        <v>34167041</v>
      </c>
      <c r="AF41" s="102" t="s">
        <v>758</v>
      </c>
      <c r="AG41" s="109" t="str">
        <f t="shared" si="16"/>
        <v>54-55-279</v>
      </c>
      <c r="AH41" s="111">
        <f t="shared" si="17"/>
        <v>34167041</v>
      </c>
      <c r="AI41" s="88">
        <v>17</v>
      </c>
      <c r="AJ41" s="88" t="s">
        <v>345</v>
      </c>
      <c r="AK41" s="111">
        <f t="shared" si="18"/>
        <v>18</v>
      </c>
      <c r="AL41" s="111">
        <v>52699294</v>
      </c>
      <c r="AM41" s="101">
        <f t="shared" si="7"/>
        <v>0</v>
      </c>
    </row>
    <row r="42" spans="1:39" s="112" customFormat="1" ht="81" customHeight="1">
      <c r="A42" s="372" t="s">
        <v>109</v>
      </c>
      <c r="B42" s="92">
        <f t="shared" si="19"/>
        <v>66187801</v>
      </c>
      <c r="C42" s="88" t="s">
        <v>78</v>
      </c>
      <c r="D42" s="83" t="s">
        <v>107</v>
      </c>
      <c r="E42" s="88" t="s">
        <v>110</v>
      </c>
      <c r="F42" s="88" t="s">
        <v>131</v>
      </c>
      <c r="G42" s="88" t="s">
        <v>108</v>
      </c>
      <c r="H42" s="64">
        <v>109</v>
      </c>
      <c r="I42" s="61" t="s">
        <v>905</v>
      </c>
      <c r="J42" s="62">
        <f>62925687-60330086+60065429-1664429+5191200</f>
        <v>66187801</v>
      </c>
      <c r="K42" s="62" t="s">
        <v>1276</v>
      </c>
      <c r="L42" s="68">
        <f>61182000-58586400+1743687-1743686+58401000+1664429-1664429+5191200</f>
        <v>66187801</v>
      </c>
      <c r="M42" s="73" t="s">
        <v>749</v>
      </c>
      <c r="N42" s="76"/>
      <c r="O42" s="62">
        <v>2595600</v>
      </c>
      <c r="P42" s="62">
        <f>4264200</f>
        <v>4264200</v>
      </c>
      <c r="Q42" s="62">
        <v>5562000</v>
      </c>
      <c r="R42" s="62">
        <v>5562000</v>
      </c>
      <c r="S42" s="62">
        <f>5562000</f>
        <v>5562000</v>
      </c>
      <c r="T42" s="62">
        <v>5562000</v>
      </c>
      <c r="U42" s="62">
        <f>5562000</f>
        <v>5562000</v>
      </c>
      <c r="V42" s="62">
        <f>5562000</f>
        <v>5562000</v>
      </c>
      <c r="W42" s="62">
        <f>5562000</f>
        <v>5562000</v>
      </c>
      <c r="X42" s="62">
        <f>5562000</f>
        <v>5562000</v>
      </c>
      <c r="Y42" s="79">
        <f>5562000+4078800+1483200</f>
        <v>11124000</v>
      </c>
      <c r="Z42" s="75">
        <f t="shared" si="20"/>
        <v>62479800</v>
      </c>
      <c r="AA42" s="251">
        <f t="shared" si="13"/>
        <v>3708001</v>
      </c>
      <c r="AC42" s="83" t="s">
        <v>233</v>
      </c>
      <c r="AD42" s="167" t="str">
        <f t="shared" si="14"/>
        <v>37-147 - 623</v>
      </c>
      <c r="AE42" s="111">
        <f t="shared" si="15"/>
        <v>66187801</v>
      </c>
      <c r="AF42" s="198">
        <v>42748</v>
      </c>
      <c r="AG42" s="139" t="str">
        <f t="shared" si="16"/>
        <v>52-53-271-272 -974</v>
      </c>
      <c r="AH42" s="111">
        <f t="shared" si="17"/>
        <v>66187801</v>
      </c>
      <c r="AI42" s="121">
        <v>42752</v>
      </c>
      <c r="AJ42" s="88" t="s">
        <v>1277</v>
      </c>
      <c r="AK42" s="111" t="str">
        <f t="shared" si="18"/>
        <v>118 - 664</v>
      </c>
      <c r="AL42" s="111">
        <v>52080770</v>
      </c>
      <c r="AM42" s="101">
        <f t="shared" si="7"/>
        <v>0</v>
      </c>
    </row>
    <row r="43" spans="1:39" s="112" customFormat="1" ht="78.75" customHeight="1">
      <c r="A43" s="372" t="s">
        <v>109</v>
      </c>
      <c r="B43" s="92">
        <f t="shared" si="19"/>
        <v>37080000</v>
      </c>
      <c r="C43" s="88" t="s">
        <v>78</v>
      </c>
      <c r="D43" s="83" t="s">
        <v>107</v>
      </c>
      <c r="E43" s="88" t="s">
        <v>110</v>
      </c>
      <c r="F43" s="88" t="s">
        <v>131</v>
      </c>
      <c r="G43" s="88" t="s">
        <v>108</v>
      </c>
      <c r="H43" s="64">
        <v>105</v>
      </c>
      <c r="I43" s="61" t="s">
        <v>904</v>
      </c>
      <c r="J43" s="62">
        <f>34958715-968715+3090000</f>
        <v>37080000</v>
      </c>
      <c r="K43" s="62" t="s">
        <v>1278</v>
      </c>
      <c r="L43" s="68">
        <f>33990000+968715-968715+3090000</f>
        <v>37080000</v>
      </c>
      <c r="M43" s="73">
        <v>22</v>
      </c>
      <c r="N43" s="76"/>
      <c r="O43" s="62">
        <v>1442000</v>
      </c>
      <c r="P43" s="62">
        <f>3090000</f>
        <v>3090000</v>
      </c>
      <c r="Q43" s="62">
        <v>3090000</v>
      </c>
      <c r="R43" s="62">
        <v>3090000</v>
      </c>
      <c r="S43" s="62">
        <f>3090000</f>
        <v>3090000</v>
      </c>
      <c r="T43" s="62">
        <v>3090000</v>
      </c>
      <c r="U43" s="62">
        <f>3090000</f>
        <v>3090000</v>
      </c>
      <c r="V43" s="62">
        <f>3090000</f>
        <v>3090000</v>
      </c>
      <c r="W43" s="62">
        <f>3090000</f>
        <v>3090000</v>
      </c>
      <c r="X43" s="62">
        <f>3090000</f>
        <v>3090000</v>
      </c>
      <c r="Y43" s="79">
        <f>3090000+1648000+1442000</f>
        <v>6180000</v>
      </c>
      <c r="Z43" s="75">
        <f t="shared" si="20"/>
        <v>35432000</v>
      </c>
      <c r="AA43" s="251">
        <f t="shared" si="13"/>
        <v>1648000</v>
      </c>
      <c r="AC43" s="83" t="s">
        <v>235</v>
      </c>
      <c r="AD43" s="167" t="str">
        <f t="shared" si="14"/>
        <v>43 - 622</v>
      </c>
      <c r="AE43" s="111">
        <f t="shared" si="15"/>
        <v>37080000</v>
      </c>
      <c r="AF43" s="198">
        <v>42748</v>
      </c>
      <c r="AG43" s="109" t="str">
        <f t="shared" si="16"/>
        <v>58-59 - 969</v>
      </c>
      <c r="AH43" s="111">
        <f t="shared" si="17"/>
        <v>37080000</v>
      </c>
      <c r="AI43" s="121">
        <v>42752</v>
      </c>
      <c r="AJ43" s="88" t="s">
        <v>347</v>
      </c>
      <c r="AK43" s="111">
        <f t="shared" si="18"/>
        <v>22</v>
      </c>
      <c r="AL43" s="111">
        <v>24337588</v>
      </c>
      <c r="AM43" s="101">
        <f t="shared" si="7"/>
        <v>0</v>
      </c>
    </row>
    <row r="44" spans="1:39" s="112" customFormat="1" ht="78.75" customHeight="1">
      <c r="A44" s="372" t="s">
        <v>109</v>
      </c>
      <c r="B44" s="92">
        <f t="shared" si="19"/>
        <v>30500875</v>
      </c>
      <c r="C44" s="88" t="s">
        <v>78</v>
      </c>
      <c r="D44" s="83" t="s">
        <v>107</v>
      </c>
      <c r="E44" s="88" t="s">
        <v>110</v>
      </c>
      <c r="F44" s="88" t="s">
        <v>131</v>
      </c>
      <c r="G44" s="88" t="s">
        <v>108</v>
      </c>
      <c r="H44" s="64">
        <v>122</v>
      </c>
      <c r="I44" s="61" t="s">
        <v>996</v>
      </c>
      <c r="J44" s="62">
        <f>28642311-793686+2652250</f>
        <v>30500875</v>
      </c>
      <c r="K44" s="62" t="s">
        <v>1279</v>
      </c>
      <c r="L44" s="68">
        <f>27848625+793686-793686+2652250</f>
        <v>30500875</v>
      </c>
      <c r="M44" s="73">
        <v>79</v>
      </c>
      <c r="N44" s="76"/>
      <c r="O44" s="62"/>
      <c r="P44" s="62">
        <v>2652250</v>
      </c>
      <c r="Q44" s="62">
        <v>2652250</v>
      </c>
      <c r="R44" s="62">
        <f>2652250</f>
        <v>2652250</v>
      </c>
      <c r="S44" s="62">
        <f>2652250</f>
        <v>2652250</v>
      </c>
      <c r="T44" s="62">
        <f>2652250</f>
        <v>2652250</v>
      </c>
      <c r="U44" s="62">
        <f>2652250</f>
        <v>2652250</v>
      </c>
      <c r="V44" s="62">
        <v>2652250</v>
      </c>
      <c r="W44" s="62">
        <f>2652250</f>
        <v>2652250</v>
      </c>
      <c r="X44" s="62">
        <f>2652250</f>
        <v>2652250</v>
      </c>
      <c r="Y44" s="95">
        <f>2652250+1326125+1326125</f>
        <v>5304500</v>
      </c>
      <c r="Z44" s="75">
        <f>SUM(N44:Y44)</f>
        <v>29174750</v>
      </c>
      <c r="AA44" s="251">
        <f t="shared" si="13"/>
        <v>1326125</v>
      </c>
      <c r="AC44" s="83" t="s">
        <v>254</v>
      </c>
      <c r="AD44" s="167" t="str">
        <f t="shared" si="14"/>
        <v>134 - 755</v>
      </c>
      <c r="AE44" s="111">
        <f t="shared" si="15"/>
        <v>30500875</v>
      </c>
      <c r="AF44" s="198">
        <v>42762</v>
      </c>
      <c r="AG44" s="109" t="str">
        <f t="shared" si="16"/>
        <v>173-174 - 1090</v>
      </c>
      <c r="AH44" s="111">
        <f t="shared" si="17"/>
        <v>30500875</v>
      </c>
      <c r="AI44" s="121">
        <v>42767</v>
      </c>
      <c r="AJ44" s="88" t="s">
        <v>426</v>
      </c>
      <c r="AK44" s="111">
        <f t="shared" si="18"/>
        <v>79</v>
      </c>
      <c r="AL44" s="111">
        <v>1053769635</v>
      </c>
      <c r="AM44" s="101">
        <f t="shared" si="7"/>
        <v>0</v>
      </c>
    </row>
    <row r="45" spans="1:39" s="112" customFormat="1" ht="77.25" customHeight="1">
      <c r="A45" s="372" t="s">
        <v>109</v>
      </c>
      <c r="B45" s="92">
        <f t="shared" si="19"/>
        <v>74160000</v>
      </c>
      <c r="C45" s="88" t="s">
        <v>78</v>
      </c>
      <c r="D45" s="83" t="s">
        <v>107</v>
      </c>
      <c r="E45" s="88" t="s">
        <v>110</v>
      </c>
      <c r="F45" s="88" t="s">
        <v>131</v>
      </c>
      <c r="G45" s="88" t="s">
        <v>108</v>
      </c>
      <c r="H45" s="64">
        <v>126</v>
      </c>
      <c r="I45" s="61" t="s">
        <v>997</v>
      </c>
      <c r="J45" s="62">
        <f>69917430-1937430+6180000</f>
        <v>74160000</v>
      </c>
      <c r="K45" s="62" t="s">
        <v>1280</v>
      </c>
      <c r="L45" s="68">
        <f>67980000+1937430-1937430+6180000</f>
        <v>74160000</v>
      </c>
      <c r="M45" s="73">
        <v>17</v>
      </c>
      <c r="N45" s="76"/>
      <c r="O45" s="62">
        <v>2884000</v>
      </c>
      <c r="P45" s="62">
        <f>6180000</f>
        <v>6180000</v>
      </c>
      <c r="Q45" s="62">
        <v>6180000</v>
      </c>
      <c r="R45" s="62">
        <v>6180000</v>
      </c>
      <c r="S45" s="62">
        <f>6180000</f>
        <v>6180000</v>
      </c>
      <c r="T45" s="62">
        <v>6180000</v>
      </c>
      <c r="U45" s="62">
        <f t="shared" ref="U45:W46" si="22">6180000</f>
        <v>6180000</v>
      </c>
      <c r="V45" s="62">
        <f t="shared" si="22"/>
        <v>6180000</v>
      </c>
      <c r="W45" s="62">
        <f t="shared" si="22"/>
        <v>6180000</v>
      </c>
      <c r="X45" s="62">
        <f>6180000</f>
        <v>6180000</v>
      </c>
      <c r="Y45" s="95">
        <f>6180000+3296000+2884000</f>
        <v>12360000</v>
      </c>
      <c r="Z45" s="75">
        <f>SUM(N45:Y45)</f>
        <v>70864000</v>
      </c>
      <c r="AA45" s="251">
        <f t="shared" si="13"/>
        <v>3296000</v>
      </c>
      <c r="AC45" s="83" t="s">
        <v>237</v>
      </c>
      <c r="AD45" s="167" t="str">
        <f t="shared" si="14"/>
        <v>46 - 756</v>
      </c>
      <c r="AE45" s="111">
        <f t="shared" si="15"/>
        <v>74160000</v>
      </c>
      <c r="AF45" s="198">
        <v>42748</v>
      </c>
      <c r="AG45" s="109" t="str">
        <f t="shared" si="16"/>
        <v>44-45 - 1096</v>
      </c>
      <c r="AH45" s="111">
        <f t="shared" si="17"/>
        <v>74160000</v>
      </c>
      <c r="AI45" s="121">
        <v>42752</v>
      </c>
      <c r="AJ45" s="88" t="s">
        <v>349</v>
      </c>
      <c r="AK45" s="111">
        <f t="shared" si="18"/>
        <v>17</v>
      </c>
      <c r="AL45" s="111">
        <v>52757316</v>
      </c>
      <c r="AM45" s="101">
        <f t="shared" si="7"/>
        <v>0</v>
      </c>
    </row>
    <row r="46" spans="1:39" s="112" customFormat="1" ht="79.5" customHeight="1">
      <c r="A46" s="372" t="s">
        <v>109</v>
      </c>
      <c r="B46" s="92">
        <f t="shared" si="19"/>
        <v>74160000</v>
      </c>
      <c r="C46" s="88" t="s">
        <v>78</v>
      </c>
      <c r="D46" s="83" t="s">
        <v>107</v>
      </c>
      <c r="E46" s="88" t="s">
        <v>110</v>
      </c>
      <c r="F46" s="88" t="s">
        <v>131</v>
      </c>
      <c r="G46" s="88" t="s">
        <v>108</v>
      </c>
      <c r="H46" s="64">
        <v>132</v>
      </c>
      <c r="I46" s="61" t="s">
        <v>998</v>
      </c>
      <c r="J46" s="62">
        <f>69917430-1937430+6180000</f>
        <v>74160000</v>
      </c>
      <c r="K46" s="62" t="s">
        <v>1281</v>
      </c>
      <c r="L46" s="68">
        <f>67980000+1937430-1937430+6180000</f>
        <v>74160000</v>
      </c>
      <c r="M46" s="73">
        <v>16</v>
      </c>
      <c r="N46" s="76"/>
      <c r="O46" s="62">
        <v>2884000</v>
      </c>
      <c r="P46" s="62">
        <f>6180000</f>
        <v>6180000</v>
      </c>
      <c r="Q46" s="62">
        <v>6180000</v>
      </c>
      <c r="R46" s="62">
        <v>6180000</v>
      </c>
      <c r="S46" s="62">
        <f>6180000</f>
        <v>6180000</v>
      </c>
      <c r="T46" s="62">
        <f>6180000</f>
        <v>6180000</v>
      </c>
      <c r="U46" s="62">
        <f t="shared" si="22"/>
        <v>6180000</v>
      </c>
      <c r="V46" s="62">
        <f t="shared" si="22"/>
        <v>6180000</v>
      </c>
      <c r="W46" s="62">
        <f t="shared" si="22"/>
        <v>6180000</v>
      </c>
      <c r="X46" s="62">
        <f>6180000</f>
        <v>6180000</v>
      </c>
      <c r="Y46" s="95">
        <f>6180000+3296000+2884000</f>
        <v>12360000</v>
      </c>
      <c r="Z46" s="75">
        <f>SUM(N46:Y46)</f>
        <v>70864000</v>
      </c>
      <c r="AA46" s="251">
        <f t="shared" si="13"/>
        <v>3296000</v>
      </c>
      <c r="AC46" s="83" t="s">
        <v>238</v>
      </c>
      <c r="AD46" s="167" t="str">
        <f t="shared" si="14"/>
        <v>47 - 757</v>
      </c>
      <c r="AE46" s="111">
        <f t="shared" si="15"/>
        <v>74160000</v>
      </c>
      <c r="AF46" s="198">
        <v>42748</v>
      </c>
      <c r="AG46" s="109" t="str">
        <f t="shared" si="16"/>
        <v>46-47  - 1092</v>
      </c>
      <c r="AH46" s="111">
        <f t="shared" si="17"/>
        <v>74160000</v>
      </c>
      <c r="AI46" s="121">
        <v>42752</v>
      </c>
      <c r="AJ46" s="88" t="s">
        <v>350</v>
      </c>
      <c r="AK46" s="111">
        <f t="shared" si="18"/>
        <v>16</v>
      </c>
      <c r="AL46" s="111">
        <v>30081755</v>
      </c>
      <c r="AM46" s="101">
        <f t="shared" si="7"/>
        <v>0</v>
      </c>
    </row>
    <row r="47" spans="1:39" s="112" customFormat="1" ht="77.25" customHeight="1">
      <c r="A47" s="372" t="s">
        <v>109</v>
      </c>
      <c r="B47" s="92">
        <f t="shared" si="19"/>
        <v>96554317</v>
      </c>
      <c r="C47" s="88" t="s">
        <v>78</v>
      </c>
      <c r="D47" s="83" t="s">
        <v>107</v>
      </c>
      <c r="E47" s="88" t="s">
        <v>110</v>
      </c>
      <c r="F47" s="88" t="s">
        <v>131</v>
      </c>
      <c r="G47" s="88" t="s">
        <v>108</v>
      </c>
      <c r="H47" s="64">
        <v>104</v>
      </c>
      <c r="I47" s="61" t="s">
        <v>903</v>
      </c>
      <c r="J47" s="62">
        <f>91030604+1-2522481+8046193</f>
        <v>96554317</v>
      </c>
      <c r="K47" s="62" t="s">
        <v>1282</v>
      </c>
      <c r="L47" s="68">
        <f>88508123+2522481+1-2522481+8046193</f>
        <v>96554317</v>
      </c>
      <c r="M47" s="73">
        <v>32</v>
      </c>
      <c r="N47" s="76"/>
      <c r="O47" s="62">
        <v>3218477</v>
      </c>
      <c r="P47" s="62">
        <f>8046193</f>
        <v>8046193</v>
      </c>
      <c r="Q47" s="62">
        <v>8046193</v>
      </c>
      <c r="R47" s="62">
        <v>8046193</v>
      </c>
      <c r="S47" s="62">
        <f>8046193</f>
        <v>8046193</v>
      </c>
      <c r="T47" s="62">
        <v>8046193</v>
      </c>
      <c r="U47" s="62">
        <f>8046193</f>
        <v>8046193</v>
      </c>
      <c r="V47" s="62">
        <v>8046193</v>
      </c>
      <c r="W47" s="62">
        <f>8046193</f>
        <v>8046193</v>
      </c>
      <c r="X47" s="62">
        <f>8046193</f>
        <v>8046193</v>
      </c>
      <c r="Y47" s="95">
        <f>8046193+4827716+3218477</f>
        <v>16092386</v>
      </c>
      <c r="Z47" s="75">
        <f>SUM(N47:Y47)</f>
        <v>91726600</v>
      </c>
      <c r="AA47" s="251">
        <f t="shared" si="13"/>
        <v>4827717</v>
      </c>
      <c r="AC47" s="83" t="s">
        <v>239</v>
      </c>
      <c r="AD47" s="167" t="str">
        <f t="shared" si="14"/>
        <v>69-73 - 621</v>
      </c>
      <c r="AE47" s="111">
        <f t="shared" si="15"/>
        <v>96554317</v>
      </c>
      <c r="AF47" s="198">
        <v>42753</v>
      </c>
      <c r="AG47" s="109" t="str">
        <f t="shared" si="16"/>
        <v>88-89-92-972</v>
      </c>
      <c r="AH47" s="111">
        <f t="shared" si="17"/>
        <v>96554317</v>
      </c>
      <c r="AI47" s="121">
        <v>42754</v>
      </c>
      <c r="AJ47" s="88" t="s">
        <v>351</v>
      </c>
      <c r="AK47" s="111">
        <f t="shared" si="18"/>
        <v>32</v>
      </c>
      <c r="AL47" s="111">
        <v>34323578</v>
      </c>
      <c r="AM47" s="101">
        <f t="shared" si="7"/>
        <v>0</v>
      </c>
    </row>
    <row r="48" spans="1:39" s="112" customFormat="1" ht="79.5" customHeight="1">
      <c r="A48" s="372" t="s">
        <v>109</v>
      </c>
      <c r="B48" s="92">
        <f t="shared" si="19"/>
        <v>38990942</v>
      </c>
      <c r="C48" s="88" t="s">
        <v>78</v>
      </c>
      <c r="D48" s="83" t="s">
        <v>107</v>
      </c>
      <c r="E48" s="88" t="s">
        <v>110</v>
      </c>
      <c r="F48" s="88" t="s">
        <v>131</v>
      </c>
      <c r="G48" s="88" t="s">
        <v>108</v>
      </c>
      <c r="H48" s="64">
        <v>113</v>
      </c>
      <c r="I48" s="61" t="s">
        <v>1283</v>
      </c>
      <c r="J48" s="62">
        <f>36670336-928639+89999-89999+3249245</f>
        <v>38990942</v>
      </c>
      <c r="K48" s="62" t="s">
        <v>1284</v>
      </c>
      <c r="L48" s="68">
        <f>35741697+928639+89999-928639-89999+3249245</f>
        <v>38990942</v>
      </c>
      <c r="M48" s="73">
        <v>41</v>
      </c>
      <c r="N48" s="76"/>
      <c r="O48" s="62">
        <v>1191390</v>
      </c>
      <c r="P48" s="62">
        <f>3249245</f>
        <v>3249245</v>
      </c>
      <c r="Q48" s="62">
        <v>3249245</v>
      </c>
      <c r="R48" s="62">
        <v>3249245</v>
      </c>
      <c r="S48" s="62">
        <f>3249245</f>
        <v>3249245</v>
      </c>
      <c r="T48" s="62">
        <v>3249245</v>
      </c>
      <c r="U48" s="62">
        <f>3249245</f>
        <v>3249245</v>
      </c>
      <c r="V48" s="62">
        <v>3249245</v>
      </c>
      <c r="W48" s="62">
        <f>3249245</f>
        <v>3249245</v>
      </c>
      <c r="X48" s="62">
        <f>3249245</f>
        <v>3249245</v>
      </c>
      <c r="Y48" s="95">
        <f>3249245+2057857+1191388</f>
        <v>6498490</v>
      </c>
      <c r="Z48" s="75">
        <f>SUM(N48:Y48)</f>
        <v>36933085</v>
      </c>
      <c r="AA48" s="251">
        <f t="shared" si="13"/>
        <v>2057857</v>
      </c>
      <c r="AC48" s="83" t="s">
        <v>240</v>
      </c>
      <c r="AD48" s="167" t="str">
        <f t="shared" si="14"/>
        <v>72-86 - 624</v>
      </c>
      <c r="AE48" s="111">
        <f t="shared" si="15"/>
        <v>38990942</v>
      </c>
      <c r="AF48" s="198">
        <v>42754</v>
      </c>
      <c r="AG48" s="109" t="str">
        <f t="shared" si="16"/>
        <v>104-107-108-971</v>
      </c>
      <c r="AH48" s="111">
        <f t="shared" si="17"/>
        <v>38990942</v>
      </c>
      <c r="AI48" s="121">
        <v>42755</v>
      </c>
      <c r="AJ48" s="88" t="s">
        <v>1285</v>
      </c>
      <c r="AK48" s="111">
        <f t="shared" si="18"/>
        <v>41</v>
      </c>
      <c r="AL48" s="111">
        <v>79905599</v>
      </c>
      <c r="AM48" s="101">
        <f t="shared" si="7"/>
        <v>0</v>
      </c>
    </row>
    <row r="49" spans="1:39" s="112" customFormat="1" ht="75.75" customHeight="1">
      <c r="A49" s="372" t="s">
        <v>109</v>
      </c>
      <c r="B49" s="92">
        <f t="shared" si="19"/>
        <v>9000000</v>
      </c>
      <c r="C49" s="88" t="s">
        <v>78</v>
      </c>
      <c r="D49" s="83" t="s">
        <v>107</v>
      </c>
      <c r="E49" s="88" t="s">
        <v>110</v>
      </c>
      <c r="F49" s="88" t="s">
        <v>131</v>
      </c>
      <c r="G49" s="88" t="s">
        <v>108</v>
      </c>
      <c r="H49" s="64">
        <v>128</v>
      </c>
      <c r="I49" s="61" t="s">
        <v>574</v>
      </c>
      <c r="J49" s="62">
        <f>6171000+3000000-171000</f>
        <v>9000000</v>
      </c>
      <c r="K49" s="62" t="s">
        <v>1286</v>
      </c>
      <c r="L49" s="68">
        <f>6000000+171000+3000000-171000</f>
        <v>9000000</v>
      </c>
      <c r="M49" s="73">
        <v>60</v>
      </c>
      <c r="N49" s="76"/>
      <c r="O49" s="62"/>
      <c r="P49" s="62">
        <f>500000+3000000</f>
        <v>3500000</v>
      </c>
      <c r="Q49" s="62">
        <f>2500000+300000</f>
        <v>2800000</v>
      </c>
      <c r="R49" s="62">
        <v>2700000</v>
      </c>
      <c r="S49" s="62"/>
      <c r="T49" s="62"/>
      <c r="U49" s="62"/>
      <c r="V49" s="62"/>
      <c r="W49" s="51"/>
      <c r="X49" s="51"/>
      <c r="Y49" s="78"/>
      <c r="Z49" s="75">
        <f t="shared" ref="Z49:Z60" si="23">SUM(N49:Y49)</f>
        <v>9000000</v>
      </c>
      <c r="AA49" s="251">
        <f t="shared" si="13"/>
        <v>0</v>
      </c>
      <c r="AC49" s="83" t="s">
        <v>245</v>
      </c>
      <c r="AD49" s="167" t="str">
        <f t="shared" si="14"/>
        <v>84-250</v>
      </c>
      <c r="AE49" s="111">
        <f t="shared" si="15"/>
        <v>9000000</v>
      </c>
      <c r="AF49" s="198">
        <v>42758</v>
      </c>
      <c r="AG49" s="109" t="str">
        <f t="shared" si="16"/>
        <v>140-141-404</v>
      </c>
      <c r="AH49" s="111">
        <f t="shared" si="17"/>
        <v>9000000</v>
      </c>
      <c r="AI49" s="121">
        <v>42761</v>
      </c>
      <c r="AJ49" s="88" t="s">
        <v>355</v>
      </c>
      <c r="AK49" s="111">
        <f t="shared" si="18"/>
        <v>60</v>
      </c>
      <c r="AL49" s="111">
        <v>1074131460</v>
      </c>
      <c r="AM49" s="101">
        <f t="shared" si="7"/>
        <v>0</v>
      </c>
    </row>
    <row r="50" spans="1:39" s="112" customFormat="1" ht="86.25" customHeight="1">
      <c r="A50" s="372" t="s">
        <v>109</v>
      </c>
      <c r="B50" s="92">
        <f t="shared" si="19"/>
        <v>63983333</v>
      </c>
      <c r="C50" s="88" t="s">
        <v>78</v>
      </c>
      <c r="D50" s="83" t="s">
        <v>107</v>
      </c>
      <c r="E50" s="88" t="s">
        <v>110</v>
      </c>
      <c r="F50" s="88" t="s">
        <v>131</v>
      </c>
      <c r="G50" s="88" t="s">
        <v>108</v>
      </c>
      <c r="H50" s="64">
        <v>114</v>
      </c>
      <c r="I50" s="61" t="s">
        <v>921</v>
      </c>
      <c r="J50" s="62">
        <f>62224250-1724250+3483333</f>
        <v>63983333</v>
      </c>
      <c r="K50" s="62" t="s">
        <v>1287</v>
      </c>
      <c r="L50" s="68">
        <f>60500000+1724250-1724250+3483333</f>
        <v>63983333</v>
      </c>
      <c r="M50" s="73">
        <v>47</v>
      </c>
      <c r="N50" s="76"/>
      <c r="O50" s="62"/>
      <c r="P50" s="62">
        <f>1283333+5500000</f>
        <v>6783333</v>
      </c>
      <c r="Q50" s="62">
        <v>5500000</v>
      </c>
      <c r="R50" s="62">
        <v>5500000</v>
      </c>
      <c r="S50" s="62">
        <f>5500000</f>
        <v>5500000</v>
      </c>
      <c r="T50" s="62">
        <v>5500000</v>
      </c>
      <c r="U50" s="62">
        <f>5500000</f>
        <v>5500000</v>
      </c>
      <c r="V50" s="62">
        <f>4216667</f>
        <v>4216667</v>
      </c>
      <c r="W50" s="62">
        <f>5500000</f>
        <v>5500000</v>
      </c>
      <c r="X50" s="62">
        <f>5500000</f>
        <v>5500000</v>
      </c>
      <c r="Y50" s="95">
        <f>5500000+5500000</f>
        <v>11000000</v>
      </c>
      <c r="Z50" s="75">
        <f t="shared" si="23"/>
        <v>60500000</v>
      </c>
      <c r="AA50" s="251">
        <f t="shared" si="13"/>
        <v>3483333</v>
      </c>
      <c r="AC50" s="83" t="s">
        <v>241</v>
      </c>
      <c r="AD50" s="167" t="str">
        <f t="shared" si="14"/>
        <v>74 - 644</v>
      </c>
      <c r="AE50" s="111">
        <f t="shared" si="15"/>
        <v>63983333</v>
      </c>
      <c r="AF50" s="198">
        <v>42755</v>
      </c>
      <c r="AG50" s="109" t="str">
        <f t="shared" si="16"/>
        <v>113-114 - 1042</v>
      </c>
      <c r="AH50" s="111">
        <f t="shared" si="17"/>
        <v>63983333</v>
      </c>
      <c r="AI50" s="121">
        <v>42759</v>
      </c>
      <c r="AJ50" s="88" t="s">
        <v>352</v>
      </c>
      <c r="AK50" s="111">
        <f t="shared" si="18"/>
        <v>47</v>
      </c>
      <c r="AL50" s="111">
        <v>79939417</v>
      </c>
      <c r="AM50" s="101">
        <f t="shared" si="7"/>
        <v>0</v>
      </c>
    </row>
    <row r="51" spans="1:39" s="112" customFormat="1" ht="90" customHeight="1">
      <c r="A51" s="372" t="s">
        <v>109</v>
      </c>
      <c r="B51" s="92">
        <f t="shared" si="19"/>
        <v>79310000</v>
      </c>
      <c r="C51" s="88" t="s">
        <v>78</v>
      </c>
      <c r="D51" s="83" t="s">
        <v>107</v>
      </c>
      <c r="E51" s="88" t="s">
        <v>110</v>
      </c>
      <c r="F51" s="88" t="s">
        <v>131</v>
      </c>
      <c r="G51" s="88" t="s">
        <v>108</v>
      </c>
      <c r="H51" s="64">
        <v>129</v>
      </c>
      <c r="I51" s="61" t="s">
        <v>988</v>
      </c>
      <c r="J51" s="62">
        <f>74154850-2054850+7210000</f>
        <v>79310000</v>
      </c>
      <c r="K51" s="62" t="s">
        <v>1288</v>
      </c>
      <c r="L51" s="68">
        <f>72100000+2054850-2054850+7210000</f>
        <v>79310000</v>
      </c>
      <c r="M51" s="73">
        <v>61</v>
      </c>
      <c r="N51" s="76"/>
      <c r="O51" s="62"/>
      <c r="P51" s="62">
        <f>1201667+7210000</f>
        <v>8411667</v>
      </c>
      <c r="Q51" s="62">
        <v>7210000</v>
      </c>
      <c r="R51" s="62">
        <v>7210000</v>
      </c>
      <c r="S51" s="62">
        <f>7210000</f>
        <v>7210000</v>
      </c>
      <c r="T51" s="62">
        <f>7210000</f>
        <v>7210000</v>
      </c>
      <c r="U51" s="62">
        <f>5768000</f>
        <v>5768000</v>
      </c>
      <c r="V51" s="62">
        <f>5287333</f>
        <v>5287333</v>
      </c>
      <c r="W51" s="62">
        <f>7210000</f>
        <v>7210000</v>
      </c>
      <c r="X51" s="62">
        <f>7210000</f>
        <v>7210000</v>
      </c>
      <c r="Y51" s="95">
        <f>7210000+2163000+5047000</f>
        <v>14420000</v>
      </c>
      <c r="Z51" s="75">
        <f t="shared" si="23"/>
        <v>77147000</v>
      </c>
      <c r="AA51" s="251">
        <f t="shared" si="13"/>
        <v>2163000</v>
      </c>
      <c r="AC51" s="83" t="s">
        <v>246</v>
      </c>
      <c r="AD51" s="167" t="str">
        <f t="shared" si="14"/>
        <v>89 - 715</v>
      </c>
      <c r="AE51" s="111">
        <f t="shared" si="15"/>
        <v>79310000</v>
      </c>
      <c r="AF51" s="198">
        <v>42759</v>
      </c>
      <c r="AG51" s="109" t="str">
        <f t="shared" si="16"/>
        <v>142-143 - 1033</v>
      </c>
      <c r="AH51" s="111">
        <f t="shared" si="17"/>
        <v>79310000</v>
      </c>
      <c r="AI51" s="121">
        <v>42761</v>
      </c>
      <c r="AJ51" s="88" t="s">
        <v>356</v>
      </c>
      <c r="AK51" s="111">
        <f t="shared" si="18"/>
        <v>61</v>
      </c>
      <c r="AL51" s="111">
        <v>24099510</v>
      </c>
      <c r="AM51" s="101">
        <f t="shared" si="7"/>
        <v>0</v>
      </c>
    </row>
    <row r="52" spans="1:39" s="112" customFormat="1" ht="90" customHeight="1">
      <c r="A52" s="372" t="s">
        <v>109</v>
      </c>
      <c r="B52" s="92">
        <f t="shared" si="19"/>
        <v>10300000</v>
      </c>
      <c r="C52" s="88" t="s">
        <v>78</v>
      </c>
      <c r="D52" s="83" t="s">
        <v>107</v>
      </c>
      <c r="E52" s="88" t="s">
        <v>110</v>
      </c>
      <c r="F52" s="88" t="s">
        <v>131</v>
      </c>
      <c r="G52" s="88" t="s">
        <v>108</v>
      </c>
      <c r="H52" s="64">
        <v>119</v>
      </c>
      <c r="I52" s="61">
        <v>83</v>
      </c>
      <c r="J52" s="62">
        <f>10593550-293550</f>
        <v>10300000</v>
      </c>
      <c r="K52" s="62" t="s">
        <v>1289</v>
      </c>
      <c r="L52" s="68">
        <f>10300000+293550-293550</f>
        <v>10300000</v>
      </c>
      <c r="M52" s="73">
        <v>59</v>
      </c>
      <c r="N52" s="76"/>
      <c r="O52" s="51"/>
      <c r="P52" s="62">
        <v>2403333</v>
      </c>
      <c r="Q52" s="62">
        <v>2060000</v>
      </c>
      <c r="R52" s="62">
        <v>2060000</v>
      </c>
      <c r="S52" s="62">
        <f>2060000</f>
        <v>2060000</v>
      </c>
      <c r="T52" s="62">
        <v>1716667</v>
      </c>
      <c r="U52" s="62"/>
      <c r="V52" s="62"/>
      <c r="W52" s="62"/>
      <c r="X52" s="62"/>
      <c r="Y52" s="95"/>
      <c r="Z52" s="75">
        <f t="shared" si="23"/>
        <v>10300000</v>
      </c>
      <c r="AA52" s="251">
        <f t="shared" si="13"/>
        <v>0</v>
      </c>
      <c r="AC52" s="83" t="s">
        <v>244</v>
      </c>
      <c r="AD52" s="167">
        <f t="shared" si="14"/>
        <v>83</v>
      </c>
      <c r="AE52" s="111">
        <f t="shared" si="15"/>
        <v>10300000</v>
      </c>
      <c r="AF52" s="198">
        <v>42758</v>
      </c>
      <c r="AG52" s="109" t="str">
        <f t="shared" si="16"/>
        <v>138-139</v>
      </c>
      <c r="AH52" s="111">
        <f t="shared" si="17"/>
        <v>10300000</v>
      </c>
      <c r="AI52" s="121">
        <v>42761</v>
      </c>
      <c r="AJ52" s="88" t="s">
        <v>354</v>
      </c>
      <c r="AK52" s="111">
        <f t="shared" si="18"/>
        <v>59</v>
      </c>
      <c r="AL52" s="111">
        <v>1030583336</v>
      </c>
      <c r="AM52" s="101">
        <f t="shared" si="7"/>
        <v>0</v>
      </c>
    </row>
    <row r="53" spans="1:39" s="112" customFormat="1" ht="90" customHeight="1">
      <c r="A53" s="372" t="s">
        <v>109</v>
      </c>
      <c r="B53" s="92">
        <f t="shared" si="19"/>
        <v>37366118</v>
      </c>
      <c r="C53" s="88" t="s">
        <v>78</v>
      </c>
      <c r="D53" s="83" t="s">
        <v>107</v>
      </c>
      <c r="E53" s="88" t="s">
        <v>110</v>
      </c>
      <c r="F53" s="88" t="s">
        <v>131</v>
      </c>
      <c r="G53" s="88" t="s">
        <v>108</v>
      </c>
      <c r="H53" s="64">
        <v>121</v>
      </c>
      <c r="I53" s="61" t="s">
        <v>906</v>
      </c>
      <c r="J53" s="62">
        <f>33418485-926035+4873668</f>
        <v>37366118</v>
      </c>
      <c r="K53" s="62" t="s">
        <v>1290</v>
      </c>
      <c r="L53" s="68">
        <f>32492450+926035-926035+4873668</f>
        <v>37366118</v>
      </c>
      <c r="M53" s="73">
        <v>74</v>
      </c>
      <c r="N53" s="76"/>
      <c r="O53" s="51"/>
      <c r="P53" s="62">
        <v>3249245</v>
      </c>
      <c r="Q53" s="62">
        <v>3249245</v>
      </c>
      <c r="R53" s="62">
        <v>3249245</v>
      </c>
      <c r="S53" s="62">
        <f>3249245</f>
        <v>3249245</v>
      </c>
      <c r="T53" s="62">
        <v>3249245</v>
      </c>
      <c r="U53" s="62">
        <f>3249245</f>
        <v>3249245</v>
      </c>
      <c r="V53" s="62">
        <f>3249245</f>
        <v>3249245</v>
      </c>
      <c r="W53" s="62">
        <f>3249245</f>
        <v>3249245</v>
      </c>
      <c r="X53" s="62">
        <f>3249245</f>
        <v>3249245</v>
      </c>
      <c r="Y53" s="95">
        <f>3249245+3249245</f>
        <v>6498490</v>
      </c>
      <c r="Z53" s="75">
        <f t="shared" si="23"/>
        <v>35741695</v>
      </c>
      <c r="AA53" s="251">
        <f t="shared" si="13"/>
        <v>1624423</v>
      </c>
      <c r="AC53" s="83" t="s">
        <v>247</v>
      </c>
      <c r="AD53" s="167" t="str">
        <f t="shared" si="14"/>
        <v>113 - 625</v>
      </c>
      <c r="AE53" s="111">
        <f t="shared" si="15"/>
        <v>37366118</v>
      </c>
      <c r="AF53" s="198">
        <v>42761</v>
      </c>
      <c r="AG53" s="109" t="str">
        <f t="shared" si="16"/>
        <v>185-186 - 986</v>
      </c>
      <c r="AH53" s="111">
        <f t="shared" si="17"/>
        <v>37366118</v>
      </c>
      <c r="AI53" s="121">
        <v>42767</v>
      </c>
      <c r="AJ53" s="88" t="s">
        <v>419</v>
      </c>
      <c r="AK53" s="111">
        <f t="shared" si="18"/>
        <v>74</v>
      </c>
      <c r="AL53" s="111">
        <v>52375003</v>
      </c>
      <c r="AM53" s="101">
        <f t="shared" si="7"/>
        <v>0</v>
      </c>
    </row>
    <row r="54" spans="1:39" s="112" customFormat="1" ht="90" customHeight="1">
      <c r="A54" s="372" t="s">
        <v>109</v>
      </c>
      <c r="B54" s="92">
        <f t="shared" si="19"/>
        <v>16246225</v>
      </c>
      <c r="C54" s="88" t="s">
        <v>78</v>
      </c>
      <c r="D54" s="83" t="s">
        <v>107</v>
      </c>
      <c r="E54" s="88" t="s">
        <v>110</v>
      </c>
      <c r="F54" s="88" t="s">
        <v>131</v>
      </c>
      <c r="G54" s="88" t="s">
        <v>108</v>
      </c>
      <c r="H54" s="64">
        <v>117</v>
      </c>
      <c r="I54" s="61">
        <v>114</v>
      </c>
      <c r="J54" s="62">
        <f>16709242-463017</f>
        <v>16246225</v>
      </c>
      <c r="K54" s="62" t="s">
        <v>1291</v>
      </c>
      <c r="L54" s="68">
        <f>16246225+463017-463017</f>
        <v>16246225</v>
      </c>
      <c r="M54" s="73">
        <v>100</v>
      </c>
      <c r="N54" s="76"/>
      <c r="O54" s="51"/>
      <c r="P54" s="62">
        <v>3032629</v>
      </c>
      <c r="Q54" s="62">
        <v>3249245</v>
      </c>
      <c r="R54" s="62">
        <f>3249245</f>
        <v>3249245</v>
      </c>
      <c r="S54" s="62">
        <f>216616+3032629</f>
        <v>3249245</v>
      </c>
      <c r="T54" s="62">
        <v>3249245</v>
      </c>
      <c r="U54" s="62">
        <f>216616</f>
        <v>216616</v>
      </c>
      <c r="V54" s="62"/>
      <c r="W54" s="62"/>
      <c r="X54" s="62"/>
      <c r="Y54" s="95"/>
      <c r="Z54" s="75">
        <f t="shared" si="23"/>
        <v>16246225</v>
      </c>
      <c r="AA54" s="251">
        <f t="shared" si="13"/>
        <v>0</v>
      </c>
      <c r="AC54" s="83" t="s">
        <v>248</v>
      </c>
      <c r="AD54" s="167">
        <f t="shared" si="14"/>
        <v>114</v>
      </c>
      <c r="AE54" s="111">
        <f t="shared" si="15"/>
        <v>16246225</v>
      </c>
      <c r="AF54" s="198">
        <v>42761</v>
      </c>
      <c r="AG54" s="109" t="str">
        <f t="shared" si="16"/>
        <v>227-228</v>
      </c>
      <c r="AH54" s="111">
        <f t="shared" si="17"/>
        <v>16246225</v>
      </c>
      <c r="AI54" s="121">
        <v>42769</v>
      </c>
      <c r="AJ54" s="88" t="s">
        <v>420</v>
      </c>
      <c r="AK54" s="111">
        <f t="shared" si="18"/>
        <v>100</v>
      </c>
      <c r="AL54" s="111">
        <v>79380681</v>
      </c>
      <c r="AM54" s="101">
        <f t="shared" si="7"/>
        <v>0</v>
      </c>
    </row>
    <row r="55" spans="1:39" s="112" customFormat="1" ht="90" customHeight="1">
      <c r="A55" s="372" t="s">
        <v>109</v>
      </c>
      <c r="B55" s="92">
        <f t="shared" si="19"/>
        <v>51700000</v>
      </c>
      <c r="C55" s="88" t="s">
        <v>78</v>
      </c>
      <c r="D55" s="83" t="s">
        <v>107</v>
      </c>
      <c r="E55" s="88" t="s">
        <v>110</v>
      </c>
      <c r="F55" s="88" t="s">
        <v>131</v>
      </c>
      <c r="G55" s="88" t="s">
        <v>108</v>
      </c>
      <c r="H55" s="64">
        <v>116</v>
      </c>
      <c r="I55" s="61">
        <v>129</v>
      </c>
      <c r="J55" s="62">
        <f>53173450-1473450</f>
        <v>51700000</v>
      </c>
      <c r="K55" s="62" t="s">
        <v>1292</v>
      </c>
      <c r="L55" s="68">
        <f>51700000+1473450-1473450</f>
        <v>51700000</v>
      </c>
      <c r="M55" s="73">
        <v>99</v>
      </c>
      <c r="N55" s="76"/>
      <c r="O55" s="51"/>
      <c r="P55" s="62">
        <v>5316667</v>
      </c>
      <c r="Q55" s="62">
        <v>5500000</v>
      </c>
      <c r="R55" s="62">
        <v>5500000</v>
      </c>
      <c r="S55" s="62">
        <f>5500000</f>
        <v>5500000</v>
      </c>
      <c r="T55" s="62">
        <v>5500000</v>
      </c>
      <c r="U55" s="62">
        <f>5500000</f>
        <v>5500000</v>
      </c>
      <c r="V55" s="62">
        <f>5500000</f>
        <v>5500000</v>
      </c>
      <c r="W55" s="62">
        <f>5500000</f>
        <v>5500000</v>
      </c>
      <c r="X55" s="62">
        <f>5500000</f>
        <v>5500000</v>
      </c>
      <c r="Y55" s="95">
        <v>2383333</v>
      </c>
      <c r="Z55" s="75">
        <f t="shared" si="23"/>
        <v>51700000</v>
      </c>
      <c r="AA55" s="251">
        <f t="shared" si="13"/>
        <v>0</v>
      </c>
      <c r="AC55" s="83" t="s">
        <v>251</v>
      </c>
      <c r="AD55" s="167">
        <f t="shared" si="14"/>
        <v>129</v>
      </c>
      <c r="AE55" s="111">
        <f t="shared" si="15"/>
        <v>51700000</v>
      </c>
      <c r="AF55" s="198">
        <v>42762</v>
      </c>
      <c r="AG55" s="109" t="str">
        <f t="shared" si="16"/>
        <v>225-226</v>
      </c>
      <c r="AH55" s="111">
        <f t="shared" si="17"/>
        <v>51700000</v>
      </c>
      <c r="AI55" s="121">
        <v>42768</v>
      </c>
      <c r="AJ55" s="88" t="s">
        <v>423</v>
      </c>
      <c r="AK55" s="111">
        <f t="shared" si="18"/>
        <v>99</v>
      </c>
      <c r="AL55" s="111">
        <v>51826331</v>
      </c>
      <c r="AM55" s="101">
        <f t="shared" si="7"/>
        <v>0</v>
      </c>
    </row>
    <row r="56" spans="1:39" s="112" customFormat="1" ht="90" customHeight="1">
      <c r="A56" s="372" t="s">
        <v>109</v>
      </c>
      <c r="B56" s="92">
        <f t="shared" si="19"/>
        <v>96133333</v>
      </c>
      <c r="C56" s="88" t="s">
        <v>78</v>
      </c>
      <c r="D56" s="83" t="s">
        <v>107</v>
      </c>
      <c r="E56" s="88" t="s">
        <v>110</v>
      </c>
      <c r="F56" s="88" t="s">
        <v>131</v>
      </c>
      <c r="G56" s="88" t="s">
        <v>108</v>
      </c>
      <c r="H56" s="64">
        <v>115</v>
      </c>
      <c r="I56" s="61" t="s">
        <v>922</v>
      </c>
      <c r="J56" s="62">
        <f>93223240-2583240+5493333</f>
        <v>96133333</v>
      </c>
      <c r="K56" s="62" t="s">
        <v>1293</v>
      </c>
      <c r="L56" s="68">
        <f>90640000+2583240-2583240+5493333</f>
        <v>96133333</v>
      </c>
      <c r="M56" s="73">
        <v>81</v>
      </c>
      <c r="N56" s="76"/>
      <c r="O56" s="51"/>
      <c r="P56" s="62">
        <v>8240000</v>
      </c>
      <c r="Q56" s="62">
        <v>8240000</v>
      </c>
      <c r="R56" s="62">
        <v>8240000</v>
      </c>
      <c r="S56" s="62">
        <f>8240000</f>
        <v>8240000</v>
      </c>
      <c r="T56" s="62">
        <v>8240000</v>
      </c>
      <c r="U56" s="62">
        <f>8240000</f>
        <v>8240000</v>
      </c>
      <c r="V56" s="62">
        <f>8240000</f>
        <v>8240000</v>
      </c>
      <c r="W56" s="62">
        <f>8240000</f>
        <v>8240000</v>
      </c>
      <c r="X56" s="62">
        <f>8240000</f>
        <v>8240000</v>
      </c>
      <c r="Y56" s="95">
        <f>8240000+8240000</f>
        <v>16480000</v>
      </c>
      <c r="Z56" s="75">
        <f t="shared" si="23"/>
        <v>90640000</v>
      </c>
      <c r="AA56" s="251">
        <f t="shared" si="13"/>
        <v>5493333</v>
      </c>
      <c r="AC56" s="83" t="s">
        <v>250</v>
      </c>
      <c r="AD56" s="167" t="str">
        <f t="shared" si="14"/>
        <v>128 - 645</v>
      </c>
      <c r="AE56" s="111">
        <f t="shared" si="15"/>
        <v>96133333</v>
      </c>
      <c r="AF56" s="198">
        <v>42762</v>
      </c>
      <c r="AG56" s="109" t="str">
        <f t="shared" si="16"/>
        <v>193-194 - 1054</v>
      </c>
      <c r="AH56" s="111">
        <f t="shared" si="17"/>
        <v>96133333</v>
      </c>
      <c r="AI56" s="121">
        <v>42767</v>
      </c>
      <c r="AJ56" s="88" t="s">
        <v>422</v>
      </c>
      <c r="AK56" s="111">
        <f t="shared" si="18"/>
        <v>81</v>
      </c>
      <c r="AL56" s="111">
        <v>52774208</v>
      </c>
      <c r="AM56" s="101">
        <f t="shared" si="7"/>
        <v>0</v>
      </c>
    </row>
    <row r="57" spans="1:39" s="112" customFormat="1" ht="90" customHeight="1">
      <c r="A57" s="372" t="s">
        <v>109</v>
      </c>
      <c r="B57" s="92">
        <f t="shared" si="19"/>
        <v>67980000</v>
      </c>
      <c r="C57" s="88" t="s">
        <v>78</v>
      </c>
      <c r="D57" s="83" t="s">
        <v>107</v>
      </c>
      <c r="E57" s="88" t="s">
        <v>110</v>
      </c>
      <c r="F57" s="88" t="s">
        <v>131</v>
      </c>
      <c r="G57" s="88" t="s">
        <v>108</v>
      </c>
      <c r="H57" s="64">
        <v>152</v>
      </c>
      <c r="I57" s="61" t="s">
        <v>930</v>
      </c>
      <c r="J57" s="62">
        <f>69917430-1937430+2884000-2884000</f>
        <v>67980000</v>
      </c>
      <c r="K57" s="62" t="s">
        <v>1294</v>
      </c>
      <c r="L57" s="68">
        <f>67980000+1937430-1937430</f>
        <v>67980000</v>
      </c>
      <c r="M57" s="73">
        <v>76</v>
      </c>
      <c r="N57" s="76"/>
      <c r="O57" s="51"/>
      <c r="P57" s="62">
        <v>6180000</v>
      </c>
      <c r="Q57" s="62">
        <v>6180000</v>
      </c>
      <c r="R57" s="62">
        <v>6180000</v>
      </c>
      <c r="S57" s="62">
        <f>6180000</f>
        <v>6180000</v>
      </c>
      <c r="T57" s="62">
        <v>6180000</v>
      </c>
      <c r="U57" s="62">
        <f>6180000</f>
        <v>6180000</v>
      </c>
      <c r="V57" s="62">
        <f>6180000</f>
        <v>6180000</v>
      </c>
      <c r="W57" s="62">
        <f>6180000</f>
        <v>6180000</v>
      </c>
      <c r="X57" s="62">
        <f>4944000</f>
        <v>4944000</v>
      </c>
      <c r="Y57" s="95">
        <f>6180000+6180000</f>
        <v>12360000</v>
      </c>
      <c r="Z57" s="75">
        <f t="shared" si="23"/>
        <v>66744000</v>
      </c>
      <c r="AA57" s="251">
        <f t="shared" si="13"/>
        <v>1236000</v>
      </c>
      <c r="AC57" s="83" t="s">
        <v>256</v>
      </c>
      <c r="AD57" s="167" t="str">
        <f t="shared" si="14"/>
        <v>136 - 654</v>
      </c>
      <c r="AE57" s="111">
        <f t="shared" si="15"/>
        <v>67980000</v>
      </c>
      <c r="AF57" s="198">
        <v>42762</v>
      </c>
      <c r="AG57" s="109" t="str">
        <f t="shared" si="16"/>
        <v>175-176</v>
      </c>
      <c r="AH57" s="111">
        <f t="shared" si="17"/>
        <v>67980000</v>
      </c>
      <c r="AI57" s="121">
        <v>42767</v>
      </c>
      <c r="AJ57" s="88" t="s">
        <v>428</v>
      </c>
      <c r="AK57" s="111">
        <f t="shared" si="18"/>
        <v>76</v>
      </c>
      <c r="AL57" s="111">
        <v>1020750815</v>
      </c>
      <c r="AM57" s="101">
        <f t="shared" si="7"/>
        <v>0</v>
      </c>
    </row>
    <row r="58" spans="1:39" s="112" customFormat="1" ht="90" customHeight="1">
      <c r="A58" s="372" t="s">
        <v>109</v>
      </c>
      <c r="B58" s="92">
        <f t="shared" si="19"/>
        <v>19057534</v>
      </c>
      <c r="C58" s="88" t="s">
        <v>78</v>
      </c>
      <c r="D58" s="83" t="s">
        <v>107</v>
      </c>
      <c r="E58" s="88" t="s">
        <v>110</v>
      </c>
      <c r="F58" s="88" t="s">
        <v>131</v>
      </c>
      <c r="G58" s="88" t="s">
        <v>108</v>
      </c>
      <c r="H58" s="64">
        <v>127</v>
      </c>
      <c r="I58" s="61" t="s">
        <v>668</v>
      </c>
      <c r="J58" s="62">
        <f>16425145-561611+3194000</f>
        <v>19057534</v>
      </c>
      <c r="K58" s="62" t="s">
        <v>1295</v>
      </c>
      <c r="L58" s="68">
        <f>15970000+455145-455145+3194000-106466</f>
        <v>19057534</v>
      </c>
      <c r="M58" s="73">
        <v>98</v>
      </c>
      <c r="N58" s="76"/>
      <c r="O58" s="51"/>
      <c r="P58" s="62">
        <f>2022867+1064667</f>
        <v>3087534</v>
      </c>
      <c r="Q58" s="62">
        <v>3194000</v>
      </c>
      <c r="R58" s="62">
        <v>3194000</v>
      </c>
      <c r="S58" s="62">
        <f>3194000</f>
        <v>3194000</v>
      </c>
      <c r="T58" s="62">
        <v>3194000</v>
      </c>
      <c r="U58" s="62">
        <f>3194000</f>
        <v>3194000</v>
      </c>
      <c r="V58" s="62"/>
      <c r="W58" s="62"/>
      <c r="X58" s="62"/>
      <c r="Y58" s="95"/>
      <c r="Z58" s="75">
        <f t="shared" si="23"/>
        <v>19057534</v>
      </c>
      <c r="AA58" s="251">
        <f t="shared" si="13"/>
        <v>0</v>
      </c>
      <c r="AC58" s="83" t="s">
        <v>362</v>
      </c>
      <c r="AD58" s="167" t="str">
        <f t="shared" si="14"/>
        <v>141 - 374</v>
      </c>
      <c r="AE58" s="111">
        <f t="shared" si="15"/>
        <v>19057534</v>
      </c>
      <c r="AF58" s="198">
        <v>42767</v>
      </c>
      <c r="AG58" s="109" t="str">
        <f t="shared" si="16"/>
        <v>223-224 - 602</v>
      </c>
      <c r="AH58" s="111">
        <f t="shared" si="17"/>
        <v>19057534</v>
      </c>
      <c r="AI58" s="121">
        <v>42768</v>
      </c>
      <c r="AJ58" s="88" t="s">
        <v>429</v>
      </c>
      <c r="AK58" s="111">
        <f t="shared" si="18"/>
        <v>98</v>
      </c>
      <c r="AL58" s="111">
        <v>53011862</v>
      </c>
      <c r="AM58" s="101">
        <f t="shared" si="7"/>
        <v>0</v>
      </c>
    </row>
    <row r="59" spans="1:39" s="112" customFormat="1" ht="90" customHeight="1">
      <c r="A59" s="372" t="s">
        <v>109</v>
      </c>
      <c r="B59" s="92">
        <f t="shared" si="19"/>
        <v>79310000</v>
      </c>
      <c r="C59" s="88" t="s">
        <v>78</v>
      </c>
      <c r="D59" s="83" t="s">
        <v>107</v>
      </c>
      <c r="E59" s="88" t="s">
        <v>110</v>
      </c>
      <c r="F59" s="88" t="s">
        <v>131</v>
      </c>
      <c r="G59" s="88" t="s">
        <v>108</v>
      </c>
      <c r="H59" s="64">
        <v>130</v>
      </c>
      <c r="I59" s="61" t="s">
        <v>989</v>
      </c>
      <c r="J59" s="62">
        <f>72100000+2054850+7210000-2054850</f>
        <v>79310000</v>
      </c>
      <c r="K59" s="62" t="s">
        <v>1112</v>
      </c>
      <c r="L59" s="68">
        <f>72100000+7210000</f>
        <v>79310000</v>
      </c>
      <c r="M59" s="73">
        <v>120</v>
      </c>
      <c r="N59" s="76"/>
      <c r="O59" s="51"/>
      <c r="P59" s="62">
        <v>5287333</v>
      </c>
      <c r="Q59" s="62">
        <v>7210000</v>
      </c>
      <c r="R59" s="62">
        <v>7210000</v>
      </c>
      <c r="S59" s="62">
        <f>480666+6729333</f>
        <v>7209999</v>
      </c>
      <c r="T59" s="62">
        <v>7210000</v>
      </c>
      <c r="U59" s="62">
        <f>7210000</f>
        <v>7210000</v>
      </c>
      <c r="V59" s="62">
        <f>7210000</f>
        <v>7210000</v>
      </c>
      <c r="W59" s="62">
        <f>7210000</f>
        <v>7210000</v>
      </c>
      <c r="X59" s="62">
        <f>7210000</f>
        <v>7210000</v>
      </c>
      <c r="Y59" s="95">
        <f>7210000+1922668+3124332</f>
        <v>12257000</v>
      </c>
      <c r="Z59" s="75">
        <f t="shared" si="23"/>
        <v>75224332</v>
      </c>
      <c r="AA59" s="251">
        <f t="shared" si="13"/>
        <v>4085668</v>
      </c>
      <c r="AC59" s="83" t="s">
        <v>367</v>
      </c>
      <c r="AD59" s="167" t="str">
        <f t="shared" si="14"/>
        <v>160 - 716</v>
      </c>
      <c r="AE59" s="111">
        <f t="shared" si="15"/>
        <v>79310000</v>
      </c>
      <c r="AF59" s="198">
        <v>42775</v>
      </c>
      <c r="AG59" s="109" t="str">
        <f t="shared" si="16"/>
        <v>275 - 1034</v>
      </c>
      <c r="AH59" s="111">
        <f t="shared" si="17"/>
        <v>79310000</v>
      </c>
      <c r="AI59" s="121">
        <v>42775</v>
      </c>
      <c r="AJ59" s="88" t="s">
        <v>432</v>
      </c>
      <c r="AK59" s="111">
        <f t="shared" si="18"/>
        <v>120</v>
      </c>
      <c r="AL59" s="111">
        <v>5829653</v>
      </c>
      <c r="AM59" s="101">
        <f t="shared" si="7"/>
        <v>0</v>
      </c>
    </row>
    <row r="60" spans="1:39" s="112" customFormat="1" ht="90" customHeight="1">
      <c r="A60" s="372" t="s">
        <v>109</v>
      </c>
      <c r="B60" s="92">
        <f t="shared" si="19"/>
        <v>54384000</v>
      </c>
      <c r="C60" s="88" t="s">
        <v>78</v>
      </c>
      <c r="D60" s="83" t="s">
        <v>107</v>
      </c>
      <c r="E60" s="88" t="s">
        <v>110</v>
      </c>
      <c r="F60" s="88" t="s">
        <v>131</v>
      </c>
      <c r="G60" s="88" t="s">
        <v>108</v>
      </c>
      <c r="H60" s="64">
        <v>131</v>
      </c>
      <c r="I60" s="61" t="s">
        <v>994</v>
      </c>
      <c r="J60" s="62">
        <f>49440000+4944000</f>
        <v>54384000</v>
      </c>
      <c r="K60" s="62" t="s">
        <v>1113</v>
      </c>
      <c r="L60" s="62">
        <f>49440000+4944000</f>
        <v>54384000</v>
      </c>
      <c r="M60" s="73">
        <v>127</v>
      </c>
      <c r="N60" s="76"/>
      <c r="O60" s="51"/>
      <c r="P60" s="62">
        <f>1483200+1318400</f>
        <v>2801600</v>
      </c>
      <c r="Q60" s="62">
        <v>4944000</v>
      </c>
      <c r="R60" s="62">
        <v>4944000</v>
      </c>
      <c r="S60" s="62">
        <f>4944000</f>
        <v>4944000</v>
      </c>
      <c r="T60" s="62">
        <v>4944000</v>
      </c>
      <c r="U60" s="62">
        <f>4944000</f>
        <v>4944000</v>
      </c>
      <c r="V60" s="62">
        <v>4944000</v>
      </c>
      <c r="W60" s="62">
        <f>4944000</f>
        <v>4944000</v>
      </c>
      <c r="X60" s="62">
        <f>4944000</f>
        <v>4944000</v>
      </c>
      <c r="Y60" s="95">
        <f>4944000+2142400+2801600</f>
        <v>9888000</v>
      </c>
      <c r="Z60" s="75">
        <f t="shared" si="23"/>
        <v>52241600</v>
      </c>
      <c r="AA60" s="251">
        <f t="shared" si="13"/>
        <v>2142400</v>
      </c>
      <c r="AC60" s="83" t="s">
        <v>227</v>
      </c>
      <c r="AD60" s="167" t="str">
        <f t="shared" si="14"/>
        <v>167 - 751</v>
      </c>
      <c r="AE60" s="111">
        <f t="shared" si="15"/>
        <v>54384000</v>
      </c>
      <c r="AF60" s="198">
        <v>42779</v>
      </c>
      <c r="AG60" s="109" t="str">
        <f t="shared" si="16"/>
        <v>282 - 1055</v>
      </c>
      <c r="AH60" s="111">
        <f t="shared" si="17"/>
        <v>54384000</v>
      </c>
      <c r="AI60" s="121">
        <v>42780</v>
      </c>
      <c r="AJ60" s="88" t="s">
        <v>455</v>
      </c>
      <c r="AK60" s="111">
        <f t="shared" si="18"/>
        <v>127</v>
      </c>
      <c r="AL60" s="111">
        <v>53051195</v>
      </c>
      <c r="AM60" s="101">
        <f t="shared" si="7"/>
        <v>0</v>
      </c>
    </row>
    <row r="61" spans="1:39" s="112" customFormat="1" ht="63.75">
      <c r="A61" s="372" t="s">
        <v>109</v>
      </c>
      <c r="B61" s="92">
        <f t="shared" si="19"/>
        <v>41207352</v>
      </c>
      <c r="C61" s="88" t="s">
        <v>78</v>
      </c>
      <c r="D61" s="83" t="s">
        <v>107</v>
      </c>
      <c r="E61" s="88" t="s">
        <v>110</v>
      </c>
      <c r="F61" s="88" t="s">
        <v>131</v>
      </c>
      <c r="G61" s="88" t="s">
        <v>108</v>
      </c>
      <c r="H61" s="64">
        <v>153</v>
      </c>
      <c r="I61" s="61" t="s">
        <v>931</v>
      </c>
      <c r="J61" s="62">
        <f>41333333-2898341+2772360</f>
        <v>41207352</v>
      </c>
      <c r="K61" s="62" t="s">
        <v>1119</v>
      </c>
      <c r="L61" s="62">
        <f>38434992+2772360</f>
        <v>41207352</v>
      </c>
      <c r="M61" s="73">
        <v>143</v>
      </c>
      <c r="N61" s="76"/>
      <c r="O61" s="51"/>
      <c r="P61" s="62"/>
      <c r="Q61" s="62">
        <v>4662606</v>
      </c>
      <c r="R61" s="62">
        <v>3780491</v>
      </c>
      <c r="S61" s="62">
        <f>3780491</f>
        <v>3780491</v>
      </c>
      <c r="T61" s="62">
        <v>3780491</v>
      </c>
      <c r="U61" s="62">
        <f>3780491</f>
        <v>3780491</v>
      </c>
      <c r="V61" s="62">
        <f>3780491</f>
        <v>3780491</v>
      </c>
      <c r="W61" s="62">
        <f>3780491</f>
        <v>3780491</v>
      </c>
      <c r="X61" s="62">
        <f>3780491</f>
        <v>3780491</v>
      </c>
      <c r="Y61" s="95">
        <f>3780491+3528458+378049</f>
        <v>7686998</v>
      </c>
      <c r="Z61" s="75">
        <f t="shared" ref="Z61:Z70" si="24">SUM(N61:Y61)</f>
        <v>38813041</v>
      </c>
      <c r="AA61" s="251">
        <f t="shared" si="13"/>
        <v>2394311</v>
      </c>
      <c r="AC61" s="83" t="s">
        <v>372</v>
      </c>
      <c r="AD61" s="167" t="str">
        <f t="shared" si="14"/>
        <v>188 - 655</v>
      </c>
      <c r="AE61" s="110">
        <f t="shared" si="15"/>
        <v>41207352</v>
      </c>
      <c r="AF61" s="198">
        <v>42755</v>
      </c>
      <c r="AG61" s="109" t="str">
        <f t="shared" si="16"/>
        <v>320 - 1068</v>
      </c>
      <c r="AH61" s="111">
        <f t="shared" si="17"/>
        <v>41207352</v>
      </c>
      <c r="AI61" s="121">
        <v>42790</v>
      </c>
      <c r="AJ61" s="88" t="s">
        <v>481</v>
      </c>
      <c r="AK61" s="111">
        <f t="shared" si="18"/>
        <v>143</v>
      </c>
      <c r="AL61" s="111">
        <v>51783758</v>
      </c>
      <c r="AM61" s="101">
        <f t="shared" si="7"/>
        <v>0</v>
      </c>
    </row>
    <row r="62" spans="1:39" s="112" customFormat="1" ht="63.75">
      <c r="A62" s="372" t="s">
        <v>109</v>
      </c>
      <c r="B62" s="92">
        <f t="shared" si="19"/>
        <v>34999999</v>
      </c>
      <c r="C62" s="88" t="s">
        <v>78</v>
      </c>
      <c r="D62" s="83" t="s">
        <v>107</v>
      </c>
      <c r="E62" s="88" t="s">
        <v>110</v>
      </c>
      <c r="F62" s="88" t="s">
        <v>131</v>
      </c>
      <c r="G62" s="88" t="s">
        <v>108</v>
      </c>
      <c r="H62" s="64">
        <v>108</v>
      </c>
      <c r="I62" s="61">
        <v>190</v>
      </c>
      <c r="J62" s="62">
        <f>51333333-16333334</f>
        <v>34999999</v>
      </c>
      <c r="K62" s="62">
        <v>323</v>
      </c>
      <c r="L62" s="62">
        <f>50000000-15000001</f>
        <v>34999999</v>
      </c>
      <c r="M62" s="73">
        <v>149</v>
      </c>
      <c r="N62" s="76"/>
      <c r="O62" s="51"/>
      <c r="P62" s="62"/>
      <c r="Q62" s="62">
        <v>5000000</v>
      </c>
      <c r="R62" s="62">
        <v>5166666</v>
      </c>
      <c r="S62" s="62">
        <f t="shared" ref="S62:U63" si="25">5000000</f>
        <v>5000000</v>
      </c>
      <c r="T62" s="62">
        <f t="shared" si="25"/>
        <v>5000000</v>
      </c>
      <c r="U62" s="62">
        <f t="shared" si="25"/>
        <v>5000000</v>
      </c>
      <c r="V62" s="62">
        <f>5000000</f>
        <v>5000000</v>
      </c>
      <c r="W62" s="62">
        <v>4833333</v>
      </c>
      <c r="X62" s="62"/>
      <c r="Y62" s="95"/>
      <c r="Z62" s="75">
        <f t="shared" si="24"/>
        <v>34999999</v>
      </c>
      <c r="AA62" s="251">
        <f t="shared" si="13"/>
        <v>0</v>
      </c>
      <c r="AC62" s="83" t="s">
        <v>444</v>
      </c>
      <c r="AD62" s="167">
        <f t="shared" si="14"/>
        <v>190</v>
      </c>
      <c r="AE62" s="110">
        <f t="shared" si="15"/>
        <v>34999999</v>
      </c>
      <c r="AF62" s="198">
        <v>42787</v>
      </c>
      <c r="AG62" s="109">
        <f t="shared" si="16"/>
        <v>323</v>
      </c>
      <c r="AH62" s="111">
        <f t="shared" si="17"/>
        <v>34999999</v>
      </c>
      <c r="AI62" s="121">
        <v>42794</v>
      </c>
      <c r="AJ62" s="88" t="s">
        <v>482</v>
      </c>
      <c r="AK62" s="111">
        <f t="shared" si="18"/>
        <v>149</v>
      </c>
      <c r="AL62" s="111">
        <v>51992916</v>
      </c>
      <c r="AM62" s="101">
        <f t="shared" si="7"/>
        <v>0</v>
      </c>
    </row>
    <row r="63" spans="1:39" s="112" customFormat="1" ht="63.75">
      <c r="A63" s="372" t="s">
        <v>109</v>
      </c>
      <c r="B63" s="92">
        <f t="shared" si="19"/>
        <v>52000000</v>
      </c>
      <c r="C63" s="88" t="s">
        <v>78</v>
      </c>
      <c r="D63" s="83" t="s">
        <v>107</v>
      </c>
      <c r="E63" s="88" t="s">
        <v>110</v>
      </c>
      <c r="F63" s="88" t="s">
        <v>131</v>
      </c>
      <c r="G63" s="88" t="s">
        <v>108</v>
      </c>
      <c r="H63" s="64">
        <v>110</v>
      </c>
      <c r="I63" s="61" t="s">
        <v>853</v>
      </c>
      <c r="J63" s="62">
        <f>40000000+12000000</f>
        <v>52000000</v>
      </c>
      <c r="K63" s="62" t="s">
        <v>890</v>
      </c>
      <c r="L63" s="62">
        <f>40000000+12000000</f>
        <v>52000000</v>
      </c>
      <c r="M63" s="73">
        <v>160</v>
      </c>
      <c r="N63" s="76"/>
      <c r="O63" s="51"/>
      <c r="P63" s="62"/>
      <c r="Q63" s="62">
        <v>3833333</v>
      </c>
      <c r="R63" s="62">
        <f>4000000+1000000</f>
        <v>5000000</v>
      </c>
      <c r="S63" s="62">
        <f t="shared" si="25"/>
        <v>5000000</v>
      </c>
      <c r="T63" s="62">
        <f t="shared" si="25"/>
        <v>5000000</v>
      </c>
      <c r="U63" s="62">
        <f t="shared" si="25"/>
        <v>5000000</v>
      </c>
      <c r="V63" s="62">
        <f>5000000</f>
        <v>5000000</v>
      </c>
      <c r="W63" s="62">
        <f>5000000</f>
        <v>5000000</v>
      </c>
      <c r="X63" s="62">
        <f>5000000</f>
        <v>5000000</v>
      </c>
      <c r="Y63" s="95">
        <f>1166667+1166667+2666666+5000000</f>
        <v>10000000</v>
      </c>
      <c r="Z63" s="75">
        <f t="shared" si="24"/>
        <v>48833333</v>
      </c>
      <c r="AA63" s="251">
        <f t="shared" si="13"/>
        <v>3166667</v>
      </c>
      <c r="AC63" s="83" t="s">
        <v>503</v>
      </c>
      <c r="AD63" s="167" t="str">
        <f t="shared" si="14"/>
        <v>212 - 572</v>
      </c>
      <c r="AE63" s="110">
        <f t="shared" si="15"/>
        <v>52000000</v>
      </c>
      <c r="AF63" s="198">
        <v>42800</v>
      </c>
      <c r="AG63" s="109" t="str">
        <f t="shared" si="16"/>
        <v>347 - 916</v>
      </c>
      <c r="AH63" s="111">
        <f t="shared" si="17"/>
        <v>52000000</v>
      </c>
      <c r="AI63" s="121">
        <v>42802</v>
      </c>
      <c r="AJ63" s="88" t="s">
        <v>511</v>
      </c>
      <c r="AK63" s="111">
        <f t="shared" si="18"/>
        <v>160</v>
      </c>
      <c r="AL63" s="111">
        <v>52308799</v>
      </c>
      <c r="AM63" s="101">
        <f t="shared" si="7"/>
        <v>0</v>
      </c>
    </row>
    <row r="64" spans="1:39" s="112" customFormat="1" ht="63.75">
      <c r="A64" s="372" t="s">
        <v>109</v>
      </c>
      <c r="B64" s="92">
        <f t="shared" si="19"/>
        <v>67500000</v>
      </c>
      <c r="C64" s="88" t="s">
        <v>78</v>
      </c>
      <c r="D64" s="83" t="s">
        <v>107</v>
      </c>
      <c r="E64" s="88" t="s">
        <v>110</v>
      </c>
      <c r="F64" s="88" t="s">
        <v>131</v>
      </c>
      <c r="G64" s="88" t="s">
        <v>108</v>
      </c>
      <c r="H64" s="64">
        <v>326</v>
      </c>
      <c r="I64" s="61" t="s">
        <v>909</v>
      </c>
      <c r="J64" s="62">
        <f>60000000+7500000</f>
        <v>67500000</v>
      </c>
      <c r="K64" s="62" t="s">
        <v>977</v>
      </c>
      <c r="L64" s="62">
        <f>60000000+7500000</f>
        <v>67500000</v>
      </c>
      <c r="M64" s="73">
        <v>205</v>
      </c>
      <c r="N64" s="76"/>
      <c r="O64" s="51"/>
      <c r="P64" s="62"/>
      <c r="Q64" s="62"/>
      <c r="R64" s="62">
        <v>5250000</v>
      </c>
      <c r="S64" s="62">
        <f>7500000</f>
        <v>7500000</v>
      </c>
      <c r="T64" s="62">
        <v>7500000</v>
      </c>
      <c r="U64" s="62">
        <f>7500000</f>
        <v>7500000</v>
      </c>
      <c r="V64" s="62">
        <f>7500000</f>
        <v>7500000</v>
      </c>
      <c r="W64" s="62">
        <f>7500000</f>
        <v>7500000</v>
      </c>
      <c r="X64" s="62">
        <f>7500000</f>
        <v>7500000</v>
      </c>
      <c r="Y64" s="95">
        <f>7500000+2250000+5250000</f>
        <v>15000000</v>
      </c>
      <c r="Z64" s="75">
        <f t="shared" si="24"/>
        <v>65250000</v>
      </c>
      <c r="AA64" s="251">
        <f t="shared" si="13"/>
        <v>2250000</v>
      </c>
      <c r="AC64" s="83" t="s">
        <v>577</v>
      </c>
      <c r="AD64" s="167" t="str">
        <f t="shared" si="14"/>
        <v>267 - 629</v>
      </c>
      <c r="AE64" s="110">
        <f t="shared" si="15"/>
        <v>67500000</v>
      </c>
      <c r="AF64" s="198">
        <v>42832</v>
      </c>
      <c r="AG64" s="109" t="str">
        <f t="shared" si="16"/>
        <v>429 - 985</v>
      </c>
      <c r="AH64" s="111">
        <f t="shared" si="17"/>
        <v>67500000</v>
      </c>
      <c r="AI64" s="403">
        <v>42835</v>
      </c>
      <c r="AJ64" s="88" t="s">
        <v>589</v>
      </c>
      <c r="AK64" s="111">
        <f t="shared" si="18"/>
        <v>205</v>
      </c>
      <c r="AL64" s="111">
        <v>79844029</v>
      </c>
      <c r="AM64" s="101">
        <f t="shared" si="7"/>
        <v>0</v>
      </c>
    </row>
    <row r="65" spans="1:39" s="112" customFormat="1" ht="63.75">
      <c r="A65" s="372" t="s">
        <v>109</v>
      </c>
      <c r="B65" s="92">
        <f t="shared" si="19"/>
        <v>21000000</v>
      </c>
      <c r="C65" s="88" t="s">
        <v>78</v>
      </c>
      <c r="D65" s="83" t="s">
        <v>107</v>
      </c>
      <c r="E65" s="88" t="s">
        <v>110</v>
      </c>
      <c r="F65" s="88" t="s">
        <v>131</v>
      </c>
      <c r="G65" s="88" t="s">
        <v>108</v>
      </c>
      <c r="H65" s="64">
        <v>325</v>
      </c>
      <c r="I65" s="61">
        <v>284</v>
      </c>
      <c r="J65" s="62">
        <v>21000000</v>
      </c>
      <c r="K65" s="62">
        <v>462</v>
      </c>
      <c r="L65" s="62">
        <f>21000000</f>
        <v>21000000</v>
      </c>
      <c r="M65" s="73">
        <v>215</v>
      </c>
      <c r="N65" s="76"/>
      <c r="O65" s="51"/>
      <c r="P65" s="62"/>
      <c r="Q65" s="62"/>
      <c r="R65" s="62"/>
      <c r="S65" s="62">
        <v>2700000</v>
      </c>
      <c r="T65" s="62">
        <f>3000000</f>
        <v>3000000</v>
      </c>
      <c r="U65" s="62">
        <f>3000000</f>
        <v>3000000</v>
      </c>
      <c r="V65" s="62">
        <f>3000000</f>
        <v>3000000</v>
      </c>
      <c r="W65" s="62">
        <f>3000000</f>
        <v>3000000</v>
      </c>
      <c r="X65" s="62">
        <f>3000000</f>
        <v>3000000</v>
      </c>
      <c r="Y65" s="95">
        <f>3000000+300000</f>
        <v>3300000</v>
      </c>
      <c r="Z65" s="75">
        <f t="shared" si="24"/>
        <v>21000000</v>
      </c>
      <c r="AA65" s="251">
        <f t="shared" si="13"/>
        <v>0</v>
      </c>
      <c r="AC65" s="83" t="s">
        <v>245</v>
      </c>
      <c r="AD65" s="167">
        <f t="shared" si="14"/>
        <v>284</v>
      </c>
      <c r="AE65" s="110">
        <f t="shared" si="15"/>
        <v>21000000</v>
      </c>
      <c r="AF65" s="198">
        <v>42853</v>
      </c>
      <c r="AG65" s="109">
        <f t="shared" si="16"/>
        <v>462</v>
      </c>
      <c r="AH65" s="404">
        <f t="shared" si="17"/>
        <v>21000000</v>
      </c>
      <c r="AI65" s="121">
        <v>42859</v>
      </c>
      <c r="AJ65" s="104" t="s">
        <v>355</v>
      </c>
      <c r="AK65" s="111">
        <f t="shared" si="18"/>
        <v>215</v>
      </c>
      <c r="AL65" s="111">
        <v>1074131460</v>
      </c>
      <c r="AM65" s="101">
        <f>AE65-AH65</f>
        <v>0</v>
      </c>
    </row>
    <row r="66" spans="1:39" s="112" customFormat="1" ht="63.75">
      <c r="A66" s="372" t="s">
        <v>109</v>
      </c>
      <c r="B66" s="92">
        <f t="shared" si="19"/>
        <v>26300000</v>
      </c>
      <c r="C66" s="88" t="s">
        <v>78</v>
      </c>
      <c r="D66" s="83" t="s">
        <v>107</v>
      </c>
      <c r="E66" s="88" t="s">
        <v>110</v>
      </c>
      <c r="F66" s="88" t="s">
        <v>131</v>
      </c>
      <c r="G66" s="88" t="s">
        <v>108</v>
      </c>
      <c r="H66" s="64">
        <v>327</v>
      </c>
      <c r="I66" s="61" t="s">
        <v>999</v>
      </c>
      <c r="J66" s="62">
        <f>24000000+2300000</f>
        <v>26300000</v>
      </c>
      <c r="K66" s="62" t="s">
        <v>1125</v>
      </c>
      <c r="L66" s="62">
        <f>24000000+2300000</f>
        <v>26300000</v>
      </c>
      <c r="M66" s="73">
        <v>212</v>
      </c>
      <c r="N66" s="76"/>
      <c r="O66" s="51"/>
      <c r="P66" s="62"/>
      <c r="Q66" s="62"/>
      <c r="R66" s="62"/>
      <c r="S66" s="62">
        <v>3300000</v>
      </c>
      <c r="T66" s="62">
        <v>3000000</v>
      </c>
      <c r="U66" s="62">
        <f>3000000</f>
        <v>3000000</v>
      </c>
      <c r="V66" s="62">
        <f>3000000</f>
        <v>3000000</v>
      </c>
      <c r="W66" s="62">
        <f>3000000</f>
        <v>3000000</v>
      </c>
      <c r="X66" s="62">
        <f>3000000</f>
        <v>3000000</v>
      </c>
      <c r="Y66" s="95">
        <f>3000000+2700000+300000</f>
        <v>6000000</v>
      </c>
      <c r="Z66" s="75">
        <f t="shared" si="24"/>
        <v>24300000</v>
      </c>
      <c r="AA66" s="251">
        <f t="shared" ref="AA66:AA91" si="26">L66-Z66</f>
        <v>2000000</v>
      </c>
      <c r="AC66" s="83" t="s">
        <v>598</v>
      </c>
      <c r="AD66" s="167" t="str">
        <f t="shared" ref="AD66:AD91" si="27">I66</f>
        <v>285 - 758</v>
      </c>
      <c r="AE66" s="110">
        <f t="shared" ref="AE66:AE91" si="28">J66</f>
        <v>26300000</v>
      </c>
      <c r="AF66" s="198">
        <v>42853</v>
      </c>
      <c r="AG66" s="109" t="str">
        <f t="shared" ref="AG66:AG91" si="29">K66</f>
        <v>454 - 1091</v>
      </c>
      <c r="AH66" s="111">
        <f t="shared" ref="AH66:AH91" si="30">L66</f>
        <v>26300000</v>
      </c>
      <c r="AI66" s="411">
        <v>42864</v>
      </c>
      <c r="AJ66" s="88" t="s">
        <v>600</v>
      </c>
      <c r="AK66" s="111">
        <f t="shared" si="18"/>
        <v>212</v>
      </c>
      <c r="AL66" s="111">
        <v>1015436092</v>
      </c>
      <c r="AM66" s="101">
        <f t="shared" si="7"/>
        <v>0</v>
      </c>
    </row>
    <row r="67" spans="1:39" s="112" customFormat="1" ht="63.75">
      <c r="A67" s="372" t="s">
        <v>109</v>
      </c>
      <c r="B67" s="92">
        <f t="shared" si="19"/>
        <v>18000000</v>
      </c>
      <c r="C67" s="88" t="s">
        <v>78</v>
      </c>
      <c r="D67" s="83" t="s">
        <v>107</v>
      </c>
      <c r="E67" s="88" t="s">
        <v>110</v>
      </c>
      <c r="F67" s="88" t="s">
        <v>131</v>
      </c>
      <c r="G67" s="88" t="s">
        <v>108</v>
      </c>
      <c r="H67" s="64">
        <v>328</v>
      </c>
      <c r="I67" s="61" t="s">
        <v>701</v>
      </c>
      <c r="J67" s="62">
        <f>12000000+6000000</f>
        <v>18000000</v>
      </c>
      <c r="K67" s="62" t="s">
        <v>702</v>
      </c>
      <c r="L67" s="62">
        <f>12000000+6000000</f>
        <v>18000000</v>
      </c>
      <c r="M67" s="73">
        <v>218</v>
      </c>
      <c r="N67" s="76"/>
      <c r="O67" s="51"/>
      <c r="P67" s="62"/>
      <c r="Q67" s="62"/>
      <c r="R67" s="62"/>
      <c r="S67" s="62"/>
      <c r="T67" s="62"/>
      <c r="U67" s="62">
        <f>10800000</f>
        <v>10800000</v>
      </c>
      <c r="V67" s="62"/>
      <c r="W67" s="62">
        <f>1200000+2800000</f>
        <v>4000000</v>
      </c>
      <c r="X67" s="62"/>
      <c r="Y67" s="95">
        <f>3200000</f>
        <v>3200000</v>
      </c>
      <c r="Z67" s="75">
        <f t="shared" si="24"/>
        <v>18000000</v>
      </c>
      <c r="AA67" s="251">
        <f t="shared" si="26"/>
        <v>0</v>
      </c>
      <c r="AC67" s="83" t="s">
        <v>605</v>
      </c>
      <c r="AD67" s="167" t="str">
        <f t="shared" si="27"/>
        <v>294 - 410</v>
      </c>
      <c r="AE67" s="110">
        <f t="shared" si="28"/>
        <v>18000000</v>
      </c>
      <c r="AF67" s="102" t="s">
        <v>757</v>
      </c>
      <c r="AG67" s="109" t="str">
        <f t="shared" si="29"/>
        <v>478- 684</v>
      </c>
      <c r="AH67" s="404">
        <f t="shared" si="30"/>
        <v>18000000</v>
      </c>
      <c r="AI67" s="121">
        <v>42864</v>
      </c>
      <c r="AJ67" s="104" t="s">
        <v>606</v>
      </c>
      <c r="AK67" s="110">
        <v>218</v>
      </c>
      <c r="AL67" s="111">
        <v>79369271</v>
      </c>
      <c r="AM67" s="101">
        <f t="shared" si="7"/>
        <v>0</v>
      </c>
    </row>
    <row r="68" spans="1:39" s="112" customFormat="1" ht="63.75">
      <c r="A68" s="372" t="s">
        <v>109</v>
      </c>
      <c r="B68" s="92">
        <f t="shared" si="19"/>
        <v>22900000</v>
      </c>
      <c r="C68" s="88" t="s">
        <v>78</v>
      </c>
      <c r="D68" s="83" t="s">
        <v>107</v>
      </c>
      <c r="E68" s="88" t="s">
        <v>110</v>
      </c>
      <c r="F68" s="88" t="s">
        <v>131</v>
      </c>
      <c r="G68" s="88" t="s">
        <v>108</v>
      </c>
      <c r="H68" s="64">
        <v>330</v>
      </c>
      <c r="I68" s="61">
        <v>295</v>
      </c>
      <c r="J68" s="62">
        <f>23500000-600000</f>
        <v>22900000</v>
      </c>
      <c r="K68" s="62">
        <v>484</v>
      </c>
      <c r="L68" s="62">
        <f>23000000-100000</f>
        <v>22900000</v>
      </c>
      <c r="M68" s="73">
        <v>222</v>
      </c>
      <c r="N68" s="76"/>
      <c r="O68" s="51"/>
      <c r="P68" s="62"/>
      <c r="Q68" s="62"/>
      <c r="R68" s="62"/>
      <c r="S68" s="62">
        <f>1900000</f>
        <v>1900000</v>
      </c>
      <c r="T68" s="62">
        <v>3000000</v>
      </c>
      <c r="U68" s="62">
        <f>500000+2500000</f>
        <v>3000000</v>
      </c>
      <c r="V68" s="62">
        <f>3000000</f>
        <v>3000000</v>
      </c>
      <c r="W68" s="62">
        <f>3000000</f>
        <v>3000000</v>
      </c>
      <c r="X68" s="62">
        <f>3000000</f>
        <v>3000000</v>
      </c>
      <c r="Y68" s="95">
        <f>3000000+3000000</f>
        <v>6000000</v>
      </c>
      <c r="Z68" s="75">
        <f t="shared" si="24"/>
        <v>22900000</v>
      </c>
      <c r="AA68" s="251">
        <f t="shared" si="26"/>
        <v>0</v>
      </c>
      <c r="AC68" s="83" t="s">
        <v>616</v>
      </c>
      <c r="AD68" s="167">
        <f t="shared" si="27"/>
        <v>295</v>
      </c>
      <c r="AE68" s="110">
        <f t="shared" si="28"/>
        <v>22900000</v>
      </c>
      <c r="AF68" s="198">
        <v>42859</v>
      </c>
      <c r="AG68" s="109">
        <f t="shared" si="29"/>
        <v>484</v>
      </c>
      <c r="AH68" s="111">
        <f t="shared" si="30"/>
        <v>22900000</v>
      </c>
      <c r="AI68" s="121">
        <v>42867</v>
      </c>
      <c r="AJ68" s="88" t="s">
        <v>617</v>
      </c>
      <c r="AK68" s="111">
        <v>222</v>
      </c>
      <c r="AL68" s="111">
        <v>53140836</v>
      </c>
      <c r="AM68" s="101">
        <f>AE68-AH68</f>
        <v>0</v>
      </c>
    </row>
    <row r="69" spans="1:39" s="112" customFormat="1" ht="63.75">
      <c r="A69" s="372" t="s">
        <v>109</v>
      </c>
      <c r="B69" s="92">
        <f t="shared" si="19"/>
        <v>9758190</v>
      </c>
      <c r="C69" s="88" t="s">
        <v>78</v>
      </c>
      <c r="D69" s="83" t="s">
        <v>107</v>
      </c>
      <c r="E69" s="88" t="s">
        <v>110</v>
      </c>
      <c r="F69" s="88" t="s">
        <v>131</v>
      </c>
      <c r="G69" s="88" t="s">
        <v>108</v>
      </c>
      <c r="H69" s="64">
        <v>329</v>
      </c>
      <c r="I69" s="61" t="s">
        <v>703</v>
      </c>
      <c r="J69" s="62">
        <f>7445138+3252730-939678</f>
        <v>9758190</v>
      </c>
      <c r="K69" s="62" t="s">
        <v>874</v>
      </c>
      <c r="L69" s="62">
        <f>6505461+3252730-1</f>
        <v>9758190</v>
      </c>
      <c r="M69" s="73">
        <v>227</v>
      </c>
      <c r="N69" s="76"/>
      <c r="O69" s="51"/>
      <c r="P69" s="62"/>
      <c r="Q69" s="62"/>
      <c r="R69" s="62"/>
      <c r="S69" s="62">
        <v>939677</v>
      </c>
      <c r="T69" s="62">
        <v>2168487</v>
      </c>
      <c r="U69" s="62">
        <f>2168487</f>
        <v>2168487</v>
      </c>
      <c r="V69" s="62">
        <f>1228809+939678</f>
        <v>2168487</v>
      </c>
      <c r="W69" s="62">
        <f>2168487</f>
        <v>2168487</v>
      </c>
      <c r="X69" s="62"/>
      <c r="Y69" s="95">
        <f>144565</f>
        <v>144565</v>
      </c>
      <c r="Z69" s="75">
        <f t="shared" si="24"/>
        <v>9758190</v>
      </c>
      <c r="AA69" s="251">
        <f t="shared" si="26"/>
        <v>0</v>
      </c>
      <c r="AC69" s="83" t="s">
        <v>630</v>
      </c>
      <c r="AD69" s="167" t="str">
        <f t="shared" si="27"/>
        <v>314 - 413</v>
      </c>
      <c r="AE69" s="110">
        <f t="shared" si="28"/>
        <v>9758190</v>
      </c>
      <c r="AF69" s="102" t="s">
        <v>756</v>
      </c>
      <c r="AG69" s="109" t="str">
        <f t="shared" si="29"/>
        <v>498- 704</v>
      </c>
      <c r="AH69" s="111">
        <f t="shared" si="30"/>
        <v>9758190</v>
      </c>
      <c r="AI69" s="121">
        <v>42873</v>
      </c>
      <c r="AJ69" s="88" t="s">
        <v>631</v>
      </c>
      <c r="AK69" s="111">
        <f t="shared" ref="AK69:AK91" si="31">+M69</f>
        <v>227</v>
      </c>
      <c r="AL69" s="111">
        <v>5712908</v>
      </c>
      <c r="AM69" s="101">
        <f>AE69-AH69</f>
        <v>0</v>
      </c>
    </row>
    <row r="70" spans="1:39" s="112" customFormat="1" ht="76.5">
      <c r="A70" s="372" t="s">
        <v>109</v>
      </c>
      <c r="B70" s="92">
        <f t="shared" si="19"/>
        <v>17000000</v>
      </c>
      <c r="C70" s="88" t="s">
        <v>78</v>
      </c>
      <c r="D70" s="83" t="s">
        <v>107</v>
      </c>
      <c r="E70" s="88" t="s">
        <v>110</v>
      </c>
      <c r="F70" s="88" t="s">
        <v>131</v>
      </c>
      <c r="G70" s="88" t="s">
        <v>108</v>
      </c>
      <c r="H70" s="64">
        <v>351</v>
      </c>
      <c r="I70" s="61">
        <v>363</v>
      </c>
      <c r="J70" s="62">
        <v>17000000</v>
      </c>
      <c r="K70" s="62">
        <v>624</v>
      </c>
      <c r="L70" s="62">
        <f>17000000</f>
        <v>17000000</v>
      </c>
      <c r="M70" s="73">
        <v>263</v>
      </c>
      <c r="N70" s="76"/>
      <c r="O70" s="51"/>
      <c r="P70" s="62"/>
      <c r="Q70" s="62"/>
      <c r="R70" s="62"/>
      <c r="S70" s="62"/>
      <c r="T70" s="62"/>
      <c r="U70" s="62"/>
      <c r="V70" s="62">
        <f>4873333</f>
        <v>4873333</v>
      </c>
      <c r="W70" s="62">
        <f>3400000</f>
        <v>3400000</v>
      </c>
      <c r="X70" s="62">
        <f>3400000</f>
        <v>3400000</v>
      </c>
      <c r="Y70" s="95">
        <f>3400000+1926667</f>
        <v>5326667</v>
      </c>
      <c r="Z70" s="75">
        <f t="shared" si="24"/>
        <v>17000000</v>
      </c>
      <c r="AA70" s="251">
        <f t="shared" si="26"/>
        <v>0</v>
      </c>
      <c r="AC70" s="83" t="s">
        <v>681</v>
      </c>
      <c r="AD70" s="167">
        <f t="shared" si="27"/>
        <v>363</v>
      </c>
      <c r="AE70" s="110">
        <f t="shared" si="28"/>
        <v>17000000</v>
      </c>
      <c r="AF70" s="198">
        <v>42907</v>
      </c>
      <c r="AG70" s="109">
        <f t="shared" si="29"/>
        <v>624</v>
      </c>
      <c r="AH70" s="111">
        <f t="shared" si="30"/>
        <v>17000000</v>
      </c>
      <c r="AI70" s="121">
        <v>42934</v>
      </c>
      <c r="AJ70" s="88" t="s">
        <v>682</v>
      </c>
      <c r="AK70" s="111">
        <f t="shared" si="31"/>
        <v>263</v>
      </c>
      <c r="AL70" s="111"/>
      <c r="AM70" s="101">
        <f>AE70-AH70</f>
        <v>0</v>
      </c>
    </row>
    <row r="71" spans="1:39" s="112" customFormat="1" ht="63.75">
      <c r="A71" s="372" t="s">
        <v>109</v>
      </c>
      <c r="B71" s="92">
        <f t="shared" si="19"/>
        <v>12400000</v>
      </c>
      <c r="C71" s="88" t="s">
        <v>78</v>
      </c>
      <c r="D71" s="83" t="s">
        <v>107</v>
      </c>
      <c r="E71" s="88" t="s">
        <v>110</v>
      </c>
      <c r="F71" s="88" t="s">
        <v>131</v>
      </c>
      <c r="G71" s="88" t="s">
        <v>108</v>
      </c>
      <c r="H71" s="64">
        <v>353</v>
      </c>
      <c r="I71" s="61" t="s">
        <v>995</v>
      </c>
      <c r="J71" s="62">
        <f>10000000+2400000</f>
        <v>12400000</v>
      </c>
      <c r="K71" s="62" t="s">
        <v>1114</v>
      </c>
      <c r="L71" s="62">
        <f>10000000+2400000</f>
        <v>12400000</v>
      </c>
      <c r="M71" s="73">
        <f>257</f>
        <v>257</v>
      </c>
      <c r="N71" s="76"/>
      <c r="O71" s="51"/>
      <c r="P71" s="62"/>
      <c r="Q71" s="62"/>
      <c r="R71" s="62"/>
      <c r="S71" s="62"/>
      <c r="T71" s="62"/>
      <c r="U71" s="62">
        <f>1400000</f>
        <v>1400000</v>
      </c>
      <c r="V71" s="62">
        <f>2000000</f>
        <v>2000000</v>
      </c>
      <c r="W71" s="62">
        <f>2000000</f>
        <v>2000000</v>
      </c>
      <c r="X71" s="62">
        <f>2000000</f>
        <v>2000000</v>
      </c>
      <c r="Y71" s="95">
        <f>2000000+600000+1133333</f>
        <v>3733333</v>
      </c>
      <c r="Z71" s="75">
        <f t="shared" ref="Z71:Z75" si="32">SUM(N71:Y71)</f>
        <v>11133333</v>
      </c>
      <c r="AA71" s="251">
        <f t="shared" si="26"/>
        <v>1266667</v>
      </c>
      <c r="AC71" s="83" t="s">
        <v>675</v>
      </c>
      <c r="AD71" s="167" t="str">
        <f t="shared" si="27"/>
        <v>364 - 752</v>
      </c>
      <c r="AE71" s="110">
        <f t="shared" si="28"/>
        <v>12400000</v>
      </c>
      <c r="AF71" s="198">
        <v>42907</v>
      </c>
      <c r="AG71" s="109" t="str">
        <f t="shared" si="29"/>
        <v>608 - 1059</v>
      </c>
      <c r="AH71" s="111">
        <f t="shared" si="30"/>
        <v>12400000</v>
      </c>
      <c r="AI71" s="410">
        <v>42926</v>
      </c>
      <c r="AJ71" s="88" t="s">
        <v>676</v>
      </c>
      <c r="AK71" s="111">
        <f t="shared" si="31"/>
        <v>257</v>
      </c>
      <c r="AL71" s="111"/>
      <c r="AM71" s="101">
        <f>AE71-AH71</f>
        <v>0</v>
      </c>
    </row>
    <row r="72" spans="1:39" s="112" customFormat="1" ht="63.75">
      <c r="A72" s="372" t="s">
        <v>109</v>
      </c>
      <c r="B72" s="92">
        <f t="shared" si="19"/>
        <v>13458666</v>
      </c>
      <c r="C72" s="88" t="s">
        <v>78</v>
      </c>
      <c r="D72" s="83" t="s">
        <v>107</v>
      </c>
      <c r="E72" s="88" t="s">
        <v>110</v>
      </c>
      <c r="F72" s="88" t="s">
        <v>131</v>
      </c>
      <c r="G72" s="88" t="s">
        <v>108</v>
      </c>
      <c r="H72" s="64">
        <v>120</v>
      </c>
      <c r="I72" s="61" t="s">
        <v>924</v>
      </c>
      <c r="J72" s="62">
        <f>12360000-686667+1785333</f>
        <v>13458666</v>
      </c>
      <c r="K72" s="62" t="s">
        <v>1124</v>
      </c>
      <c r="L72" s="62">
        <f>11673333+1785333</f>
        <v>13458666</v>
      </c>
      <c r="M72" s="73">
        <v>256</v>
      </c>
      <c r="N72" s="76"/>
      <c r="O72" s="51"/>
      <c r="P72" s="62"/>
      <c r="Q72" s="62"/>
      <c r="R72" s="62"/>
      <c r="S72" s="62"/>
      <c r="T72" s="62"/>
      <c r="U72" s="62">
        <f>1785333</f>
        <v>1785333</v>
      </c>
      <c r="V72" s="62">
        <f>2060000</f>
        <v>2060000</v>
      </c>
      <c r="W72" s="62">
        <f>2060000</f>
        <v>2060000</v>
      </c>
      <c r="X72" s="62">
        <f>2060000</f>
        <v>2060000</v>
      </c>
      <c r="Y72" s="95">
        <f>2060000+1648000+480667</f>
        <v>4188667</v>
      </c>
      <c r="Z72" s="75">
        <f t="shared" si="32"/>
        <v>12154000</v>
      </c>
      <c r="AA72" s="251">
        <f t="shared" si="26"/>
        <v>1304666</v>
      </c>
      <c r="AC72" s="83" t="s">
        <v>674</v>
      </c>
      <c r="AD72" s="167" t="str">
        <f t="shared" si="27"/>
        <v>372 - 647</v>
      </c>
      <c r="AE72" s="110">
        <f t="shared" si="28"/>
        <v>13458666</v>
      </c>
      <c r="AF72" s="198">
        <v>42888</v>
      </c>
      <c r="AG72" s="109" t="str">
        <f t="shared" si="29"/>
        <v>605 - 1083</v>
      </c>
      <c r="AH72" s="111">
        <f t="shared" si="30"/>
        <v>13458666</v>
      </c>
      <c r="AI72" s="121">
        <v>42921</v>
      </c>
      <c r="AJ72" s="88" t="s">
        <v>354</v>
      </c>
      <c r="AK72" s="110">
        <f t="shared" si="31"/>
        <v>256</v>
      </c>
      <c r="AL72" s="111"/>
      <c r="AM72" s="101">
        <f>AE72-AH72</f>
        <v>0</v>
      </c>
    </row>
    <row r="73" spans="1:39" s="112" customFormat="1" ht="76.5">
      <c r="A73" s="372" t="s">
        <v>109</v>
      </c>
      <c r="B73" s="92">
        <f t="shared" si="19"/>
        <v>27740000</v>
      </c>
      <c r="C73" s="88" t="s">
        <v>78</v>
      </c>
      <c r="D73" s="83" t="s">
        <v>107</v>
      </c>
      <c r="E73" s="88" t="s">
        <v>110</v>
      </c>
      <c r="F73" s="88" t="s">
        <v>131</v>
      </c>
      <c r="G73" s="88" t="s">
        <v>108</v>
      </c>
      <c r="H73" s="64">
        <v>118</v>
      </c>
      <c r="I73" s="61" t="s">
        <v>923</v>
      </c>
      <c r="J73" s="62">
        <f>24820000+2920000</f>
        <v>27740000</v>
      </c>
      <c r="K73" s="62" t="s">
        <v>1122</v>
      </c>
      <c r="L73" s="62">
        <f>24820000+2920000</f>
        <v>27740000</v>
      </c>
      <c r="M73" s="73">
        <f>260</f>
        <v>260</v>
      </c>
      <c r="N73" s="76"/>
      <c r="O73" s="51"/>
      <c r="P73" s="62"/>
      <c r="Q73" s="62"/>
      <c r="R73" s="62"/>
      <c r="S73" s="62"/>
      <c r="T73" s="62"/>
      <c r="U73" s="62">
        <f>2920000</f>
        <v>2920000</v>
      </c>
      <c r="V73" s="62">
        <f>4380000</f>
        <v>4380000</v>
      </c>
      <c r="W73" s="62">
        <f>4380000</f>
        <v>4380000</v>
      </c>
      <c r="X73" s="62">
        <f>4380000</f>
        <v>4380000</v>
      </c>
      <c r="Y73" s="95">
        <f>4380000+4380000+146000</f>
        <v>8906000</v>
      </c>
      <c r="Z73" s="75">
        <f t="shared" si="32"/>
        <v>24966000</v>
      </c>
      <c r="AA73" s="251">
        <f t="shared" si="26"/>
        <v>2774000</v>
      </c>
      <c r="AC73" s="83" t="s">
        <v>679</v>
      </c>
      <c r="AD73" s="167" t="str">
        <f t="shared" si="27"/>
        <v>375 - 646</v>
      </c>
      <c r="AE73" s="110">
        <f t="shared" si="28"/>
        <v>27740000</v>
      </c>
      <c r="AF73" s="198">
        <v>42921</v>
      </c>
      <c r="AG73" s="109" t="str">
        <f t="shared" si="29"/>
        <v>612 - 1077</v>
      </c>
      <c r="AH73" s="111">
        <f t="shared" si="30"/>
        <v>27740000</v>
      </c>
      <c r="AI73" s="121">
        <v>42927</v>
      </c>
      <c r="AJ73" s="88" t="s">
        <v>680</v>
      </c>
      <c r="AK73" s="111">
        <f t="shared" si="31"/>
        <v>260</v>
      </c>
      <c r="AL73" s="111">
        <v>35252890</v>
      </c>
      <c r="AM73" s="101">
        <f t="shared" ref="AM73:AM75" si="33">AE73-AH73</f>
        <v>0</v>
      </c>
    </row>
    <row r="74" spans="1:39" s="112" customFormat="1" ht="76.5">
      <c r="A74" s="372" t="s">
        <v>109</v>
      </c>
      <c r="B74" s="92">
        <f t="shared" si="19"/>
        <v>60400</v>
      </c>
      <c r="C74" s="88" t="s">
        <v>78</v>
      </c>
      <c r="D74" s="83" t="s">
        <v>107</v>
      </c>
      <c r="E74" s="88" t="s">
        <v>110</v>
      </c>
      <c r="F74" s="88" t="s">
        <v>131</v>
      </c>
      <c r="G74" s="88" t="s">
        <v>108</v>
      </c>
      <c r="H74" s="64">
        <v>373</v>
      </c>
      <c r="I74" s="61">
        <v>394</v>
      </c>
      <c r="J74" s="62">
        <f>60400</f>
        <v>60400</v>
      </c>
      <c r="K74" s="62">
        <v>683</v>
      </c>
      <c r="L74" s="62">
        <f>60400</f>
        <v>60400</v>
      </c>
      <c r="M74" s="73">
        <v>3784</v>
      </c>
      <c r="N74" s="76"/>
      <c r="O74" s="51"/>
      <c r="P74" s="62"/>
      <c r="Q74" s="62"/>
      <c r="R74" s="62"/>
      <c r="S74" s="62"/>
      <c r="T74" s="62"/>
      <c r="U74" s="62">
        <f>60400</f>
        <v>60400</v>
      </c>
      <c r="V74" s="62"/>
      <c r="W74" s="62"/>
      <c r="X74" s="62"/>
      <c r="Y74" s="95"/>
      <c r="Z74" s="75">
        <f t="shared" si="32"/>
        <v>60400</v>
      </c>
      <c r="AA74" s="251">
        <f t="shared" si="26"/>
        <v>0</v>
      </c>
      <c r="AC74" s="83" t="s">
        <v>719</v>
      </c>
      <c r="AD74" s="167">
        <f t="shared" si="27"/>
        <v>394</v>
      </c>
      <c r="AE74" s="110">
        <f t="shared" si="28"/>
        <v>60400</v>
      </c>
      <c r="AF74" s="198">
        <v>42937</v>
      </c>
      <c r="AG74" s="109">
        <f t="shared" si="29"/>
        <v>683</v>
      </c>
      <c r="AH74" s="111">
        <f t="shared" si="30"/>
        <v>60400</v>
      </c>
      <c r="AI74" s="410">
        <v>42956</v>
      </c>
      <c r="AJ74" s="88" t="s">
        <v>594</v>
      </c>
      <c r="AK74" s="405">
        <f t="shared" si="31"/>
        <v>3784</v>
      </c>
      <c r="AL74" s="111"/>
      <c r="AM74" s="101">
        <f t="shared" si="33"/>
        <v>0</v>
      </c>
    </row>
    <row r="75" spans="1:39" s="112" customFormat="1" ht="76.5">
      <c r="A75" s="372" t="s">
        <v>109</v>
      </c>
      <c r="B75" s="92">
        <f t="shared" si="19"/>
        <v>60400</v>
      </c>
      <c r="C75" s="88" t="s">
        <v>78</v>
      </c>
      <c r="D75" s="83" t="s">
        <v>107</v>
      </c>
      <c r="E75" s="88" t="s">
        <v>110</v>
      </c>
      <c r="F75" s="88" t="s">
        <v>131</v>
      </c>
      <c r="G75" s="88" t="s">
        <v>108</v>
      </c>
      <c r="H75" s="64">
        <v>397</v>
      </c>
      <c r="I75" s="61">
        <v>426</v>
      </c>
      <c r="J75" s="62">
        <f>60400</f>
        <v>60400</v>
      </c>
      <c r="K75" s="62" t="s">
        <v>1296</v>
      </c>
      <c r="L75" s="62">
        <f>60400</f>
        <v>60400</v>
      </c>
      <c r="M75" s="114">
        <v>3928</v>
      </c>
      <c r="N75" s="76"/>
      <c r="O75" s="51"/>
      <c r="P75" s="62"/>
      <c r="Q75" s="62"/>
      <c r="R75" s="62"/>
      <c r="S75" s="62"/>
      <c r="T75" s="62"/>
      <c r="U75" s="62">
        <f>60400</f>
        <v>60400</v>
      </c>
      <c r="V75" s="62"/>
      <c r="W75" s="62"/>
      <c r="X75" s="62"/>
      <c r="Y75" s="95"/>
      <c r="Z75" s="75">
        <f t="shared" si="32"/>
        <v>60400</v>
      </c>
      <c r="AA75" s="251">
        <f t="shared" si="26"/>
        <v>0</v>
      </c>
      <c r="AC75" s="83" t="s">
        <v>718</v>
      </c>
      <c r="AD75" s="167">
        <f t="shared" si="27"/>
        <v>426</v>
      </c>
      <c r="AE75" s="110">
        <f t="shared" si="28"/>
        <v>60400</v>
      </c>
      <c r="AF75" s="198">
        <v>42964</v>
      </c>
      <c r="AG75" s="109" t="str">
        <f t="shared" si="29"/>
        <v>706 - 708</v>
      </c>
      <c r="AH75" s="111">
        <f t="shared" si="30"/>
        <v>60400</v>
      </c>
      <c r="AI75" s="410">
        <v>42965</v>
      </c>
      <c r="AJ75" s="88" t="s">
        <v>594</v>
      </c>
      <c r="AK75" s="405">
        <f t="shared" si="31"/>
        <v>3928</v>
      </c>
      <c r="AL75" s="111"/>
      <c r="AM75" s="101">
        <f t="shared" si="33"/>
        <v>0</v>
      </c>
    </row>
    <row r="76" spans="1:39" s="112" customFormat="1" ht="76.5">
      <c r="A76" s="372" t="s">
        <v>109</v>
      </c>
      <c r="B76" s="92">
        <f t="shared" si="19"/>
        <v>60400</v>
      </c>
      <c r="C76" s="88" t="s">
        <v>78</v>
      </c>
      <c r="D76" s="83" t="s">
        <v>107</v>
      </c>
      <c r="E76" s="88" t="s">
        <v>110</v>
      </c>
      <c r="F76" s="88" t="s">
        <v>131</v>
      </c>
      <c r="G76" s="88" t="s">
        <v>108</v>
      </c>
      <c r="H76" s="64">
        <v>423</v>
      </c>
      <c r="I76" s="61">
        <v>466</v>
      </c>
      <c r="J76" s="62">
        <f>60400</f>
        <v>60400</v>
      </c>
      <c r="K76" s="62">
        <v>775</v>
      </c>
      <c r="L76" s="62">
        <f>60400</f>
        <v>60400</v>
      </c>
      <c r="M76" s="73">
        <v>4365</v>
      </c>
      <c r="N76" s="76"/>
      <c r="O76" s="51"/>
      <c r="P76" s="62"/>
      <c r="Q76" s="62"/>
      <c r="R76" s="62"/>
      <c r="S76" s="62"/>
      <c r="T76" s="62"/>
      <c r="U76" s="62"/>
      <c r="V76" s="62">
        <f>60400</f>
        <v>60400</v>
      </c>
      <c r="W76" s="62"/>
      <c r="X76" s="62"/>
      <c r="Y76" s="95"/>
      <c r="Z76" s="75">
        <f>SUM(N76:Y76)</f>
        <v>60400</v>
      </c>
      <c r="AA76" s="251">
        <f t="shared" si="26"/>
        <v>0</v>
      </c>
      <c r="AC76" s="83" t="s">
        <v>742</v>
      </c>
      <c r="AD76" s="167">
        <f t="shared" si="27"/>
        <v>466</v>
      </c>
      <c r="AE76" s="110">
        <f t="shared" si="28"/>
        <v>60400</v>
      </c>
      <c r="AF76" s="198">
        <v>42989</v>
      </c>
      <c r="AG76" s="109">
        <f t="shared" si="29"/>
        <v>775</v>
      </c>
      <c r="AH76" s="111">
        <f t="shared" si="30"/>
        <v>60400</v>
      </c>
      <c r="AI76" s="121">
        <v>42990</v>
      </c>
      <c r="AJ76" s="88" t="s">
        <v>594</v>
      </c>
      <c r="AK76" s="110">
        <f t="shared" si="31"/>
        <v>4365</v>
      </c>
      <c r="AL76" s="111"/>
      <c r="AM76" s="101">
        <f>AE76-AH76</f>
        <v>0</v>
      </c>
    </row>
    <row r="77" spans="1:39" s="112" customFormat="1" ht="63.75">
      <c r="A77" s="372" t="s">
        <v>109</v>
      </c>
      <c r="B77" s="92">
        <f t="shared" si="19"/>
        <v>10500000</v>
      </c>
      <c r="C77" s="88" t="s">
        <v>78</v>
      </c>
      <c r="D77" s="83" t="s">
        <v>107</v>
      </c>
      <c r="E77" s="88" t="s">
        <v>110</v>
      </c>
      <c r="F77" s="88" t="s">
        <v>131</v>
      </c>
      <c r="G77" s="88" t="s">
        <v>108</v>
      </c>
      <c r="H77" s="64">
        <v>502</v>
      </c>
      <c r="I77" s="61" t="s">
        <v>907</v>
      </c>
      <c r="J77" s="62">
        <f>7000000+3500000</f>
        <v>10500000</v>
      </c>
      <c r="K77" s="62" t="s">
        <v>976</v>
      </c>
      <c r="L77" s="62">
        <f>7000000+3500000</f>
        <v>10500000</v>
      </c>
      <c r="M77" s="73">
        <v>323</v>
      </c>
      <c r="N77" s="76"/>
      <c r="O77" s="51"/>
      <c r="P77" s="62"/>
      <c r="Q77" s="62"/>
      <c r="R77" s="62"/>
      <c r="S77" s="62"/>
      <c r="T77" s="62"/>
      <c r="U77" s="62"/>
      <c r="V77" s="62"/>
      <c r="W77" s="62"/>
      <c r="X77" s="62">
        <f>2916667</f>
        <v>2916667</v>
      </c>
      <c r="Y77" s="95">
        <f>3500000+583333+2916667</f>
        <v>7000000</v>
      </c>
      <c r="Z77" s="75">
        <f>SUM(N77:Y77)</f>
        <v>9916667</v>
      </c>
      <c r="AA77" s="251">
        <f t="shared" si="26"/>
        <v>583333</v>
      </c>
      <c r="AC77" s="83" t="s">
        <v>755</v>
      </c>
      <c r="AD77" s="167" t="str">
        <f t="shared" si="27"/>
        <v>487 - 627</v>
      </c>
      <c r="AE77" s="110">
        <f t="shared" si="28"/>
        <v>10500000</v>
      </c>
      <c r="AF77" s="198">
        <v>42999</v>
      </c>
      <c r="AG77" s="109" t="str">
        <f t="shared" si="29"/>
        <v>842 - 984</v>
      </c>
      <c r="AH77" s="111">
        <f t="shared" si="30"/>
        <v>10500000</v>
      </c>
      <c r="AI77" s="369">
        <v>43014</v>
      </c>
      <c r="AJ77" s="130" t="s">
        <v>875</v>
      </c>
      <c r="AK77" s="110">
        <f t="shared" si="31"/>
        <v>323</v>
      </c>
      <c r="AL77" s="111"/>
      <c r="AM77" s="101">
        <f>AE77-AH77</f>
        <v>0</v>
      </c>
    </row>
    <row r="78" spans="1:39" s="112" customFormat="1" ht="63.75">
      <c r="A78" s="372" t="s">
        <v>109</v>
      </c>
      <c r="B78" s="92">
        <f t="shared" si="19"/>
        <v>13105702</v>
      </c>
      <c r="C78" s="88" t="s">
        <v>78</v>
      </c>
      <c r="D78" s="83" t="s">
        <v>107</v>
      </c>
      <c r="E78" s="88" t="s">
        <v>110</v>
      </c>
      <c r="F78" s="88" t="s">
        <v>131</v>
      </c>
      <c r="G78" s="88" t="s">
        <v>108</v>
      </c>
      <c r="H78" s="64">
        <v>508</v>
      </c>
      <c r="I78" s="61" t="s">
        <v>908</v>
      </c>
      <c r="J78" s="62">
        <f>11341473+1764229</f>
        <v>13105702</v>
      </c>
      <c r="K78" s="62" t="s">
        <v>975</v>
      </c>
      <c r="L78" s="62">
        <f>11341473+1764229</f>
        <v>13105702</v>
      </c>
      <c r="M78" s="73">
        <v>321</v>
      </c>
      <c r="N78" s="76"/>
      <c r="O78" s="51"/>
      <c r="P78" s="62"/>
      <c r="Q78" s="62"/>
      <c r="R78" s="62"/>
      <c r="S78" s="62"/>
      <c r="T78" s="62"/>
      <c r="U78" s="62"/>
      <c r="V78" s="62"/>
      <c r="W78" s="62"/>
      <c r="X78" s="62">
        <f>3150409</f>
        <v>3150409</v>
      </c>
      <c r="Y78" s="95">
        <f>3780491+3780491</f>
        <v>7560982</v>
      </c>
      <c r="Z78" s="75">
        <f>SUM(N78:Y78)</f>
        <v>10711391</v>
      </c>
      <c r="AA78" s="251">
        <f t="shared" si="26"/>
        <v>2394311</v>
      </c>
      <c r="AC78" s="83" t="s">
        <v>753</v>
      </c>
      <c r="AD78" s="167" t="str">
        <f t="shared" si="27"/>
        <v>501 - 628</v>
      </c>
      <c r="AE78" s="110">
        <f t="shared" si="28"/>
        <v>13105702</v>
      </c>
      <c r="AF78" s="198">
        <v>42999</v>
      </c>
      <c r="AG78" s="109" t="str">
        <f t="shared" si="29"/>
        <v>839 - 982</v>
      </c>
      <c r="AH78" s="111">
        <f t="shared" si="30"/>
        <v>13105702</v>
      </c>
      <c r="AI78" s="369">
        <v>43028</v>
      </c>
      <c r="AJ78" s="130" t="s">
        <v>876</v>
      </c>
      <c r="AK78" s="110">
        <f t="shared" si="31"/>
        <v>321</v>
      </c>
      <c r="AL78" s="111"/>
      <c r="AM78" s="101">
        <f>AE78-AH78</f>
        <v>0</v>
      </c>
    </row>
    <row r="79" spans="1:39" s="112" customFormat="1" ht="102">
      <c r="A79" s="372" t="s">
        <v>109</v>
      </c>
      <c r="B79" s="92">
        <f t="shared" si="19"/>
        <v>17731000</v>
      </c>
      <c r="C79" s="88" t="s">
        <v>78</v>
      </c>
      <c r="D79" s="83" t="s">
        <v>107</v>
      </c>
      <c r="E79" s="88" t="s">
        <v>110</v>
      </c>
      <c r="F79" s="88" t="s">
        <v>131</v>
      </c>
      <c r="G79" s="88" t="s">
        <v>108</v>
      </c>
      <c r="H79" s="64">
        <v>352</v>
      </c>
      <c r="I79" s="61">
        <v>532</v>
      </c>
      <c r="J79" s="62">
        <f>20600000-2869000</f>
        <v>17731000</v>
      </c>
      <c r="K79" s="62">
        <v>936</v>
      </c>
      <c r="L79" s="62">
        <f>17731000</f>
        <v>17731000</v>
      </c>
      <c r="M79" s="73">
        <v>359</v>
      </c>
      <c r="N79" s="76"/>
      <c r="O79" s="51"/>
      <c r="P79" s="62"/>
      <c r="Q79" s="62"/>
      <c r="R79" s="62"/>
      <c r="S79" s="62"/>
      <c r="T79" s="62"/>
      <c r="U79" s="62"/>
      <c r="V79" s="62"/>
      <c r="W79" s="62"/>
      <c r="X79" s="62"/>
      <c r="Y79" s="95"/>
      <c r="Z79" s="75">
        <f>SUM(N79:Y79)</f>
        <v>0</v>
      </c>
      <c r="AA79" s="251">
        <f t="shared" si="26"/>
        <v>17731000</v>
      </c>
      <c r="AC79" s="83" t="s">
        <v>817</v>
      </c>
      <c r="AD79" s="167">
        <f t="shared" si="27"/>
        <v>532</v>
      </c>
      <c r="AE79" s="110">
        <f t="shared" si="28"/>
        <v>17731000</v>
      </c>
      <c r="AF79" s="412">
        <v>43020</v>
      </c>
      <c r="AG79" s="109">
        <f t="shared" si="29"/>
        <v>936</v>
      </c>
      <c r="AH79" s="111">
        <f t="shared" si="30"/>
        <v>17731000</v>
      </c>
      <c r="AI79" s="121">
        <v>43053</v>
      </c>
      <c r="AJ79" s="88" t="s">
        <v>889</v>
      </c>
      <c r="AK79" s="111">
        <f t="shared" si="31"/>
        <v>359</v>
      </c>
      <c r="AL79" s="111"/>
      <c r="AM79" s="101">
        <f>AE79-AH79</f>
        <v>0</v>
      </c>
    </row>
    <row r="80" spans="1:39" s="112" customFormat="1" ht="63.75">
      <c r="A80" s="372" t="s">
        <v>109</v>
      </c>
      <c r="B80" s="92">
        <f t="shared" si="19"/>
        <v>5000000</v>
      </c>
      <c r="C80" s="88" t="s">
        <v>78</v>
      </c>
      <c r="D80" s="83" t="s">
        <v>107</v>
      </c>
      <c r="E80" s="88" t="s">
        <v>110</v>
      </c>
      <c r="F80" s="88" t="s">
        <v>131</v>
      </c>
      <c r="G80" s="88" t="s">
        <v>108</v>
      </c>
      <c r="H80" s="64">
        <v>459</v>
      </c>
      <c r="I80" s="61">
        <v>520</v>
      </c>
      <c r="J80" s="62">
        <f>5000000</f>
        <v>5000000</v>
      </c>
      <c r="K80" s="62">
        <v>877</v>
      </c>
      <c r="L80" s="62">
        <v>5000000</v>
      </c>
      <c r="M80" s="73">
        <v>334</v>
      </c>
      <c r="N80" s="76"/>
      <c r="O80" s="51"/>
      <c r="P80" s="62"/>
      <c r="Q80" s="62"/>
      <c r="R80" s="62"/>
      <c r="S80" s="62"/>
      <c r="T80" s="62"/>
      <c r="U80" s="62"/>
      <c r="V80" s="62"/>
      <c r="W80" s="62"/>
      <c r="X80" s="62">
        <f>916667</f>
        <v>916667</v>
      </c>
      <c r="Y80" s="95">
        <f>2500000+1583333</f>
        <v>4083333</v>
      </c>
      <c r="Z80" s="75">
        <f>SUM(N80:Y80)</f>
        <v>5000000</v>
      </c>
      <c r="AA80" s="251">
        <f t="shared" si="26"/>
        <v>0</v>
      </c>
      <c r="AC80" s="83" t="s">
        <v>815</v>
      </c>
      <c r="AD80" s="167">
        <f t="shared" si="27"/>
        <v>520</v>
      </c>
      <c r="AE80" s="110">
        <f t="shared" si="28"/>
        <v>5000000</v>
      </c>
      <c r="AF80" s="412">
        <v>43012</v>
      </c>
      <c r="AG80" s="109">
        <f t="shared" si="29"/>
        <v>877</v>
      </c>
      <c r="AH80" s="111">
        <f t="shared" si="30"/>
        <v>5000000</v>
      </c>
      <c r="AI80" s="121">
        <v>43028</v>
      </c>
      <c r="AJ80" s="88" t="s">
        <v>877</v>
      </c>
      <c r="AK80" s="111">
        <f t="shared" si="31"/>
        <v>334</v>
      </c>
      <c r="AL80" s="111"/>
      <c r="AM80" s="101">
        <f>AE80-AH80</f>
        <v>0</v>
      </c>
    </row>
    <row r="81" spans="1:39" s="112" customFormat="1" ht="63.75">
      <c r="A81" s="372" t="s">
        <v>109</v>
      </c>
      <c r="B81" s="92">
        <f t="shared" si="19"/>
        <v>7833333</v>
      </c>
      <c r="C81" s="88" t="s">
        <v>78</v>
      </c>
      <c r="D81" s="83" t="s">
        <v>107</v>
      </c>
      <c r="E81" s="88" t="s">
        <v>110</v>
      </c>
      <c r="F81" s="88" t="s">
        <v>131</v>
      </c>
      <c r="G81" s="88" t="s">
        <v>108</v>
      </c>
      <c r="H81" s="64">
        <v>500</v>
      </c>
      <c r="I81" s="61" t="s">
        <v>1048</v>
      </c>
      <c r="J81" s="62">
        <f>6250000+1583333</f>
        <v>7833333</v>
      </c>
      <c r="K81" s="62" t="s">
        <v>1127</v>
      </c>
      <c r="L81" s="62">
        <f>6250000+1583333</f>
        <v>7833333</v>
      </c>
      <c r="M81" s="73">
        <v>327</v>
      </c>
      <c r="N81" s="76"/>
      <c r="O81" s="51"/>
      <c r="P81" s="62"/>
      <c r="Q81" s="62"/>
      <c r="R81" s="62"/>
      <c r="S81" s="62"/>
      <c r="T81" s="62"/>
      <c r="U81" s="62"/>
      <c r="V81" s="62"/>
      <c r="W81" s="62"/>
      <c r="X81" s="62">
        <f>1166666</f>
        <v>1166666</v>
      </c>
      <c r="Y81" s="95">
        <f>2500000+2500000</f>
        <v>5000000</v>
      </c>
      <c r="Z81" s="75">
        <f t="shared" ref="Z81:Z87" si="34">SUM(N81:Y81)</f>
        <v>6166666</v>
      </c>
      <c r="AA81" s="251">
        <f t="shared" si="26"/>
        <v>1666667</v>
      </c>
      <c r="AC81" s="83" t="s">
        <v>816</v>
      </c>
      <c r="AD81" s="167" t="str">
        <f t="shared" si="27"/>
        <v>522 - 772</v>
      </c>
      <c r="AE81" s="110">
        <f t="shared" si="28"/>
        <v>7833333</v>
      </c>
      <c r="AF81" s="412">
        <v>43014</v>
      </c>
      <c r="AG81" s="109" t="str">
        <f t="shared" si="29"/>
        <v>861 - 1113</v>
      </c>
      <c r="AH81" s="111">
        <f t="shared" si="30"/>
        <v>7833333</v>
      </c>
      <c r="AI81" s="410">
        <v>43025</v>
      </c>
      <c r="AJ81" s="88" t="s">
        <v>897</v>
      </c>
      <c r="AK81" s="111">
        <f t="shared" si="31"/>
        <v>327</v>
      </c>
      <c r="AL81" s="111"/>
      <c r="AM81" s="101">
        <f t="shared" ref="AM81:AM88" si="35">AE81-AH81</f>
        <v>0</v>
      </c>
    </row>
    <row r="82" spans="1:39" s="112" customFormat="1" ht="63.75">
      <c r="A82" s="372" t="s">
        <v>109</v>
      </c>
      <c r="B82" s="92">
        <f t="shared" si="19"/>
        <v>5000000</v>
      </c>
      <c r="C82" s="88" t="s">
        <v>78</v>
      </c>
      <c r="D82" s="83" t="s">
        <v>107</v>
      </c>
      <c r="E82" s="88" t="s">
        <v>110</v>
      </c>
      <c r="F82" s="88" t="s">
        <v>131</v>
      </c>
      <c r="G82" s="88" t="s">
        <v>108</v>
      </c>
      <c r="H82" s="64">
        <v>458</v>
      </c>
      <c r="I82" s="61">
        <v>521</v>
      </c>
      <c r="J82" s="62">
        <f>5000000</f>
        <v>5000000</v>
      </c>
      <c r="K82" s="62">
        <v>875</v>
      </c>
      <c r="L82" s="62">
        <v>5000000</v>
      </c>
      <c r="M82" s="73">
        <v>335</v>
      </c>
      <c r="N82" s="76"/>
      <c r="O82" s="51"/>
      <c r="P82" s="62"/>
      <c r="Q82" s="62"/>
      <c r="R82" s="62"/>
      <c r="S82" s="62"/>
      <c r="T82" s="62"/>
      <c r="U82" s="62"/>
      <c r="V82" s="62"/>
      <c r="W82" s="62"/>
      <c r="X82" s="62">
        <f>666667</f>
        <v>666667</v>
      </c>
      <c r="Y82" s="95">
        <f>2500000+1833333</f>
        <v>4333333</v>
      </c>
      <c r="Z82" s="75">
        <f t="shared" si="34"/>
        <v>5000000</v>
      </c>
      <c r="AA82" s="251">
        <f t="shared" si="26"/>
        <v>0</v>
      </c>
      <c r="AC82" s="83" t="s">
        <v>815</v>
      </c>
      <c r="AD82" s="167">
        <f t="shared" si="27"/>
        <v>521</v>
      </c>
      <c r="AE82" s="110">
        <f t="shared" si="28"/>
        <v>5000000</v>
      </c>
      <c r="AF82" s="412">
        <v>43014</v>
      </c>
      <c r="AG82" s="109">
        <f t="shared" si="29"/>
        <v>875</v>
      </c>
      <c r="AH82" s="111">
        <f t="shared" si="30"/>
        <v>5000000</v>
      </c>
      <c r="AI82" s="410">
        <v>43028</v>
      </c>
      <c r="AJ82" s="88" t="s">
        <v>876</v>
      </c>
      <c r="AK82" s="111">
        <f t="shared" si="31"/>
        <v>335</v>
      </c>
      <c r="AL82" s="111"/>
      <c r="AM82" s="101">
        <f t="shared" si="35"/>
        <v>0</v>
      </c>
    </row>
    <row r="83" spans="1:39" s="112" customFormat="1" ht="63.75">
      <c r="A83" s="372" t="s">
        <v>109</v>
      </c>
      <c r="B83" s="92">
        <f t="shared" si="19"/>
        <v>10000000</v>
      </c>
      <c r="C83" s="88" t="s">
        <v>78</v>
      </c>
      <c r="D83" s="83" t="s">
        <v>107</v>
      </c>
      <c r="E83" s="88" t="s">
        <v>110</v>
      </c>
      <c r="F83" s="88" t="s">
        <v>131</v>
      </c>
      <c r="G83" s="88" t="s">
        <v>108</v>
      </c>
      <c r="H83" s="64">
        <v>101</v>
      </c>
      <c r="I83" s="61">
        <v>569</v>
      </c>
      <c r="J83" s="62">
        <f>10000000</f>
        <v>10000000</v>
      </c>
      <c r="K83" s="62">
        <v>918</v>
      </c>
      <c r="L83" s="62">
        <f>10000000</f>
        <v>10000000</v>
      </c>
      <c r="M83" s="73">
        <v>354</v>
      </c>
      <c r="N83" s="76"/>
      <c r="O83" s="51"/>
      <c r="P83" s="62"/>
      <c r="Q83" s="62"/>
      <c r="R83" s="62"/>
      <c r="S83" s="62"/>
      <c r="T83" s="62"/>
      <c r="U83" s="62"/>
      <c r="V83" s="62"/>
      <c r="W83" s="62"/>
      <c r="X83" s="62"/>
      <c r="Y83" s="95">
        <f>10000000</f>
        <v>10000000</v>
      </c>
      <c r="Z83" s="75">
        <f t="shared" si="34"/>
        <v>10000000</v>
      </c>
      <c r="AA83" s="251">
        <f t="shared" si="26"/>
        <v>0</v>
      </c>
      <c r="AC83" s="83" t="s">
        <v>882</v>
      </c>
      <c r="AD83" s="167">
        <f t="shared" si="27"/>
        <v>569</v>
      </c>
      <c r="AE83" s="110">
        <f t="shared" si="28"/>
        <v>10000000</v>
      </c>
      <c r="AF83" s="198">
        <v>43038</v>
      </c>
      <c r="AG83" s="109">
        <f t="shared" si="29"/>
        <v>918</v>
      </c>
      <c r="AH83" s="111">
        <f t="shared" si="30"/>
        <v>10000000</v>
      </c>
      <c r="AI83" s="410">
        <v>43047</v>
      </c>
      <c r="AJ83" s="88" t="s">
        <v>891</v>
      </c>
      <c r="AK83" s="111">
        <f t="shared" si="31"/>
        <v>354</v>
      </c>
      <c r="AL83" s="111"/>
      <c r="AM83" s="101">
        <f t="shared" ref="AM83:AM87" si="36">AE83-AH83</f>
        <v>0</v>
      </c>
    </row>
    <row r="84" spans="1:39" s="112" customFormat="1" ht="63.75">
      <c r="A84" s="372" t="s">
        <v>109</v>
      </c>
      <c r="B84" s="92">
        <f t="shared" si="19"/>
        <v>7473264</v>
      </c>
      <c r="C84" s="88" t="s">
        <v>78</v>
      </c>
      <c r="D84" s="83" t="s">
        <v>107</v>
      </c>
      <c r="E84" s="88" t="s">
        <v>110</v>
      </c>
      <c r="F84" s="88" t="s">
        <v>131</v>
      </c>
      <c r="G84" s="88" t="s">
        <v>108</v>
      </c>
      <c r="H84" s="64">
        <v>527</v>
      </c>
      <c r="I84" s="61" t="s">
        <v>934</v>
      </c>
      <c r="J84" s="62">
        <f>5848641+2599396-758157-216616</f>
        <v>7473264</v>
      </c>
      <c r="K84" s="62" t="s">
        <v>1220</v>
      </c>
      <c r="L84" s="62">
        <f>5090484+2382780</f>
        <v>7473264</v>
      </c>
      <c r="M84" s="73">
        <v>358</v>
      </c>
      <c r="N84" s="76"/>
      <c r="O84" s="51"/>
      <c r="P84" s="62"/>
      <c r="Q84" s="62"/>
      <c r="R84" s="62"/>
      <c r="S84" s="62"/>
      <c r="T84" s="62"/>
      <c r="U84" s="62"/>
      <c r="V84" s="62"/>
      <c r="W84" s="62"/>
      <c r="X84" s="62"/>
      <c r="Y84" s="95">
        <f>2274472+2816012+541541</f>
        <v>5632025</v>
      </c>
      <c r="Z84" s="75">
        <f t="shared" si="34"/>
        <v>5632025</v>
      </c>
      <c r="AA84" s="251">
        <f t="shared" si="26"/>
        <v>1841239</v>
      </c>
      <c r="AC84" s="83" t="s">
        <v>883</v>
      </c>
      <c r="AD84" s="167" t="str">
        <f t="shared" si="27"/>
        <v>579 - 658</v>
      </c>
      <c r="AE84" s="110">
        <f t="shared" si="28"/>
        <v>7473264</v>
      </c>
      <c r="AF84" s="198">
        <v>43039</v>
      </c>
      <c r="AG84" s="109" t="str">
        <f t="shared" si="29"/>
        <v>921 - 358 - 1114</v>
      </c>
      <c r="AH84" s="111">
        <f t="shared" si="30"/>
        <v>7473264</v>
      </c>
      <c r="AI84" s="410">
        <v>43048</v>
      </c>
      <c r="AJ84" s="88" t="s">
        <v>420</v>
      </c>
      <c r="AK84" s="110">
        <f t="shared" si="31"/>
        <v>358</v>
      </c>
      <c r="AL84" s="111"/>
      <c r="AM84" s="101">
        <f t="shared" si="36"/>
        <v>0</v>
      </c>
    </row>
    <row r="85" spans="1:39" s="112" customFormat="1" ht="63.75">
      <c r="A85" s="372" t="s">
        <v>109</v>
      </c>
      <c r="B85" s="92">
        <f t="shared" si="19"/>
        <v>8250000</v>
      </c>
      <c r="C85" s="88" t="s">
        <v>78</v>
      </c>
      <c r="D85" s="83" t="s">
        <v>107</v>
      </c>
      <c r="E85" s="88" t="s">
        <v>110</v>
      </c>
      <c r="F85" s="88" t="s">
        <v>131</v>
      </c>
      <c r="G85" s="88" t="s">
        <v>108</v>
      </c>
      <c r="H85" s="64">
        <v>524</v>
      </c>
      <c r="I85" s="61">
        <v>578</v>
      </c>
      <c r="J85" s="62">
        <v>8250000</v>
      </c>
      <c r="K85" s="62">
        <v>938</v>
      </c>
      <c r="L85" s="62">
        <f>8250000</f>
        <v>8250000</v>
      </c>
      <c r="M85" s="73">
        <v>361</v>
      </c>
      <c r="N85" s="76"/>
      <c r="O85" s="51"/>
      <c r="P85" s="62"/>
      <c r="Q85" s="62"/>
      <c r="R85" s="62"/>
      <c r="S85" s="62"/>
      <c r="T85" s="62"/>
      <c r="U85" s="62"/>
      <c r="V85" s="62"/>
      <c r="W85" s="62"/>
      <c r="X85" s="62"/>
      <c r="Y85" s="95">
        <f>2933333+5316667</f>
        <v>8250000</v>
      </c>
      <c r="Z85" s="75">
        <f t="shared" si="34"/>
        <v>8250000</v>
      </c>
      <c r="AA85" s="251">
        <f t="shared" si="26"/>
        <v>0</v>
      </c>
      <c r="AC85" s="83" t="s">
        <v>884</v>
      </c>
      <c r="AD85" s="167">
        <f t="shared" si="27"/>
        <v>578</v>
      </c>
      <c r="AE85" s="110">
        <f t="shared" si="28"/>
        <v>8250000</v>
      </c>
      <c r="AF85" s="198">
        <v>43039</v>
      </c>
      <c r="AG85" s="109">
        <f t="shared" si="29"/>
        <v>938</v>
      </c>
      <c r="AH85" s="111">
        <f t="shared" si="30"/>
        <v>8250000</v>
      </c>
      <c r="AI85" s="410">
        <v>43053</v>
      </c>
      <c r="AJ85" s="88" t="s">
        <v>893</v>
      </c>
      <c r="AK85" s="110">
        <f t="shared" si="31"/>
        <v>361</v>
      </c>
      <c r="AL85" s="111"/>
      <c r="AM85" s="101">
        <f t="shared" si="36"/>
        <v>0</v>
      </c>
    </row>
    <row r="86" spans="1:39" s="112" customFormat="1" ht="63.75">
      <c r="A86" s="372" t="s">
        <v>109</v>
      </c>
      <c r="B86" s="92">
        <f t="shared" si="19"/>
        <v>3185697</v>
      </c>
      <c r="C86" s="88" t="s">
        <v>78</v>
      </c>
      <c r="D86" s="83" t="s">
        <v>107</v>
      </c>
      <c r="E86" s="88" t="s">
        <v>110</v>
      </c>
      <c r="F86" s="88" t="s">
        <v>131</v>
      </c>
      <c r="G86" s="88" t="s">
        <v>108</v>
      </c>
      <c r="H86" s="64">
        <v>457</v>
      </c>
      <c r="I86" s="61">
        <v>576</v>
      </c>
      <c r="J86" s="62">
        <f>3185697</f>
        <v>3185697</v>
      </c>
      <c r="K86" s="62">
        <v>919</v>
      </c>
      <c r="L86" s="62">
        <f>3185697</f>
        <v>3185697</v>
      </c>
      <c r="M86" s="73">
        <v>356</v>
      </c>
      <c r="N86" s="76"/>
      <c r="O86" s="51"/>
      <c r="P86" s="62"/>
      <c r="Q86" s="62"/>
      <c r="R86" s="62"/>
      <c r="S86" s="62"/>
      <c r="T86" s="62"/>
      <c r="U86" s="62"/>
      <c r="V86" s="62"/>
      <c r="W86" s="62"/>
      <c r="X86" s="62"/>
      <c r="Y86" s="95">
        <f>1347795+1837902</f>
        <v>3185697</v>
      </c>
      <c r="Z86" s="75">
        <f t="shared" si="34"/>
        <v>3185697</v>
      </c>
      <c r="AA86" s="251">
        <f t="shared" si="26"/>
        <v>0</v>
      </c>
      <c r="AC86" s="83" t="s">
        <v>885</v>
      </c>
      <c r="AD86" s="167">
        <f t="shared" si="27"/>
        <v>576</v>
      </c>
      <c r="AE86" s="110">
        <f t="shared" si="28"/>
        <v>3185697</v>
      </c>
      <c r="AF86" s="198">
        <v>43039</v>
      </c>
      <c r="AG86" s="109">
        <f t="shared" si="29"/>
        <v>919</v>
      </c>
      <c r="AH86" s="111">
        <f t="shared" si="30"/>
        <v>3185697</v>
      </c>
      <c r="AI86" s="410">
        <v>43048</v>
      </c>
      <c r="AJ86" s="88" t="s">
        <v>892</v>
      </c>
      <c r="AK86" s="110">
        <f t="shared" si="31"/>
        <v>356</v>
      </c>
      <c r="AL86" s="111"/>
      <c r="AM86" s="101">
        <f t="shared" si="36"/>
        <v>0</v>
      </c>
    </row>
    <row r="87" spans="1:39" s="112" customFormat="1" ht="63.75">
      <c r="A87" s="372" t="s">
        <v>109</v>
      </c>
      <c r="B87" s="92">
        <f t="shared" si="19"/>
        <v>5040655</v>
      </c>
      <c r="C87" s="88" t="s">
        <v>78</v>
      </c>
      <c r="D87" s="83" t="s">
        <v>107</v>
      </c>
      <c r="E87" s="88" t="s">
        <v>110</v>
      </c>
      <c r="F87" s="88" t="s">
        <v>131</v>
      </c>
      <c r="G87" s="88" t="s">
        <v>108</v>
      </c>
      <c r="H87" s="64">
        <v>503</v>
      </c>
      <c r="I87" s="61" t="s">
        <v>1049</v>
      </c>
      <c r="J87" s="62">
        <f>3780491+1260164</f>
        <v>5040655</v>
      </c>
      <c r="K87" s="62" t="s">
        <v>1128</v>
      </c>
      <c r="L87" s="62">
        <f>3780491+1260164</f>
        <v>5040655</v>
      </c>
      <c r="M87" s="73">
        <v>380</v>
      </c>
      <c r="N87" s="76"/>
      <c r="O87" s="51"/>
      <c r="P87" s="62"/>
      <c r="Q87" s="62"/>
      <c r="R87" s="62"/>
      <c r="S87" s="62"/>
      <c r="T87" s="62"/>
      <c r="U87" s="62"/>
      <c r="V87" s="62"/>
      <c r="W87" s="62"/>
      <c r="X87" s="62"/>
      <c r="Y87" s="95">
        <f>3780491</f>
        <v>3780491</v>
      </c>
      <c r="Z87" s="75">
        <f t="shared" si="34"/>
        <v>3780491</v>
      </c>
      <c r="AA87" s="251">
        <f t="shared" si="26"/>
        <v>1260164</v>
      </c>
      <c r="AC87" s="83" t="s">
        <v>919</v>
      </c>
      <c r="AD87" s="167" t="str">
        <f t="shared" si="27"/>
        <v>640 - 773</v>
      </c>
      <c r="AE87" s="110">
        <f t="shared" si="28"/>
        <v>5040655</v>
      </c>
      <c r="AF87" s="198">
        <v>43060</v>
      </c>
      <c r="AG87" s="109" t="str">
        <f t="shared" si="29"/>
        <v>993 - 1116</v>
      </c>
      <c r="AH87" s="111">
        <f t="shared" si="30"/>
        <v>5040655</v>
      </c>
      <c r="AI87" s="121">
        <v>43070</v>
      </c>
      <c r="AJ87" s="88" t="s">
        <v>987</v>
      </c>
      <c r="AK87" s="110">
        <f t="shared" si="31"/>
        <v>380</v>
      </c>
      <c r="AL87" s="111"/>
      <c r="AM87" s="101">
        <f t="shared" si="36"/>
        <v>0</v>
      </c>
    </row>
    <row r="88" spans="1:39" s="112" customFormat="1" ht="63.75">
      <c r="A88" s="372" t="s">
        <v>109</v>
      </c>
      <c r="B88" s="92">
        <f t="shared" si="19"/>
        <v>3600000</v>
      </c>
      <c r="C88" s="88" t="s">
        <v>78</v>
      </c>
      <c r="D88" s="83" t="s">
        <v>107</v>
      </c>
      <c r="E88" s="88" t="s">
        <v>110</v>
      </c>
      <c r="F88" s="88" t="s">
        <v>131</v>
      </c>
      <c r="G88" s="88" t="s">
        <v>108</v>
      </c>
      <c r="H88" s="64">
        <v>505</v>
      </c>
      <c r="I88" s="61" t="s">
        <v>1297</v>
      </c>
      <c r="J88" s="62">
        <f>4000000+2000000-2000000-400000</f>
        <v>3600000</v>
      </c>
      <c r="K88" s="62">
        <v>992</v>
      </c>
      <c r="L88" s="62">
        <f>4000000-400000</f>
        <v>3600000</v>
      </c>
      <c r="M88" s="73">
        <v>378</v>
      </c>
      <c r="N88" s="76"/>
      <c r="O88" s="51"/>
      <c r="P88" s="62"/>
      <c r="Q88" s="62"/>
      <c r="R88" s="62"/>
      <c r="S88" s="62"/>
      <c r="T88" s="62"/>
      <c r="U88" s="62"/>
      <c r="V88" s="62"/>
      <c r="W88" s="62"/>
      <c r="X88" s="62"/>
      <c r="Y88" s="95">
        <f>3600000</f>
        <v>3600000</v>
      </c>
      <c r="Z88" s="75">
        <f t="shared" ref="Z88" si="37">SUM(N88:Y88)</f>
        <v>3600000</v>
      </c>
      <c r="AA88" s="251">
        <f t="shared" si="26"/>
        <v>0</v>
      </c>
      <c r="AC88" s="83" t="s">
        <v>935</v>
      </c>
      <c r="AD88" s="167" t="str">
        <f t="shared" si="27"/>
        <v>660 - 803</v>
      </c>
      <c r="AE88" s="110">
        <f t="shared" si="28"/>
        <v>3600000</v>
      </c>
      <c r="AF88" s="198">
        <v>43063</v>
      </c>
      <c r="AG88" s="109">
        <f t="shared" si="29"/>
        <v>992</v>
      </c>
      <c r="AH88" s="111">
        <f t="shared" si="30"/>
        <v>3600000</v>
      </c>
      <c r="AI88" s="121">
        <v>43070</v>
      </c>
      <c r="AJ88" s="88" t="s">
        <v>1013</v>
      </c>
      <c r="AK88" s="110">
        <f t="shared" si="31"/>
        <v>378</v>
      </c>
      <c r="AL88" s="111"/>
      <c r="AM88" s="101">
        <f t="shared" si="35"/>
        <v>0</v>
      </c>
    </row>
    <row r="89" spans="1:39" s="112" customFormat="1" ht="63.75">
      <c r="A89" s="372" t="s">
        <v>109</v>
      </c>
      <c r="B89" s="92">
        <f t="shared" si="19"/>
        <v>2178667</v>
      </c>
      <c r="C89" s="88" t="s">
        <v>78</v>
      </c>
      <c r="D89" s="83" t="s">
        <v>107</v>
      </c>
      <c r="E89" s="88" t="s">
        <v>110</v>
      </c>
      <c r="F89" s="88" t="s">
        <v>131</v>
      </c>
      <c r="G89" s="88" t="s">
        <v>108</v>
      </c>
      <c r="H89" s="64">
        <v>545</v>
      </c>
      <c r="I89" s="61" t="s">
        <v>1050</v>
      </c>
      <c r="J89" s="62">
        <f>1520000+658667</f>
        <v>2178667</v>
      </c>
      <c r="K89" s="62" t="s">
        <v>1129</v>
      </c>
      <c r="L89" s="62">
        <f>1520000+658667</f>
        <v>2178667</v>
      </c>
      <c r="M89" s="73">
        <v>389</v>
      </c>
      <c r="N89" s="76"/>
      <c r="O89" s="51"/>
      <c r="P89" s="62"/>
      <c r="Q89" s="62"/>
      <c r="R89" s="62"/>
      <c r="S89" s="62"/>
      <c r="T89" s="62"/>
      <c r="U89" s="62"/>
      <c r="V89" s="62"/>
      <c r="W89" s="62"/>
      <c r="X89" s="62"/>
      <c r="Y89" s="95">
        <f>1520000</f>
        <v>1520000</v>
      </c>
      <c r="Z89" s="75">
        <f t="shared" ref="Z89:Z90" si="38">SUM(N89:Y89)</f>
        <v>1520000</v>
      </c>
      <c r="AA89" s="251">
        <f t="shared" si="26"/>
        <v>658667</v>
      </c>
      <c r="AC89" s="83" t="s">
        <v>950</v>
      </c>
      <c r="AD89" s="167" t="str">
        <f t="shared" si="27"/>
        <v>681 - 788</v>
      </c>
      <c r="AE89" s="110">
        <f t="shared" si="28"/>
        <v>2178667</v>
      </c>
      <c r="AF89" s="198">
        <v>43066</v>
      </c>
      <c r="AG89" s="109" t="str">
        <f t="shared" si="29"/>
        <v>994 - 1152</v>
      </c>
      <c r="AH89" s="111">
        <f t="shared" si="30"/>
        <v>2178667</v>
      </c>
      <c r="AI89" s="121">
        <v>43070</v>
      </c>
      <c r="AJ89" s="88" t="s">
        <v>1014</v>
      </c>
      <c r="AK89" s="110">
        <f t="shared" si="31"/>
        <v>389</v>
      </c>
      <c r="AL89" s="111"/>
      <c r="AM89" s="101">
        <f t="shared" ref="AM89:AM90" si="39">AE89-AH89</f>
        <v>0</v>
      </c>
    </row>
    <row r="90" spans="1:39" s="112" customFormat="1" ht="63.75">
      <c r="A90" s="372" t="s">
        <v>109</v>
      </c>
      <c r="B90" s="92">
        <f t="shared" si="19"/>
        <v>0</v>
      </c>
      <c r="C90" s="88" t="s">
        <v>78</v>
      </c>
      <c r="D90" s="83" t="s">
        <v>107</v>
      </c>
      <c r="E90" s="88" t="s">
        <v>110</v>
      </c>
      <c r="F90" s="88" t="s">
        <v>131</v>
      </c>
      <c r="G90" s="88" t="s">
        <v>108</v>
      </c>
      <c r="H90" s="64"/>
      <c r="I90" s="61"/>
      <c r="J90" s="62"/>
      <c r="K90" s="62"/>
      <c r="L90" s="62"/>
      <c r="M90" s="73"/>
      <c r="N90" s="76"/>
      <c r="O90" s="51"/>
      <c r="P90" s="62"/>
      <c r="Q90" s="62"/>
      <c r="R90" s="62"/>
      <c r="S90" s="62"/>
      <c r="T90" s="62"/>
      <c r="U90" s="62"/>
      <c r="V90" s="62"/>
      <c r="W90" s="62"/>
      <c r="X90" s="62"/>
      <c r="Y90" s="95"/>
      <c r="Z90" s="75">
        <f t="shared" si="38"/>
        <v>0</v>
      </c>
      <c r="AA90" s="251">
        <f t="shared" si="26"/>
        <v>0</v>
      </c>
      <c r="AC90" s="83"/>
      <c r="AD90" s="167">
        <f t="shared" si="27"/>
        <v>0</v>
      </c>
      <c r="AE90" s="110">
        <f t="shared" si="28"/>
        <v>0</v>
      </c>
      <c r="AF90" s="198"/>
      <c r="AG90" s="109">
        <f t="shared" si="29"/>
        <v>0</v>
      </c>
      <c r="AH90" s="111">
        <f t="shared" si="30"/>
        <v>0</v>
      </c>
      <c r="AI90" s="121"/>
      <c r="AJ90" s="88"/>
      <c r="AK90" s="110">
        <f t="shared" si="31"/>
        <v>0</v>
      </c>
      <c r="AL90" s="111"/>
      <c r="AM90" s="101">
        <f t="shared" si="39"/>
        <v>0</v>
      </c>
    </row>
    <row r="91" spans="1:39" s="112" customFormat="1" ht="63.75">
      <c r="A91" s="372" t="s">
        <v>109</v>
      </c>
      <c r="B91" s="92">
        <f t="shared" si="19"/>
        <v>0</v>
      </c>
      <c r="C91" s="88" t="s">
        <v>78</v>
      </c>
      <c r="D91" s="83" t="s">
        <v>107</v>
      </c>
      <c r="E91" s="88" t="s">
        <v>110</v>
      </c>
      <c r="F91" s="88" t="s">
        <v>131</v>
      </c>
      <c r="G91" s="88" t="s">
        <v>108</v>
      </c>
      <c r="H91" s="64"/>
      <c r="I91" s="61"/>
      <c r="J91" s="62"/>
      <c r="K91" s="62"/>
      <c r="L91" s="62"/>
      <c r="M91" s="73"/>
      <c r="N91" s="76"/>
      <c r="O91" s="51"/>
      <c r="P91" s="62"/>
      <c r="Q91" s="62"/>
      <c r="R91" s="62"/>
      <c r="S91" s="62"/>
      <c r="T91" s="62"/>
      <c r="U91" s="62"/>
      <c r="V91" s="62"/>
      <c r="W91" s="62"/>
      <c r="X91" s="62"/>
      <c r="Y91" s="95"/>
      <c r="Z91" s="75">
        <f t="shared" ref="Z91" si="40">SUM(N91:Y91)</f>
        <v>0</v>
      </c>
      <c r="AA91" s="251">
        <f t="shared" si="26"/>
        <v>0</v>
      </c>
      <c r="AC91" s="83"/>
      <c r="AD91" s="167">
        <f t="shared" si="27"/>
        <v>0</v>
      </c>
      <c r="AE91" s="110">
        <f t="shared" si="28"/>
        <v>0</v>
      </c>
      <c r="AF91" s="198"/>
      <c r="AG91" s="109">
        <f t="shared" si="29"/>
        <v>0</v>
      </c>
      <c r="AH91" s="111">
        <f t="shared" si="30"/>
        <v>0</v>
      </c>
      <c r="AI91" s="121"/>
      <c r="AJ91" s="88"/>
      <c r="AK91" s="110">
        <f t="shared" si="31"/>
        <v>0</v>
      </c>
      <c r="AL91" s="111"/>
      <c r="AM91" s="101">
        <f t="shared" ref="AM91" si="41">AE91-AH91</f>
        <v>0</v>
      </c>
    </row>
    <row r="92" spans="1:39" s="116" customFormat="1">
      <c r="A92" s="255" t="s">
        <v>132</v>
      </c>
      <c r="B92" s="54">
        <f>B34-B35-B36-B37-B38-B39-B40-B41-B42-B43-B44-B45-B46-B47-B48-B49-B50-B51-B52-B53-B56-B54-B55-B57-B58-B59-B60-B61-B62-B63-B64-B65-B66-B67-B68-B69-B70-B71-B72-B73-B74-B75-B76-B77-B78-B79-B80-B81-B82-B83-B84-B85-B86-B87-B88-B89-B90-B91</f>
        <v>26794503</v>
      </c>
      <c r="C92" s="99"/>
      <c r="D92" s="99"/>
      <c r="E92" s="99"/>
      <c r="F92" s="99"/>
      <c r="G92" s="164"/>
      <c r="H92" s="144"/>
      <c r="I92" s="51"/>
      <c r="J92" s="51">
        <f>SUM(J34:J91)</f>
        <v>1767339744</v>
      </c>
      <c r="K92" s="51"/>
      <c r="L92" s="51">
        <f>SUM(L34:L91)</f>
        <v>1767339744</v>
      </c>
      <c r="M92" s="51"/>
      <c r="N92" s="51">
        <f t="shared" ref="N92:AA92" si="42">SUM(N34:N91)</f>
        <v>0</v>
      </c>
      <c r="O92" s="51">
        <f t="shared" si="42"/>
        <v>29709905</v>
      </c>
      <c r="P92" s="51">
        <f t="shared" si="42"/>
        <v>119483298</v>
      </c>
      <c r="Q92" s="51">
        <f t="shared" si="42"/>
        <v>135381120</v>
      </c>
      <c r="R92" s="51">
        <f t="shared" si="42"/>
        <v>140982338</v>
      </c>
      <c r="S92" s="51">
        <f t="shared" si="42"/>
        <v>149205348</v>
      </c>
      <c r="T92" s="51">
        <f t="shared" si="42"/>
        <v>151190826</v>
      </c>
      <c r="U92" s="51">
        <f t="shared" si="42"/>
        <v>162025663</v>
      </c>
      <c r="V92" s="51">
        <f t="shared" si="42"/>
        <v>148500144</v>
      </c>
      <c r="W92" s="51">
        <f t="shared" si="42"/>
        <v>154005744</v>
      </c>
      <c r="X92" s="51">
        <f t="shared" si="42"/>
        <v>150585000</v>
      </c>
      <c r="Y92" s="51">
        <f>SUM(Y34:Y91)</f>
        <v>336041074</v>
      </c>
      <c r="Z92" s="51">
        <f t="shared" si="42"/>
        <v>1677110460</v>
      </c>
      <c r="AA92" s="256">
        <f t="shared" si="42"/>
        <v>90229284</v>
      </c>
      <c r="AC92" s="100"/>
      <c r="AD92" s="200"/>
      <c r="AE92" s="51">
        <f>SUM(AE34:AE67)</f>
        <v>1565003370</v>
      </c>
      <c r="AF92" s="258"/>
      <c r="AG92" s="107"/>
      <c r="AH92" s="51">
        <f>SUM(AH34:AH67)</f>
        <v>1565003370</v>
      </c>
      <c r="AI92" s="54"/>
      <c r="AJ92" s="54"/>
      <c r="AK92" s="51"/>
      <c r="AL92" s="101"/>
      <c r="AM92" s="51">
        <f>SUM(AM34:AM67)</f>
        <v>0</v>
      </c>
    </row>
    <row r="93" spans="1:39" s="112" customFormat="1" ht="92.25" customHeight="1">
      <c r="A93" s="252" t="s">
        <v>111</v>
      </c>
      <c r="B93" s="52">
        <f>140000000+12140863-11267530+2430334</f>
        <v>143303667</v>
      </c>
      <c r="C93" s="88" t="s">
        <v>78</v>
      </c>
      <c r="D93" s="83" t="s">
        <v>107</v>
      </c>
      <c r="E93" s="88" t="s">
        <v>110</v>
      </c>
      <c r="F93" s="88" t="s">
        <v>131</v>
      </c>
      <c r="G93" s="88" t="s">
        <v>108</v>
      </c>
      <c r="H93" s="64"/>
      <c r="I93" s="61"/>
      <c r="J93" s="62"/>
      <c r="K93" s="62"/>
      <c r="L93" s="62"/>
      <c r="M93" s="63"/>
      <c r="N93" s="74"/>
      <c r="O93" s="47"/>
      <c r="P93" s="47"/>
      <c r="Q93" s="47"/>
      <c r="R93" s="47"/>
      <c r="S93" s="47"/>
      <c r="T93" s="47"/>
      <c r="U93" s="47"/>
      <c r="V93" s="47"/>
      <c r="W93" s="47"/>
      <c r="X93" s="47"/>
      <c r="Y93" s="48"/>
      <c r="Z93" s="75">
        <f>SUM(N93:Y93)</f>
        <v>0</v>
      </c>
      <c r="AA93" s="251">
        <f>L93-Z93</f>
        <v>0</v>
      </c>
      <c r="AC93" s="83"/>
      <c r="AD93" s="167">
        <f t="shared" ref="AD93:AE97" si="43">I93</f>
        <v>0</v>
      </c>
      <c r="AE93" s="111">
        <f t="shared" si="43"/>
        <v>0</v>
      </c>
      <c r="AF93" s="197"/>
      <c r="AG93" s="109">
        <f t="shared" ref="AG93:AH97" si="44">K93</f>
        <v>0</v>
      </c>
      <c r="AH93" s="111">
        <f t="shared" si="44"/>
        <v>0</v>
      </c>
      <c r="AI93" s="88"/>
      <c r="AJ93" s="88"/>
      <c r="AK93" s="111">
        <f>M93</f>
        <v>0</v>
      </c>
      <c r="AL93" s="111"/>
      <c r="AM93" s="101">
        <f t="shared" si="7"/>
        <v>0</v>
      </c>
    </row>
    <row r="94" spans="1:39" s="112" customFormat="1" ht="75.75" customHeight="1">
      <c r="A94" s="372" t="s">
        <v>111</v>
      </c>
      <c r="B94" s="92">
        <f>J94</f>
        <v>30900000</v>
      </c>
      <c r="C94" s="88" t="s">
        <v>78</v>
      </c>
      <c r="D94" s="83" t="s">
        <v>107</v>
      </c>
      <c r="E94" s="88" t="s">
        <v>110</v>
      </c>
      <c r="F94" s="88" t="s">
        <v>131</v>
      </c>
      <c r="G94" s="88" t="s">
        <v>108</v>
      </c>
      <c r="H94" s="64">
        <v>111</v>
      </c>
      <c r="I94" s="61" t="s">
        <v>1015</v>
      </c>
      <c r="J94" s="62">
        <f>29132263-807263+2575000</f>
        <v>30900000</v>
      </c>
      <c r="K94" s="62" t="s">
        <v>1298</v>
      </c>
      <c r="L94" s="62">
        <f>28325000+807263-807263+2575000</f>
        <v>30900000</v>
      </c>
      <c r="M94" s="63">
        <v>19</v>
      </c>
      <c r="N94" s="74"/>
      <c r="O94" s="68">
        <v>1201667</v>
      </c>
      <c r="P94" s="68">
        <f>2575000</f>
        <v>2575000</v>
      </c>
      <c r="Q94" s="68">
        <v>2575000</v>
      </c>
      <c r="R94" s="68">
        <v>2575000</v>
      </c>
      <c r="S94" s="68">
        <f>2575000</f>
        <v>2575000</v>
      </c>
      <c r="T94" s="68">
        <v>2575000</v>
      </c>
      <c r="U94" s="68">
        <f>2575000</f>
        <v>2575000</v>
      </c>
      <c r="V94" s="68">
        <f>2575000</f>
        <v>2575000</v>
      </c>
      <c r="W94" s="68">
        <f>2575000</f>
        <v>2575000</v>
      </c>
      <c r="X94" s="68">
        <f>2575000</f>
        <v>2575000</v>
      </c>
      <c r="Y94" s="63">
        <f>2575000+1201667+1373333</f>
        <v>5150000</v>
      </c>
      <c r="Z94" s="75">
        <f>SUM(N94:Y94)</f>
        <v>29526667</v>
      </c>
      <c r="AA94" s="251">
        <f>L94-Z94</f>
        <v>1373333</v>
      </c>
      <c r="AC94" s="83" t="s">
        <v>236</v>
      </c>
      <c r="AD94" s="167" t="str">
        <f t="shared" si="43"/>
        <v>44 - 787</v>
      </c>
      <c r="AE94" s="111">
        <f t="shared" si="43"/>
        <v>30900000</v>
      </c>
      <c r="AF94" s="198">
        <v>42748</v>
      </c>
      <c r="AG94" s="109" t="str">
        <f t="shared" si="44"/>
        <v>60-61 - 1097</v>
      </c>
      <c r="AH94" s="111">
        <f t="shared" si="44"/>
        <v>30900000</v>
      </c>
      <c r="AI94" s="121">
        <v>42752</v>
      </c>
      <c r="AJ94" s="88" t="s">
        <v>348</v>
      </c>
      <c r="AK94" s="111">
        <f>M94</f>
        <v>19</v>
      </c>
      <c r="AL94" s="111">
        <v>52907805</v>
      </c>
      <c r="AM94" s="101">
        <f t="shared" si="7"/>
        <v>0</v>
      </c>
    </row>
    <row r="95" spans="1:39" s="112" customFormat="1" ht="87.75" customHeight="1">
      <c r="A95" s="372" t="s">
        <v>111</v>
      </c>
      <c r="B95" s="92">
        <f t="shared" ref="B95:B97" si="45">J95</f>
        <v>47016667</v>
      </c>
      <c r="C95" s="88" t="s">
        <v>78</v>
      </c>
      <c r="D95" s="83" t="s">
        <v>107</v>
      </c>
      <c r="E95" s="88" t="s">
        <v>110</v>
      </c>
      <c r="F95" s="88" t="s">
        <v>131</v>
      </c>
      <c r="G95" s="88" t="s">
        <v>108</v>
      </c>
      <c r="H95" s="64">
        <v>135</v>
      </c>
      <c r="I95" s="61" t="s">
        <v>1051</v>
      </c>
      <c r="J95" s="62">
        <f>40173210-1113210+4918667+3038000</f>
        <v>47016667</v>
      </c>
      <c r="K95" s="62" t="s">
        <v>1130</v>
      </c>
      <c r="L95" s="62">
        <f>39060000+4918667+3038000</f>
        <v>47016667</v>
      </c>
      <c r="M95" s="63">
        <v>128</v>
      </c>
      <c r="N95" s="76"/>
      <c r="O95" s="62"/>
      <c r="P95" s="62">
        <v>2314667</v>
      </c>
      <c r="Q95" s="62">
        <v>4340000</v>
      </c>
      <c r="R95" s="62">
        <v>4340000</v>
      </c>
      <c r="S95" s="62">
        <f>4340000</f>
        <v>4340000</v>
      </c>
      <c r="T95" s="62">
        <v>4340000</v>
      </c>
      <c r="U95" s="62">
        <f>4340000</f>
        <v>4340000</v>
      </c>
      <c r="V95" s="62">
        <f>4340000</f>
        <v>4340000</v>
      </c>
      <c r="W95" s="62">
        <f>4340000</f>
        <v>4340000</v>
      </c>
      <c r="X95" s="62">
        <f>4340000</f>
        <v>4340000</v>
      </c>
      <c r="Y95" s="79">
        <f>2025333+4195334+144666+723333</f>
        <v>7088666</v>
      </c>
      <c r="Z95" s="75">
        <f>SUM(N95:Y95)</f>
        <v>44123333</v>
      </c>
      <c r="AA95" s="251">
        <f>L95-Z95</f>
        <v>2893334</v>
      </c>
      <c r="AC95" s="83" t="s">
        <v>445</v>
      </c>
      <c r="AD95" s="167" t="str">
        <f t="shared" si="43"/>
        <v>161 - 588 - 806</v>
      </c>
      <c r="AE95" s="111">
        <f t="shared" si="43"/>
        <v>47016667</v>
      </c>
      <c r="AF95" s="198">
        <v>42775</v>
      </c>
      <c r="AG95" s="109" t="str">
        <f t="shared" si="44"/>
        <v>284 - 931-1181</v>
      </c>
      <c r="AH95" s="111">
        <f t="shared" si="44"/>
        <v>47016667</v>
      </c>
      <c r="AI95" s="121">
        <v>42781</v>
      </c>
      <c r="AJ95" s="88" t="s">
        <v>456</v>
      </c>
      <c r="AK95" s="111">
        <f>M95</f>
        <v>128</v>
      </c>
      <c r="AL95" s="111">
        <v>1022363131</v>
      </c>
      <c r="AM95" s="101">
        <f t="shared" si="7"/>
        <v>0</v>
      </c>
    </row>
    <row r="96" spans="1:39" s="112" customFormat="1" ht="78.75" customHeight="1">
      <c r="A96" s="372" t="s">
        <v>111</v>
      </c>
      <c r="B96" s="92">
        <f t="shared" si="45"/>
        <v>62521667</v>
      </c>
      <c r="C96" s="88" t="s">
        <v>78</v>
      </c>
      <c r="D96" s="83" t="s">
        <v>107</v>
      </c>
      <c r="E96" s="88" t="s">
        <v>110</v>
      </c>
      <c r="F96" s="88" t="s">
        <v>131</v>
      </c>
      <c r="G96" s="88" t="s">
        <v>108</v>
      </c>
      <c r="H96" s="64">
        <v>136</v>
      </c>
      <c r="I96" s="61" t="s">
        <v>1299</v>
      </c>
      <c r="J96" s="62">
        <f>82794250-82794250+68425000-5903333</f>
        <v>62521667</v>
      </c>
      <c r="K96" s="62">
        <v>430</v>
      </c>
      <c r="L96" s="62">
        <f>68425000-5903333</f>
        <v>62521667</v>
      </c>
      <c r="M96" s="63">
        <v>206</v>
      </c>
      <c r="N96" s="76"/>
      <c r="O96" s="62"/>
      <c r="P96" s="62"/>
      <c r="Q96" s="62"/>
      <c r="R96" s="62"/>
      <c r="S96" s="62">
        <f>5366667+8050000</f>
        <v>13416667</v>
      </c>
      <c r="T96" s="62">
        <v>8050000</v>
      </c>
      <c r="U96" s="62">
        <f>4293333</f>
        <v>4293333</v>
      </c>
      <c r="V96" s="62">
        <f>4561667</f>
        <v>4561667</v>
      </c>
      <c r="W96" s="62">
        <f>8050000</f>
        <v>8050000</v>
      </c>
      <c r="X96" s="62">
        <f>8050000</f>
        <v>8050000</v>
      </c>
      <c r="Y96" s="79">
        <f>8050000+8050000</f>
        <v>16100000</v>
      </c>
      <c r="Z96" s="75">
        <f>SUM(N96:Y96)</f>
        <v>62521667</v>
      </c>
      <c r="AA96" s="251">
        <f>L96-Z96</f>
        <v>0</v>
      </c>
      <c r="AC96" s="83" t="s">
        <v>417</v>
      </c>
      <c r="AD96" s="167" t="str">
        <f t="shared" si="43"/>
        <v>162-268</v>
      </c>
      <c r="AE96" s="111">
        <f t="shared" si="43"/>
        <v>62521667</v>
      </c>
      <c r="AF96" s="102" t="s">
        <v>584</v>
      </c>
      <c r="AG96" s="109">
        <f t="shared" si="44"/>
        <v>430</v>
      </c>
      <c r="AH96" s="111">
        <f t="shared" si="44"/>
        <v>62521667</v>
      </c>
      <c r="AI96" s="121">
        <v>42836</v>
      </c>
      <c r="AJ96" s="88" t="s">
        <v>590</v>
      </c>
      <c r="AK96" s="111">
        <f>M96</f>
        <v>206</v>
      </c>
      <c r="AL96" s="111">
        <v>35503024</v>
      </c>
      <c r="AM96" s="101">
        <f t="shared" si="7"/>
        <v>0</v>
      </c>
    </row>
    <row r="97" spans="1:39" s="112" customFormat="1" ht="77.25" customHeight="1">
      <c r="A97" s="372" t="s">
        <v>111</v>
      </c>
      <c r="B97" s="92">
        <f t="shared" si="45"/>
        <v>0</v>
      </c>
      <c r="C97" s="88" t="s">
        <v>78</v>
      </c>
      <c r="D97" s="83" t="s">
        <v>107</v>
      </c>
      <c r="E97" s="88" t="s">
        <v>110</v>
      </c>
      <c r="F97" s="88" t="s">
        <v>131</v>
      </c>
      <c r="G97" s="88" t="s">
        <v>108</v>
      </c>
      <c r="H97" s="64"/>
      <c r="I97" s="61"/>
      <c r="J97" s="62"/>
      <c r="K97" s="62"/>
      <c r="L97" s="62"/>
      <c r="M97" s="63"/>
      <c r="N97" s="76"/>
      <c r="O97" s="51"/>
      <c r="P97" s="51"/>
      <c r="Q97" s="51"/>
      <c r="R97" s="51"/>
      <c r="S97" s="51"/>
      <c r="T97" s="51"/>
      <c r="U97" s="51"/>
      <c r="V97" s="51"/>
      <c r="W97" s="51"/>
      <c r="X97" s="51"/>
      <c r="Y97" s="77"/>
      <c r="Z97" s="75">
        <f>SUM(N97:Y97)</f>
        <v>0</v>
      </c>
      <c r="AA97" s="251">
        <f>L97-Z97</f>
        <v>0</v>
      </c>
      <c r="AC97" s="83"/>
      <c r="AD97" s="167">
        <f t="shared" si="43"/>
        <v>0</v>
      </c>
      <c r="AE97" s="111">
        <f t="shared" si="43"/>
        <v>0</v>
      </c>
      <c r="AF97" s="197"/>
      <c r="AG97" s="109">
        <f t="shared" si="44"/>
        <v>0</v>
      </c>
      <c r="AH97" s="111">
        <f t="shared" si="44"/>
        <v>0</v>
      </c>
      <c r="AI97" s="88"/>
      <c r="AJ97" s="88"/>
      <c r="AK97" s="111">
        <f>M97</f>
        <v>0</v>
      </c>
      <c r="AL97" s="111"/>
      <c r="AM97" s="101">
        <f t="shared" si="7"/>
        <v>0</v>
      </c>
    </row>
    <row r="98" spans="1:39" s="116" customFormat="1">
      <c r="A98" s="255" t="s">
        <v>132</v>
      </c>
      <c r="B98" s="54">
        <f>B93-B94-B95-B96-B97</f>
        <v>2865333</v>
      </c>
      <c r="C98" s="99"/>
      <c r="D98" s="99"/>
      <c r="E98" s="99"/>
      <c r="F98" s="99"/>
      <c r="G98" s="164"/>
      <c r="H98" s="144"/>
      <c r="I98" s="51"/>
      <c r="J98" s="51">
        <f>SUM(J93:J97)</f>
        <v>140438334</v>
      </c>
      <c r="K98" s="51"/>
      <c r="L98" s="51">
        <f>SUM(L93:L97)</f>
        <v>140438334</v>
      </c>
      <c r="M98" s="48"/>
      <c r="N98" s="51">
        <f t="shared" ref="N98:AA98" si="46">SUM(N93:N97)</f>
        <v>0</v>
      </c>
      <c r="O98" s="51">
        <f>SUM(O93:O97)</f>
        <v>1201667</v>
      </c>
      <c r="P98" s="51">
        <f t="shared" si="46"/>
        <v>4889667</v>
      </c>
      <c r="Q98" s="51">
        <f t="shared" si="46"/>
        <v>6915000</v>
      </c>
      <c r="R98" s="51">
        <f>SUM(R93:R97)</f>
        <v>6915000</v>
      </c>
      <c r="S98" s="51">
        <f t="shared" si="46"/>
        <v>20331667</v>
      </c>
      <c r="T98" s="51">
        <f t="shared" si="46"/>
        <v>14965000</v>
      </c>
      <c r="U98" s="51">
        <f>SUM(U93:U97)</f>
        <v>11208333</v>
      </c>
      <c r="V98" s="51">
        <f t="shared" si="46"/>
        <v>11476667</v>
      </c>
      <c r="W98" s="51">
        <f t="shared" si="46"/>
        <v>14965000</v>
      </c>
      <c r="X98" s="51">
        <f t="shared" si="46"/>
        <v>14965000</v>
      </c>
      <c r="Y98" s="51">
        <f>SUM(Y93:Y97)</f>
        <v>28338666</v>
      </c>
      <c r="Z98" s="51">
        <f t="shared" si="46"/>
        <v>136171667</v>
      </c>
      <c r="AA98" s="256">
        <f t="shared" si="46"/>
        <v>4266667</v>
      </c>
      <c r="AC98" s="100"/>
      <c r="AD98" s="200"/>
      <c r="AE98" s="51">
        <f>SUM(AE93:AE97)</f>
        <v>140438334</v>
      </c>
      <c r="AF98" s="258"/>
      <c r="AG98" s="107">
        <f t="shared" ref="AG98:AG117" si="47">K98</f>
        <v>0</v>
      </c>
      <c r="AH98" s="51">
        <f>SUM(AH93:AH97)</f>
        <v>140438334</v>
      </c>
      <c r="AI98" s="54"/>
      <c r="AJ98" s="54"/>
      <c r="AK98" s="101"/>
      <c r="AL98" s="101"/>
      <c r="AM98" s="51">
        <f>SUM(AM93:AM97)</f>
        <v>0</v>
      </c>
    </row>
    <row r="99" spans="1:39" s="112" customFormat="1" ht="86.25" customHeight="1">
      <c r="A99" s="252" t="s">
        <v>112</v>
      </c>
      <c r="B99" s="52">
        <f>135000000+60893051-6712210+44973</f>
        <v>189225814</v>
      </c>
      <c r="C99" s="88" t="s">
        <v>78</v>
      </c>
      <c r="D99" s="83" t="s">
        <v>107</v>
      </c>
      <c r="E99" s="88" t="s">
        <v>110</v>
      </c>
      <c r="F99" s="88" t="s">
        <v>131</v>
      </c>
      <c r="G99" s="88" t="s">
        <v>108</v>
      </c>
      <c r="H99" s="69"/>
      <c r="I99" s="67"/>
      <c r="J99" s="68"/>
      <c r="K99" s="68"/>
      <c r="L99" s="68"/>
      <c r="M99" s="63"/>
      <c r="N99" s="74"/>
      <c r="O99" s="68"/>
      <c r="P99" s="68"/>
      <c r="Q99" s="68"/>
      <c r="R99" s="68"/>
      <c r="S99" s="68"/>
      <c r="T99" s="68"/>
      <c r="U99" s="68"/>
      <c r="V99" s="68"/>
      <c r="W99" s="47"/>
      <c r="X99" s="47"/>
      <c r="Y99" s="48"/>
      <c r="Z99" s="75">
        <f t="shared" ref="Z99:Z105" si="48">SUM(N99:Y99)</f>
        <v>0</v>
      </c>
      <c r="AA99" s="251">
        <f t="shared" ref="AA99:AA105" si="49">L99-Z99</f>
        <v>0</v>
      </c>
      <c r="AC99" s="83"/>
      <c r="AD99" s="167">
        <f t="shared" ref="AD99:AE105" si="50">I99</f>
        <v>0</v>
      </c>
      <c r="AE99" s="111">
        <f t="shared" si="50"/>
        <v>0</v>
      </c>
      <c r="AF99" s="197"/>
      <c r="AG99" s="109">
        <f t="shared" si="47"/>
        <v>0</v>
      </c>
      <c r="AH99" s="111">
        <f t="shared" ref="AH99:AH105" si="51">L99</f>
        <v>0</v>
      </c>
      <c r="AI99" s="88"/>
      <c r="AJ99" s="88"/>
      <c r="AK99" s="111">
        <f t="shared" ref="AK99:AK105" si="52">M99</f>
        <v>0</v>
      </c>
      <c r="AL99" s="111"/>
      <c r="AM99" s="101">
        <f t="shared" si="7"/>
        <v>0</v>
      </c>
    </row>
    <row r="100" spans="1:39" s="112" customFormat="1" ht="86.25" customHeight="1">
      <c r="A100" s="254" t="s">
        <v>112</v>
      </c>
      <c r="B100" s="92">
        <f t="shared" ref="B100:B105" si="53">J100</f>
        <v>53774281</v>
      </c>
      <c r="C100" s="88" t="s">
        <v>78</v>
      </c>
      <c r="D100" s="83" t="s">
        <v>107</v>
      </c>
      <c r="E100" s="88" t="s">
        <v>110</v>
      </c>
      <c r="F100" s="88" t="s">
        <v>131</v>
      </c>
      <c r="G100" s="88" t="s">
        <v>108</v>
      </c>
      <c r="H100" s="69">
        <v>102</v>
      </c>
      <c r="I100" s="67" t="s">
        <v>902</v>
      </c>
      <c r="J100" s="68">
        <f>50697944-1404853+4481190</f>
        <v>53774281</v>
      </c>
      <c r="K100" s="68" t="s">
        <v>1300</v>
      </c>
      <c r="L100" s="68">
        <f>49293091+1404853-1404853+4481190</f>
        <v>53774281</v>
      </c>
      <c r="M100" s="63">
        <v>5</v>
      </c>
      <c r="N100" s="74"/>
      <c r="O100" s="68">
        <v>2688714</v>
      </c>
      <c r="P100" s="68">
        <f>4481190</f>
        <v>4481190</v>
      </c>
      <c r="Q100" s="68">
        <v>4481190</v>
      </c>
      <c r="R100" s="68">
        <v>4481190</v>
      </c>
      <c r="S100" s="68">
        <f>4481190</f>
        <v>4481190</v>
      </c>
      <c r="T100" s="68">
        <f>4481190</f>
        <v>4481190</v>
      </c>
      <c r="U100" s="68">
        <f>4481190</f>
        <v>4481190</v>
      </c>
      <c r="V100" s="68">
        <v>4481190</v>
      </c>
      <c r="W100" s="68">
        <f>4481190</f>
        <v>4481190</v>
      </c>
      <c r="X100" s="68">
        <f>4481190</f>
        <v>4481190</v>
      </c>
      <c r="Y100" s="63">
        <f>4481190+1792477+2688713</f>
        <v>8962380</v>
      </c>
      <c r="Z100" s="75">
        <f t="shared" si="48"/>
        <v>51981804</v>
      </c>
      <c r="AA100" s="251">
        <f t="shared" si="49"/>
        <v>1792477</v>
      </c>
      <c r="AC100" s="83" t="s">
        <v>232</v>
      </c>
      <c r="AD100" s="167" t="str">
        <f t="shared" si="50"/>
        <v>14 - 620</v>
      </c>
      <c r="AE100" s="111">
        <f t="shared" si="50"/>
        <v>53774281</v>
      </c>
      <c r="AF100" s="198">
        <v>41650</v>
      </c>
      <c r="AG100" s="109" t="str">
        <f t="shared" si="47"/>
        <v>26-27 - 970</v>
      </c>
      <c r="AH100" s="111">
        <f t="shared" si="51"/>
        <v>53774281</v>
      </c>
      <c r="AI100" s="121">
        <v>42748</v>
      </c>
      <c r="AJ100" s="88" t="s">
        <v>344</v>
      </c>
      <c r="AK100" s="111">
        <f t="shared" si="52"/>
        <v>5</v>
      </c>
      <c r="AL100" s="111">
        <v>80733024</v>
      </c>
      <c r="AM100" s="101">
        <f t="shared" si="7"/>
        <v>0</v>
      </c>
    </row>
    <row r="101" spans="1:39" s="112" customFormat="1" ht="84" customHeight="1">
      <c r="A101" s="254" t="s">
        <v>112</v>
      </c>
      <c r="B101" s="92">
        <f t="shared" si="53"/>
        <v>30757698</v>
      </c>
      <c r="C101" s="88" t="s">
        <v>78</v>
      </c>
      <c r="D101" s="83" t="s">
        <v>107</v>
      </c>
      <c r="E101" s="88" t="s">
        <v>110</v>
      </c>
      <c r="F101" s="88" t="s">
        <v>131</v>
      </c>
      <c r="G101" s="88" t="s">
        <v>108</v>
      </c>
      <c r="H101" s="69">
        <v>103</v>
      </c>
      <c r="I101" s="67" t="s">
        <v>1301</v>
      </c>
      <c r="J101" s="62">
        <f>30084486-833649+1583333-1583333+1506861</f>
        <v>30757698</v>
      </c>
      <c r="K101" s="68" t="s">
        <v>1302</v>
      </c>
      <c r="L101" s="62">
        <f>29250837+833649-833649+1506861</f>
        <v>30757698</v>
      </c>
      <c r="M101" s="63">
        <v>71</v>
      </c>
      <c r="N101" s="76"/>
      <c r="O101" s="62"/>
      <c r="P101" s="62">
        <v>2659167</v>
      </c>
      <c r="Q101" s="62">
        <v>2659167</v>
      </c>
      <c r="R101" s="62">
        <v>2659167</v>
      </c>
      <c r="S101" s="62">
        <f>2659167</f>
        <v>2659167</v>
      </c>
      <c r="T101" s="62">
        <v>2659167</v>
      </c>
      <c r="U101" s="62">
        <f>2659167</f>
        <v>2659167</v>
      </c>
      <c r="V101" s="62">
        <f>2659167</f>
        <v>2659167</v>
      </c>
      <c r="W101" s="62">
        <f>2659167</f>
        <v>2659167</v>
      </c>
      <c r="X101" s="62">
        <f>2659167</f>
        <v>2659167</v>
      </c>
      <c r="Y101" s="79">
        <f>2659167+2659167</f>
        <v>5318334</v>
      </c>
      <c r="Z101" s="75">
        <f t="shared" si="48"/>
        <v>29250837</v>
      </c>
      <c r="AA101" s="251">
        <f t="shared" si="49"/>
        <v>1506861</v>
      </c>
      <c r="AC101" s="83" t="s">
        <v>243</v>
      </c>
      <c r="AD101" s="167" t="str">
        <f t="shared" si="50"/>
        <v>82 - 771 - 804</v>
      </c>
      <c r="AE101" s="111">
        <f t="shared" si="50"/>
        <v>30757698</v>
      </c>
      <c r="AF101" s="198">
        <v>42758</v>
      </c>
      <c r="AG101" s="109" t="str">
        <f t="shared" si="47"/>
        <v>171-172- 1157</v>
      </c>
      <c r="AH101" s="111">
        <f t="shared" si="51"/>
        <v>30757698</v>
      </c>
      <c r="AI101" s="121">
        <v>42767</v>
      </c>
      <c r="AJ101" s="88" t="s">
        <v>418</v>
      </c>
      <c r="AK101" s="111">
        <f t="shared" si="52"/>
        <v>71</v>
      </c>
      <c r="AL101" s="111">
        <v>52735744</v>
      </c>
      <c r="AM101" s="101">
        <f t="shared" si="7"/>
        <v>0</v>
      </c>
    </row>
    <row r="102" spans="1:39" s="112" customFormat="1" ht="99.75" customHeight="1">
      <c r="A102" s="254" t="s">
        <v>112</v>
      </c>
      <c r="B102" s="92">
        <f t="shared" si="53"/>
        <v>38990940</v>
      </c>
      <c r="C102" s="88" t="s">
        <v>78</v>
      </c>
      <c r="D102" s="83" t="s">
        <v>107</v>
      </c>
      <c r="E102" s="88" t="s">
        <v>110</v>
      </c>
      <c r="F102" s="88" t="s">
        <v>131</v>
      </c>
      <c r="G102" s="88" t="s">
        <v>108</v>
      </c>
      <c r="H102" s="69">
        <v>100</v>
      </c>
      <c r="I102" s="67" t="s">
        <v>901</v>
      </c>
      <c r="J102" s="62">
        <f>36760335+1-1018641+3249245</f>
        <v>38990940</v>
      </c>
      <c r="K102" s="68" t="s">
        <v>1303</v>
      </c>
      <c r="L102" s="62">
        <f>35741695+1018638-1018638+3249245</f>
        <v>38990940</v>
      </c>
      <c r="M102" s="63">
        <v>29</v>
      </c>
      <c r="N102" s="76"/>
      <c r="O102" s="62">
        <v>1408006</v>
      </c>
      <c r="P102" s="62">
        <f>3249245</f>
        <v>3249245</v>
      </c>
      <c r="Q102" s="62">
        <v>3249245</v>
      </c>
      <c r="R102" s="62">
        <v>3249245</v>
      </c>
      <c r="S102" s="62">
        <f>3249245</f>
        <v>3249245</v>
      </c>
      <c r="T102" s="62">
        <v>3249245</v>
      </c>
      <c r="U102" s="62">
        <f>3249245</f>
        <v>3249245</v>
      </c>
      <c r="V102" s="62">
        <v>3249245</v>
      </c>
      <c r="W102" s="62">
        <f>3249245</f>
        <v>3249245</v>
      </c>
      <c r="X102" s="62">
        <f>3249245</f>
        <v>3249245</v>
      </c>
      <c r="Y102" s="79">
        <f>3249245+1841239+1408006</f>
        <v>6498490</v>
      </c>
      <c r="Z102" s="75">
        <f t="shared" si="48"/>
        <v>37149701</v>
      </c>
      <c r="AA102" s="251">
        <f t="shared" si="49"/>
        <v>1841239</v>
      </c>
      <c r="AC102" s="83" t="s">
        <v>234</v>
      </c>
      <c r="AD102" s="167" t="str">
        <f t="shared" si="50"/>
        <v>39 - 619</v>
      </c>
      <c r="AE102" s="111">
        <f t="shared" si="50"/>
        <v>38990940</v>
      </c>
      <c r="AF102" s="198">
        <v>42748</v>
      </c>
      <c r="AG102" s="109" t="str">
        <f t="shared" si="47"/>
        <v>72-73 - 973</v>
      </c>
      <c r="AH102" s="111">
        <f t="shared" si="51"/>
        <v>38990940</v>
      </c>
      <c r="AI102" s="121">
        <v>42753</v>
      </c>
      <c r="AJ102" s="88" t="s">
        <v>346</v>
      </c>
      <c r="AK102" s="111">
        <f t="shared" si="52"/>
        <v>29</v>
      </c>
      <c r="AL102" s="111">
        <v>79668338</v>
      </c>
      <c r="AM102" s="101">
        <f t="shared" si="7"/>
        <v>0</v>
      </c>
    </row>
    <row r="103" spans="1:39" s="112" customFormat="1" ht="78" customHeight="1">
      <c r="A103" s="254" t="s">
        <v>112</v>
      </c>
      <c r="B103" s="92">
        <f t="shared" si="53"/>
        <v>49293090</v>
      </c>
      <c r="C103" s="88" t="s">
        <v>78</v>
      </c>
      <c r="D103" s="83" t="s">
        <v>107</v>
      </c>
      <c r="E103" s="88" t="s">
        <v>110</v>
      </c>
      <c r="F103" s="88" t="s">
        <v>131</v>
      </c>
      <c r="G103" s="88" t="s">
        <v>108</v>
      </c>
      <c r="H103" s="69">
        <v>99</v>
      </c>
      <c r="I103" s="67">
        <v>79</v>
      </c>
      <c r="J103" s="62">
        <f>50697943-1404853</f>
        <v>49293090</v>
      </c>
      <c r="K103" s="68" t="s">
        <v>1304</v>
      </c>
      <c r="L103" s="62">
        <f>49293090+1404853-1404853</f>
        <v>49293090</v>
      </c>
      <c r="M103" s="63">
        <v>45</v>
      </c>
      <c r="N103" s="76"/>
      <c r="O103" s="62">
        <v>1194984</v>
      </c>
      <c r="P103" s="62">
        <f>4481190</f>
        <v>4481190</v>
      </c>
      <c r="Q103" s="62">
        <v>4481190</v>
      </c>
      <c r="R103" s="62">
        <v>4481190</v>
      </c>
      <c r="S103" s="62">
        <f>4481190</f>
        <v>4481190</v>
      </c>
      <c r="T103" s="62">
        <v>4481190</v>
      </c>
      <c r="U103" s="62">
        <f>4481190</f>
        <v>4481190</v>
      </c>
      <c r="V103" s="62">
        <v>4481190</v>
      </c>
      <c r="W103" s="62">
        <f>4481190</f>
        <v>4481190</v>
      </c>
      <c r="X103" s="62">
        <f>4481190</f>
        <v>4481190</v>
      </c>
      <c r="Y103" s="79">
        <f>4481190+3286206</f>
        <v>7767396</v>
      </c>
      <c r="Z103" s="75">
        <f t="shared" si="48"/>
        <v>49293090</v>
      </c>
      <c r="AA103" s="251">
        <f t="shared" si="49"/>
        <v>0</v>
      </c>
      <c r="AC103" s="83" t="s">
        <v>242</v>
      </c>
      <c r="AD103" s="167">
        <f t="shared" si="50"/>
        <v>79</v>
      </c>
      <c r="AE103" s="111">
        <f t="shared" si="50"/>
        <v>49293090</v>
      </c>
      <c r="AF103" s="198">
        <v>42755</v>
      </c>
      <c r="AG103" s="109" t="str">
        <f t="shared" si="47"/>
        <v>111-112</v>
      </c>
      <c r="AH103" s="111">
        <f t="shared" si="51"/>
        <v>49293090</v>
      </c>
      <c r="AI103" s="121">
        <v>42758</v>
      </c>
      <c r="AJ103" s="88" t="s">
        <v>353</v>
      </c>
      <c r="AK103" s="111">
        <f t="shared" si="52"/>
        <v>45</v>
      </c>
      <c r="AL103" s="111">
        <v>79697525</v>
      </c>
      <c r="AM103" s="101">
        <f t="shared" si="7"/>
        <v>0</v>
      </c>
    </row>
    <row r="104" spans="1:39" s="112" customFormat="1" ht="83.25" customHeight="1">
      <c r="A104" s="254" t="s">
        <v>112</v>
      </c>
      <c r="B104" s="92">
        <f t="shared" si="53"/>
        <v>15166667</v>
      </c>
      <c r="C104" s="88" t="s">
        <v>78</v>
      </c>
      <c r="D104" s="83" t="s">
        <v>107</v>
      </c>
      <c r="E104" s="88" t="s">
        <v>110</v>
      </c>
      <c r="F104" s="88" t="s">
        <v>131</v>
      </c>
      <c r="G104" s="88" t="s">
        <v>108</v>
      </c>
      <c r="H104" s="69">
        <v>451</v>
      </c>
      <c r="I104" s="67">
        <v>529</v>
      </c>
      <c r="J104" s="62">
        <f>16333333-1166666</f>
        <v>15166667</v>
      </c>
      <c r="K104" s="68">
        <v>880</v>
      </c>
      <c r="L104" s="62">
        <f>16333333-1166666</f>
        <v>15166667</v>
      </c>
      <c r="M104" s="63">
        <v>336</v>
      </c>
      <c r="N104" s="76"/>
      <c r="O104" s="62"/>
      <c r="P104" s="62"/>
      <c r="Q104" s="62"/>
      <c r="R104" s="62"/>
      <c r="S104" s="62"/>
      <c r="T104" s="62"/>
      <c r="U104" s="62"/>
      <c r="V104" s="62"/>
      <c r="W104" s="51"/>
      <c r="X104" s="51"/>
      <c r="Y104" s="79">
        <f>8166667+7000000</f>
        <v>15166667</v>
      </c>
      <c r="Z104" s="75">
        <f t="shared" si="48"/>
        <v>15166667</v>
      </c>
      <c r="AA104" s="251">
        <f t="shared" si="49"/>
        <v>0</v>
      </c>
      <c r="AC104" s="83" t="s">
        <v>813</v>
      </c>
      <c r="AD104" s="167">
        <f t="shared" si="50"/>
        <v>529</v>
      </c>
      <c r="AE104" s="111">
        <f t="shared" si="50"/>
        <v>15166667</v>
      </c>
      <c r="AF104" s="198">
        <v>43019</v>
      </c>
      <c r="AG104" s="109">
        <f t="shared" si="47"/>
        <v>880</v>
      </c>
      <c r="AH104" s="111">
        <f t="shared" si="51"/>
        <v>15166667</v>
      </c>
      <c r="AI104" s="410">
        <v>43031</v>
      </c>
      <c r="AJ104" s="88" t="s">
        <v>898</v>
      </c>
      <c r="AK104" s="111">
        <f t="shared" si="52"/>
        <v>336</v>
      </c>
      <c r="AL104" s="111"/>
      <c r="AM104" s="101">
        <f t="shared" si="7"/>
        <v>0</v>
      </c>
    </row>
    <row r="105" spans="1:39" s="112" customFormat="1" ht="82.5" customHeight="1">
      <c r="A105" s="254" t="s">
        <v>112</v>
      </c>
      <c r="B105" s="92">
        <f t="shared" si="53"/>
        <v>0</v>
      </c>
      <c r="C105" s="88" t="s">
        <v>78</v>
      </c>
      <c r="D105" s="83" t="s">
        <v>107</v>
      </c>
      <c r="E105" s="88" t="s">
        <v>110</v>
      </c>
      <c r="F105" s="88" t="s">
        <v>131</v>
      </c>
      <c r="G105" s="88" t="s">
        <v>108</v>
      </c>
      <c r="H105" s="69"/>
      <c r="I105" s="67"/>
      <c r="J105" s="62"/>
      <c r="K105" s="68"/>
      <c r="L105" s="62"/>
      <c r="M105" s="63"/>
      <c r="N105" s="76"/>
      <c r="O105" s="51"/>
      <c r="P105" s="51"/>
      <c r="Q105" s="51"/>
      <c r="R105" s="51"/>
      <c r="S105" s="51"/>
      <c r="T105" s="51"/>
      <c r="U105" s="51"/>
      <c r="V105" s="51"/>
      <c r="W105" s="51"/>
      <c r="X105" s="51"/>
      <c r="Y105" s="77"/>
      <c r="Z105" s="75">
        <f t="shared" si="48"/>
        <v>0</v>
      </c>
      <c r="AA105" s="251">
        <f t="shared" si="49"/>
        <v>0</v>
      </c>
      <c r="AC105" s="83"/>
      <c r="AD105" s="167">
        <f t="shared" si="50"/>
        <v>0</v>
      </c>
      <c r="AE105" s="111">
        <f t="shared" si="50"/>
        <v>0</v>
      </c>
      <c r="AF105" s="197"/>
      <c r="AG105" s="109">
        <f t="shared" si="47"/>
        <v>0</v>
      </c>
      <c r="AH105" s="111">
        <f t="shared" si="51"/>
        <v>0</v>
      </c>
      <c r="AI105" s="88"/>
      <c r="AJ105" s="88"/>
      <c r="AK105" s="111">
        <f t="shared" si="52"/>
        <v>0</v>
      </c>
      <c r="AL105" s="111"/>
      <c r="AM105" s="101">
        <f t="shared" si="7"/>
        <v>0</v>
      </c>
    </row>
    <row r="106" spans="1:39" s="116" customFormat="1">
      <c r="A106" s="255" t="s">
        <v>132</v>
      </c>
      <c r="B106" s="54">
        <f>B99-B100-B101-B102-B103-B104-B105</f>
        <v>1243138</v>
      </c>
      <c r="C106" s="89"/>
      <c r="D106" s="84"/>
      <c r="E106" s="89"/>
      <c r="F106" s="89"/>
      <c r="G106" s="151"/>
      <c r="H106" s="70"/>
      <c r="I106" s="47"/>
      <c r="J106" s="51">
        <f>SUM(J99:J105)</f>
        <v>187982676</v>
      </c>
      <c r="K106" s="47"/>
      <c r="L106" s="51">
        <f>SUM(L99:L105)</f>
        <v>187982676</v>
      </c>
      <c r="M106" s="48"/>
      <c r="N106" s="51">
        <f>SUM(N99:N105)</f>
        <v>0</v>
      </c>
      <c r="O106" s="51">
        <f>SUM(O99:O105)</f>
        <v>5291704</v>
      </c>
      <c r="P106" s="51">
        <f t="shared" ref="P106:Z106" si="54">SUM(P99:P105)</f>
        <v>14870792</v>
      </c>
      <c r="Q106" s="51">
        <f t="shared" si="54"/>
        <v>14870792</v>
      </c>
      <c r="R106" s="51">
        <f t="shared" si="54"/>
        <v>14870792</v>
      </c>
      <c r="S106" s="51">
        <f t="shared" si="54"/>
        <v>14870792</v>
      </c>
      <c r="T106" s="51">
        <f t="shared" si="54"/>
        <v>14870792</v>
      </c>
      <c r="U106" s="51">
        <f>SUM(U99:U105)</f>
        <v>14870792</v>
      </c>
      <c r="V106" s="51">
        <f t="shared" si="54"/>
        <v>14870792</v>
      </c>
      <c r="W106" s="51">
        <f t="shared" si="54"/>
        <v>14870792</v>
      </c>
      <c r="X106" s="51">
        <f t="shared" si="54"/>
        <v>14870792</v>
      </c>
      <c r="Y106" s="51">
        <f>SUM(Y99:Y105)</f>
        <v>43713267</v>
      </c>
      <c r="Z106" s="51">
        <f t="shared" si="54"/>
        <v>182842099</v>
      </c>
      <c r="AA106" s="256">
        <f>SUM(AA99:AA105)</f>
        <v>5140577</v>
      </c>
      <c r="AC106" s="100"/>
      <c r="AD106" s="200"/>
      <c r="AE106" s="51">
        <f>SUM(AE99:AE105)</f>
        <v>187982676</v>
      </c>
      <c r="AF106" s="258"/>
      <c r="AG106" s="107">
        <f t="shared" si="47"/>
        <v>0</v>
      </c>
      <c r="AH106" s="51">
        <f>SUM(AH99:AH105)</f>
        <v>187982676</v>
      </c>
      <c r="AI106" s="54"/>
      <c r="AJ106" s="54"/>
      <c r="AK106" s="101"/>
      <c r="AL106" s="101"/>
      <c r="AM106" s="51">
        <f>SUM(AM99:AM105)</f>
        <v>0</v>
      </c>
    </row>
    <row r="107" spans="1:39" s="112" customFormat="1" ht="63.75">
      <c r="A107" s="252" t="s">
        <v>112</v>
      </c>
      <c r="B107" s="52">
        <f>115000000-108331217+6814167+3542582</f>
        <v>17025532</v>
      </c>
      <c r="C107" s="88" t="s">
        <v>78</v>
      </c>
      <c r="D107" s="88" t="s">
        <v>173</v>
      </c>
      <c r="E107" s="88" t="s">
        <v>110</v>
      </c>
      <c r="F107" s="88" t="s">
        <v>131</v>
      </c>
      <c r="G107" s="88" t="s">
        <v>108</v>
      </c>
      <c r="H107" s="70"/>
      <c r="I107" s="46"/>
      <c r="J107" s="51"/>
      <c r="K107" s="47"/>
      <c r="L107" s="51"/>
      <c r="M107" s="48"/>
      <c r="N107" s="76"/>
      <c r="O107" s="51"/>
      <c r="P107" s="51"/>
      <c r="Q107" s="51"/>
      <c r="R107" s="51"/>
      <c r="S107" s="51"/>
      <c r="T107" s="51"/>
      <c r="U107" s="51"/>
      <c r="V107" s="51"/>
      <c r="W107" s="51"/>
      <c r="X107" s="51"/>
      <c r="Y107" s="77"/>
      <c r="Z107" s="75">
        <f>SUM(N107:Y107)</f>
        <v>0</v>
      </c>
      <c r="AA107" s="251">
        <f>L107-Z107</f>
        <v>0</v>
      </c>
      <c r="AC107" s="83"/>
      <c r="AD107" s="167">
        <f t="shared" ref="AD107:AD117" si="55">I107</f>
        <v>0</v>
      </c>
      <c r="AE107" s="111">
        <f t="shared" ref="AE107:AE117" si="56">J107</f>
        <v>0</v>
      </c>
      <c r="AF107" s="197"/>
      <c r="AG107" s="109">
        <f t="shared" si="47"/>
        <v>0</v>
      </c>
      <c r="AH107" s="111">
        <f t="shared" ref="AH107:AH117" si="57">L107</f>
        <v>0</v>
      </c>
      <c r="AI107" s="88"/>
      <c r="AJ107" s="88"/>
      <c r="AK107" s="111">
        <f t="shared" ref="AK107:AK117" si="58">M107</f>
        <v>0</v>
      </c>
      <c r="AL107" s="111"/>
      <c r="AM107" s="101">
        <f t="shared" si="7"/>
        <v>0</v>
      </c>
    </row>
    <row r="108" spans="1:39" s="112" customFormat="1" ht="63.75">
      <c r="A108" s="254" t="s">
        <v>112</v>
      </c>
      <c r="B108" s="92">
        <f>J108</f>
        <v>17025532</v>
      </c>
      <c r="C108" s="88" t="s">
        <v>78</v>
      </c>
      <c r="D108" s="88" t="s">
        <v>173</v>
      </c>
      <c r="E108" s="88" t="s">
        <v>110</v>
      </c>
      <c r="F108" s="88" t="s">
        <v>131</v>
      </c>
      <c r="G108" s="88" t="s">
        <v>108</v>
      </c>
      <c r="H108" s="69">
        <v>340</v>
      </c>
      <c r="I108" s="67" t="s">
        <v>1052</v>
      </c>
      <c r="J108" s="62">
        <f>10356749+6668783</f>
        <v>17025532</v>
      </c>
      <c r="K108" s="68" t="s">
        <v>1110</v>
      </c>
      <c r="L108" s="62">
        <f>10356749+6668783</f>
        <v>17025532</v>
      </c>
      <c r="M108" s="63">
        <v>392</v>
      </c>
      <c r="N108" s="76"/>
      <c r="O108" s="51"/>
      <c r="P108" s="51"/>
      <c r="Q108" s="51"/>
      <c r="R108" s="51"/>
      <c r="S108" s="51"/>
      <c r="T108" s="51"/>
      <c r="U108" s="51"/>
      <c r="V108" s="51"/>
      <c r="W108" s="51"/>
      <c r="X108" s="51"/>
      <c r="Y108" s="79">
        <f>10356749</f>
        <v>10356749</v>
      </c>
      <c r="Z108" s="75">
        <f>SUM(N108:Y108)</f>
        <v>10356749</v>
      </c>
      <c r="AA108" s="251">
        <f>L108-Z108</f>
        <v>6668783</v>
      </c>
      <c r="AC108" s="83" t="s">
        <v>759</v>
      </c>
      <c r="AD108" s="167" t="str">
        <f t="shared" si="55"/>
        <v>377 - 810</v>
      </c>
      <c r="AE108" s="111">
        <f t="shared" si="56"/>
        <v>17025532</v>
      </c>
      <c r="AF108" s="198">
        <v>42921</v>
      </c>
      <c r="AG108" s="109" t="str">
        <f t="shared" si="47"/>
        <v>1026 - 1207</v>
      </c>
      <c r="AH108" s="111">
        <f t="shared" si="57"/>
        <v>17025532</v>
      </c>
      <c r="AI108" s="121">
        <v>43076</v>
      </c>
      <c r="AJ108" s="88" t="s">
        <v>1016</v>
      </c>
      <c r="AK108" s="111">
        <f t="shared" si="58"/>
        <v>392</v>
      </c>
      <c r="AL108" s="111"/>
      <c r="AM108" s="101">
        <f t="shared" si="7"/>
        <v>0</v>
      </c>
    </row>
    <row r="109" spans="1:39" s="112" customFormat="1" ht="63.75">
      <c r="A109" s="254" t="s">
        <v>112</v>
      </c>
      <c r="B109" s="92">
        <f>J109</f>
        <v>0</v>
      </c>
      <c r="C109" s="88" t="s">
        <v>78</v>
      </c>
      <c r="D109" s="88" t="s">
        <v>173</v>
      </c>
      <c r="E109" s="88" t="s">
        <v>110</v>
      </c>
      <c r="F109" s="88" t="s">
        <v>131</v>
      </c>
      <c r="G109" s="88" t="s">
        <v>108</v>
      </c>
      <c r="H109" s="70"/>
      <c r="I109" s="46"/>
      <c r="J109" s="51"/>
      <c r="K109" s="47"/>
      <c r="L109" s="51"/>
      <c r="M109" s="48"/>
      <c r="N109" s="76"/>
      <c r="O109" s="51"/>
      <c r="P109" s="51"/>
      <c r="Q109" s="51"/>
      <c r="R109" s="51"/>
      <c r="S109" s="51"/>
      <c r="T109" s="51"/>
      <c r="U109" s="51"/>
      <c r="V109" s="51"/>
      <c r="W109" s="51"/>
      <c r="X109" s="51"/>
      <c r="Y109" s="77"/>
      <c r="Z109" s="75">
        <f>SUM(N109:Y109)</f>
        <v>0</v>
      </c>
      <c r="AA109" s="251">
        <f>L109-Z109</f>
        <v>0</v>
      </c>
      <c r="AC109" s="83"/>
      <c r="AD109" s="167">
        <f t="shared" si="55"/>
        <v>0</v>
      </c>
      <c r="AE109" s="111">
        <f t="shared" si="56"/>
        <v>0</v>
      </c>
      <c r="AF109" s="197"/>
      <c r="AG109" s="109">
        <f t="shared" si="47"/>
        <v>0</v>
      </c>
      <c r="AH109" s="111">
        <f t="shared" si="57"/>
        <v>0</v>
      </c>
      <c r="AI109" s="88"/>
      <c r="AJ109" s="88"/>
      <c r="AK109" s="111">
        <f t="shared" si="58"/>
        <v>0</v>
      </c>
      <c r="AL109" s="111"/>
      <c r="AM109" s="101">
        <f>AE109-AH109</f>
        <v>0</v>
      </c>
    </row>
    <row r="110" spans="1:39" s="116" customFormat="1">
      <c r="A110" s="255" t="s">
        <v>132</v>
      </c>
      <c r="B110" s="54">
        <f>B107-B108-B109</f>
        <v>0</v>
      </c>
      <c r="C110" s="89"/>
      <c r="D110" s="84"/>
      <c r="E110" s="89"/>
      <c r="F110" s="89"/>
      <c r="G110" s="151"/>
      <c r="H110" s="137"/>
      <c r="I110" s="47"/>
      <c r="J110" s="51">
        <f>SUM(J107:J109)</f>
        <v>17025532</v>
      </c>
      <c r="K110" s="47"/>
      <c r="L110" s="51">
        <f>SUM(L107:L109)</f>
        <v>17025532</v>
      </c>
      <c r="M110" s="48"/>
      <c r="N110" s="51">
        <f>SUM(N107:N109)</f>
        <v>0</v>
      </c>
      <c r="O110" s="51">
        <f t="shared" ref="O110:AA110" si="59">SUM(O107:O109)</f>
        <v>0</v>
      </c>
      <c r="P110" s="51">
        <f t="shared" si="59"/>
        <v>0</v>
      </c>
      <c r="Q110" s="51">
        <f t="shared" si="59"/>
        <v>0</v>
      </c>
      <c r="R110" s="51">
        <f t="shared" si="59"/>
        <v>0</v>
      </c>
      <c r="S110" s="51">
        <f t="shared" si="59"/>
        <v>0</v>
      </c>
      <c r="T110" s="51">
        <f t="shared" si="59"/>
        <v>0</v>
      </c>
      <c r="U110" s="51">
        <f t="shared" si="59"/>
        <v>0</v>
      </c>
      <c r="V110" s="51">
        <f t="shared" si="59"/>
        <v>0</v>
      </c>
      <c r="W110" s="51">
        <f t="shared" si="59"/>
        <v>0</v>
      </c>
      <c r="X110" s="51">
        <f t="shared" si="59"/>
        <v>0</v>
      </c>
      <c r="Y110" s="51">
        <f>SUM(Y107:Y109)</f>
        <v>10356749</v>
      </c>
      <c r="Z110" s="51">
        <f t="shared" si="59"/>
        <v>10356749</v>
      </c>
      <c r="AA110" s="256">
        <f t="shared" si="59"/>
        <v>6668783</v>
      </c>
      <c r="AC110" s="100"/>
      <c r="AD110" s="200">
        <f t="shared" si="55"/>
        <v>0</v>
      </c>
      <c r="AE110" s="101">
        <f t="shared" si="56"/>
        <v>17025532</v>
      </c>
      <c r="AF110" s="258"/>
      <c r="AG110" s="107">
        <f t="shared" si="47"/>
        <v>0</v>
      </c>
      <c r="AH110" s="101">
        <f t="shared" si="57"/>
        <v>17025532</v>
      </c>
      <c r="AI110" s="54"/>
      <c r="AJ110" s="54"/>
      <c r="AK110" s="101">
        <f t="shared" si="58"/>
        <v>0</v>
      </c>
      <c r="AL110" s="101"/>
      <c r="AM110" s="101">
        <f t="shared" si="7"/>
        <v>0</v>
      </c>
    </row>
    <row r="111" spans="1:39" s="112" customFormat="1" ht="63.75">
      <c r="A111" s="413" t="s">
        <v>174</v>
      </c>
      <c r="B111" s="52">
        <f>380000000-190000000-70000000-49000000-7200000</f>
        <v>63800000</v>
      </c>
      <c r="C111" s="414" t="s">
        <v>78</v>
      </c>
      <c r="D111" s="415" t="s">
        <v>175</v>
      </c>
      <c r="E111" s="416" t="s">
        <v>110</v>
      </c>
      <c r="F111" s="416" t="s">
        <v>131</v>
      </c>
      <c r="G111" s="416" t="s">
        <v>108</v>
      </c>
      <c r="H111" s="70"/>
      <c r="I111" s="46"/>
      <c r="J111" s="51"/>
      <c r="K111" s="47"/>
      <c r="L111" s="51"/>
      <c r="M111" s="48"/>
      <c r="N111" s="76"/>
      <c r="O111" s="51"/>
      <c r="P111" s="51"/>
      <c r="Q111" s="51"/>
      <c r="R111" s="51"/>
      <c r="S111" s="51"/>
      <c r="T111" s="51"/>
      <c r="U111" s="51"/>
      <c r="V111" s="51"/>
      <c r="W111" s="51"/>
      <c r="X111" s="51"/>
      <c r="Y111" s="77"/>
      <c r="Z111" s="75">
        <f>SUM(N111:Y111)</f>
        <v>0</v>
      </c>
      <c r="AA111" s="251">
        <f t="shared" ref="AA111:AA116" si="60">L111-Z111</f>
        <v>0</v>
      </c>
      <c r="AC111" s="83"/>
      <c r="AD111" s="167">
        <f t="shared" si="55"/>
        <v>0</v>
      </c>
      <c r="AE111" s="111">
        <f t="shared" si="56"/>
        <v>0</v>
      </c>
      <c r="AF111" s="197"/>
      <c r="AG111" s="109">
        <f t="shared" si="47"/>
        <v>0</v>
      </c>
      <c r="AH111" s="111">
        <f t="shared" si="57"/>
        <v>0</v>
      </c>
      <c r="AI111" s="88"/>
      <c r="AJ111" s="88"/>
      <c r="AK111" s="111">
        <f t="shared" si="58"/>
        <v>0</v>
      </c>
      <c r="AL111" s="111"/>
      <c r="AM111" s="101">
        <f t="shared" si="7"/>
        <v>0</v>
      </c>
    </row>
    <row r="112" spans="1:39" s="112" customFormat="1" ht="63.75">
      <c r="A112" s="254" t="s">
        <v>174</v>
      </c>
      <c r="B112" s="92">
        <f t="shared" ref="B112:B116" si="61">J112</f>
        <v>612111</v>
      </c>
      <c r="C112" s="414" t="s">
        <v>78</v>
      </c>
      <c r="D112" s="415" t="s">
        <v>175</v>
      </c>
      <c r="E112" s="416" t="s">
        <v>110</v>
      </c>
      <c r="F112" s="416" t="s">
        <v>131</v>
      </c>
      <c r="G112" s="416" t="s">
        <v>108</v>
      </c>
      <c r="H112" s="69">
        <v>506</v>
      </c>
      <c r="I112" s="67">
        <v>577</v>
      </c>
      <c r="J112" s="62">
        <f>1064142-452031</f>
        <v>612111</v>
      </c>
      <c r="K112" s="68">
        <v>976</v>
      </c>
      <c r="L112" s="62">
        <f>612111</f>
        <v>612111</v>
      </c>
      <c r="M112" s="63">
        <v>367</v>
      </c>
      <c r="N112" s="76"/>
      <c r="O112" s="51"/>
      <c r="P112" s="51"/>
      <c r="Q112" s="51"/>
      <c r="R112" s="51"/>
      <c r="S112" s="51"/>
      <c r="T112" s="51"/>
      <c r="U112" s="51"/>
      <c r="V112" s="51"/>
      <c r="W112" s="51"/>
      <c r="X112" s="51"/>
      <c r="Y112" s="79">
        <f>612111</f>
        <v>612111</v>
      </c>
      <c r="Z112" s="75">
        <f t="shared" ref="Z112:Z115" si="62">SUM(N112:Y112)</f>
        <v>612111</v>
      </c>
      <c r="AA112" s="251">
        <f t="shared" si="60"/>
        <v>0</v>
      </c>
      <c r="AC112" s="83" t="s">
        <v>881</v>
      </c>
      <c r="AD112" s="167">
        <f t="shared" si="55"/>
        <v>577</v>
      </c>
      <c r="AE112" s="111">
        <f t="shared" si="56"/>
        <v>612111</v>
      </c>
      <c r="AF112" s="198">
        <v>43039</v>
      </c>
      <c r="AG112" s="109">
        <f t="shared" si="47"/>
        <v>976</v>
      </c>
      <c r="AH112" s="111">
        <f t="shared" si="57"/>
        <v>612111</v>
      </c>
      <c r="AI112" s="121">
        <v>43063</v>
      </c>
      <c r="AJ112" s="88" t="s">
        <v>974</v>
      </c>
      <c r="AK112" s="111">
        <f t="shared" si="58"/>
        <v>367</v>
      </c>
      <c r="AL112" s="111"/>
      <c r="AM112" s="101">
        <f t="shared" ref="AM112:AM115" si="63">AE112-AH112</f>
        <v>0</v>
      </c>
    </row>
    <row r="113" spans="1:39" s="112" customFormat="1" ht="63.75">
      <c r="A113" s="254" t="s">
        <v>174</v>
      </c>
      <c r="B113" s="92">
        <f t="shared" si="61"/>
        <v>17389152</v>
      </c>
      <c r="C113" s="414" t="s">
        <v>78</v>
      </c>
      <c r="D113" s="415" t="s">
        <v>175</v>
      </c>
      <c r="E113" s="416" t="s">
        <v>110</v>
      </c>
      <c r="F113" s="416" t="s">
        <v>131</v>
      </c>
      <c r="G113" s="416" t="s">
        <v>108</v>
      </c>
      <c r="H113" s="69">
        <v>455</v>
      </c>
      <c r="I113" s="67">
        <v>596</v>
      </c>
      <c r="J113" s="62">
        <f>19962185-2573033</f>
        <v>17389152</v>
      </c>
      <c r="K113" s="68">
        <v>1028</v>
      </c>
      <c r="L113" s="62">
        <f>17389152</f>
        <v>17389152</v>
      </c>
      <c r="M113" s="63">
        <v>397</v>
      </c>
      <c r="N113" s="76"/>
      <c r="O113" s="51"/>
      <c r="P113" s="51"/>
      <c r="Q113" s="51"/>
      <c r="R113" s="51"/>
      <c r="S113" s="51"/>
      <c r="T113" s="51"/>
      <c r="U113" s="51"/>
      <c r="V113" s="51"/>
      <c r="W113" s="51"/>
      <c r="X113" s="51"/>
      <c r="Y113" s="77"/>
      <c r="Z113" s="75">
        <f t="shared" ref="Z113:Z114" si="64">SUM(N113:Y113)</f>
        <v>0</v>
      </c>
      <c r="AA113" s="251">
        <f t="shared" si="60"/>
        <v>17389152</v>
      </c>
      <c r="AC113" s="371" t="s">
        <v>879</v>
      </c>
      <c r="AD113" s="167">
        <f t="shared" si="55"/>
        <v>596</v>
      </c>
      <c r="AE113" s="111">
        <f t="shared" si="56"/>
        <v>17389152</v>
      </c>
      <c r="AF113" s="417">
        <v>43053</v>
      </c>
      <c r="AG113" s="109">
        <f t="shared" si="47"/>
        <v>1028</v>
      </c>
      <c r="AH113" s="111">
        <f t="shared" si="57"/>
        <v>17389152</v>
      </c>
      <c r="AI113" s="121">
        <v>43076</v>
      </c>
      <c r="AJ113" s="88" t="s">
        <v>974</v>
      </c>
      <c r="AK113" s="111">
        <f t="shared" si="58"/>
        <v>397</v>
      </c>
      <c r="AL113" s="111"/>
      <c r="AM113" s="101">
        <f t="shared" ref="AM113:AM114" si="65">AE113-AH113</f>
        <v>0</v>
      </c>
    </row>
    <row r="114" spans="1:39" s="112" customFormat="1" ht="63.75">
      <c r="A114" s="254" t="s">
        <v>174</v>
      </c>
      <c r="B114" s="92">
        <f t="shared" si="61"/>
        <v>20000000</v>
      </c>
      <c r="C114" s="414" t="s">
        <v>78</v>
      </c>
      <c r="D114" s="415" t="s">
        <v>175</v>
      </c>
      <c r="E114" s="416" t="s">
        <v>110</v>
      </c>
      <c r="F114" s="416" t="s">
        <v>131</v>
      </c>
      <c r="G114" s="416" t="s">
        <v>108</v>
      </c>
      <c r="H114" s="69">
        <v>501</v>
      </c>
      <c r="I114" s="67">
        <v>597</v>
      </c>
      <c r="J114" s="62">
        <v>20000000</v>
      </c>
      <c r="K114" s="68">
        <v>1023</v>
      </c>
      <c r="L114" s="62">
        <f>20000000</f>
        <v>20000000</v>
      </c>
      <c r="M114" s="63">
        <v>379</v>
      </c>
      <c r="N114" s="76"/>
      <c r="O114" s="51"/>
      <c r="P114" s="51"/>
      <c r="Q114" s="51"/>
      <c r="R114" s="51"/>
      <c r="S114" s="51"/>
      <c r="T114" s="51"/>
      <c r="U114" s="51"/>
      <c r="V114" s="51"/>
      <c r="W114" s="51"/>
      <c r="X114" s="51"/>
      <c r="Y114" s="77"/>
      <c r="Z114" s="75">
        <f t="shared" si="64"/>
        <v>0</v>
      </c>
      <c r="AA114" s="251">
        <f t="shared" si="60"/>
        <v>20000000</v>
      </c>
      <c r="AC114" s="418" t="s">
        <v>880</v>
      </c>
      <c r="AD114" s="167">
        <f t="shared" si="55"/>
        <v>597</v>
      </c>
      <c r="AE114" s="111">
        <f t="shared" si="56"/>
        <v>20000000</v>
      </c>
      <c r="AF114" s="419">
        <v>43053</v>
      </c>
      <c r="AG114" s="109">
        <f t="shared" si="47"/>
        <v>1023</v>
      </c>
      <c r="AH114" s="111">
        <f t="shared" si="57"/>
        <v>20000000</v>
      </c>
      <c r="AI114" s="121">
        <v>43046</v>
      </c>
      <c r="AJ114" s="88" t="s">
        <v>1111</v>
      </c>
      <c r="AK114" s="111">
        <f t="shared" si="58"/>
        <v>379</v>
      </c>
      <c r="AL114" s="111"/>
      <c r="AM114" s="101">
        <f t="shared" si="65"/>
        <v>0</v>
      </c>
    </row>
    <row r="115" spans="1:39" s="112" customFormat="1" ht="63.75">
      <c r="A115" s="254" t="s">
        <v>174</v>
      </c>
      <c r="B115" s="92">
        <f t="shared" si="61"/>
        <v>0</v>
      </c>
      <c r="C115" s="414" t="s">
        <v>78</v>
      </c>
      <c r="D115" s="415" t="s">
        <v>175</v>
      </c>
      <c r="E115" s="416" t="s">
        <v>110</v>
      </c>
      <c r="F115" s="416" t="s">
        <v>131</v>
      </c>
      <c r="G115" s="416" t="s">
        <v>108</v>
      </c>
      <c r="H115" s="69">
        <v>456</v>
      </c>
      <c r="I115" s="67">
        <v>642</v>
      </c>
      <c r="J115" s="62">
        <f>7998500 - 7998500</f>
        <v>0</v>
      </c>
      <c r="K115" s="68"/>
      <c r="L115" s="62"/>
      <c r="M115" s="63"/>
      <c r="N115" s="76"/>
      <c r="O115" s="51"/>
      <c r="P115" s="51"/>
      <c r="Q115" s="51"/>
      <c r="R115" s="51"/>
      <c r="S115" s="51"/>
      <c r="T115" s="51"/>
      <c r="U115" s="51"/>
      <c r="V115" s="51"/>
      <c r="W115" s="51"/>
      <c r="X115" s="51"/>
      <c r="Y115" s="77"/>
      <c r="Z115" s="75">
        <f t="shared" si="62"/>
        <v>0</v>
      </c>
      <c r="AA115" s="251">
        <f t="shared" si="60"/>
        <v>0</v>
      </c>
      <c r="AC115" s="83" t="s">
        <v>920</v>
      </c>
      <c r="AD115" s="167">
        <f t="shared" si="55"/>
        <v>642</v>
      </c>
      <c r="AE115" s="111">
        <f t="shared" si="56"/>
        <v>0</v>
      </c>
      <c r="AF115" s="198">
        <v>43061</v>
      </c>
      <c r="AG115" s="109">
        <f t="shared" si="47"/>
        <v>0</v>
      </c>
      <c r="AH115" s="111">
        <f t="shared" si="57"/>
        <v>0</v>
      </c>
      <c r="AI115" s="88"/>
      <c r="AJ115" s="88"/>
      <c r="AK115" s="111">
        <f t="shared" si="58"/>
        <v>0</v>
      </c>
      <c r="AL115" s="111"/>
      <c r="AM115" s="101">
        <f t="shared" si="63"/>
        <v>0</v>
      </c>
    </row>
    <row r="116" spans="1:39" s="112" customFormat="1" ht="63.75">
      <c r="A116" s="254" t="s">
        <v>174</v>
      </c>
      <c r="B116" s="92">
        <f t="shared" si="61"/>
        <v>2100000</v>
      </c>
      <c r="C116" s="414" t="s">
        <v>78</v>
      </c>
      <c r="D116" s="415" t="s">
        <v>175</v>
      </c>
      <c r="E116" s="416" t="s">
        <v>110</v>
      </c>
      <c r="F116" s="416" t="s">
        <v>131</v>
      </c>
      <c r="G116" s="416" t="s">
        <v>108</v>
      </c>
      <c r="H116" s="69">
        <v>544</v>
      </c>
      <c r="I116" s="67">
        <v>753</v>
      </c>
      <c r="J116" s="62">
        <f>2725576-625576</f>
        <v>2100000</v>
      </c>
      <c r="K116" s="68">
        <v>1219</v>
      </c>
      <c r="L116" s="62">
        <f>2100000</f>
        <v>2100000</v>
      </c>
      <c r="M116" s="63">
        <v>388</v>
      </c>
      <c r="N116" s="76"/>
      <c r="O116" s="51"/>
      <c r="P116" s="51"/>
      <c r="Q116" s="51"/>
      <c r="R116" s="51"/>
      <c r="S116" s="51"/>
      <c r="T116" s="51"/>
      <c r="U116" s="51"/>
      <c r="V116" s="51"/>
      <c r="W116" s="51"/>
      <c r="X116" s="51"/>
      <c r="Y116" s="77"/>
      <c r="Z116" s="75">
        <f>SUM(N116:Y116)</f>
        <v>0</v>
      </c>
      <c r="AA116" s="251">
        <f t="shared" si="60"/>
        <v>2100000</v>
      </c>
      <c r="AC116" s="83" t="s">
        <v>1047</v>
      </c>
      <c r="AD116" s="167">
        <f t="shared" si="55"/>
        <v>753</v>
      </c>
      <c r="AE116" s="111">
        <f t="shared" si="56"/>
        <v>2100000</v>
      </c>
      <c r="AF116" s="198">
        <v>43082</v>
      </c>
      <c r="AG116" s="109">
        <f t="shared" si="47"/>
        <v>1219</v>
      </c>
      <c r="AH116" s="111">
        <f t="shared" si="57"/>
        <v>2100000</v>
      </c>
      <c r="AI116" s="121">
        <v>43097</v>
      </c>
      <c r="AJ116" s="88" t="s">
        <v>1131</v>
      </c>
      <c r="AK116" s="111">
        <f t="shared" si="58"/>
        <v>388</v>
      </c>
      <c r="AL116" s="111"/>
      <c r="AM116" s="101">
        <f t="shared" si="7"/>
        <v>0</v>
      </c>
    </row>
    <row r="117" spans="1:39" s="116" customFormat="1">
      <c r="A117" s="255" t="s">
        <v>132</v>
      </c>
      <c r="B117" s="54">
        <f>B111-B112-B113-B114-B115-B116</f>
        <v>23698737</v>
      </c>
      <c r="C117" s="89"/>
      <c r="D117" s="84"/>
      <c r="E117" s="89"/>
      <c r="F117" s="89"/>
      <c r="G117" s="151"/>
      <c r="H117" s="137"/>
      <c r="I117" s="47"/>
      <c r="J117" s="51">
        <f>SUM(J111:J116)</f>
        <v>40101263</v>
      </c>
      <c r="K117" s="47"/>
      <c r="L117" s="51">
        <f>SUM(L111:L116)</f>
        <v>40101263</v>
      </c>
      <c r="M117" s="48"/>
      <c r="N117" s="51">
        <f t="shared" ref="N117:AA117" si="66">SUM(N111:N116)</f>
        <v>0</v>
      </c>
      <c r="O117" s="51">
        <f t="shared" si="66"/>
        <v>0</v>
      </c>
      <c r="P117" s="51">
        <f t="shared" si="66"/>
        <v>0</v>
      </c>
      <c r="Q117" s="51">
        <f t="shared" si="66"/>
        <v>0</v>
      </c>
      <c r="R117" s="51">
        <f t="shared" si="66"/>
        <v>0</v>
      </c>
      <c r="S117" s="51">
        <f t="shared" si="66"/>
        <v>0</v>
      </c>
      <c r="T117" s="51">
        <f t="shared" si="66"/>
        <v>0</v>
      </c>
      <c r="U117" s="51">
        <f t="shared" si="66"/>
        <v>0</v>
      </c>
      <c r="V117" s="51">
        <f t="shared" si="66"/>
        <v>0</v>
      </c>
      <c r="W117" s="51">
        <f t="shared" si="66"/>
        <v>0</v>
      </c>
      <c r="X117" s="51">
        <f t="shared" si="66"/>
        <v>0</v>
      </c>
      <c r="Y117" s="51">
        <f>SUM(Y111:Y116)</f>
        <v>612111</v>
      </c>
      <c r="Z117" s="51">
        <f t="shared" si="66"/>
        <v>612111</v>
      </c>
      <c r="AA117" s="420">
        <f t="shared" si="66"/>
        <v>39489152</v>
      </c>
      <c r="AC117" s="100"/>
      <c r="AD117" s="200">
        <f t="shared" si="55"/>
        <v>0</v>
      </c>
      <c r="AE117" s="101">
        <f t="shared" si="56"/>
        <v>40101263</v>
      </c>
      <c r="AF117" s="258"/>
      <c r="AG117" s="107">
        <f t="shared" si="47"/>
        <v>0</v>
      </c>
      <c r="AH117" s="101">
        <f t="shared" si="57"/>
        <v>40101263</v>
      </c>
      <c r="AI117" s="54"/>
      <c r="AJ117" s="54"/>
      <c r="AK117" s="101">
        <f t="shared" si="58"/>
        <v>0</v>
      </c>
      <c r="AL117" s="101"/>
      <c r="AM117" s="101">
        <f t="shared" si="7"/>
        <v>0</v>
      </c>
    </row>
    <row r="118" spans="1:39" s="112" customFormat="1">
      <c r="A118" s="252"/>
      <c r="B118" s="45"/>
      <c r="C118" s="44"/>
      <c r="D118" s="44"/>
      <c r="E118" s="44"/>
      <c r="F118" s="44"/>
      <c r="G118" s="49"/>
      <c r="H118" s="70"/>
      <c r="I118" s="46"/>
      <c r="J118" s="47"/>
      <c r="K118" s="47"/>
      <c r="L118" s="47"/>
      <c r="M118" s="48"/>
      <c r="N118" s="74"/>
      <c r="O118" s="47"/>
      <c r="P118" s="47"/>
      <c r="Q118" s="47"/>
      <c r="R118" s="47"/>
      <c r="S118" s="47"/>
      <c r="T118" s="47"/>
      <c r="U118" s="47"/>
      <c r="V118" s="47"/>
      <c r="W118" s="47"/>
      <c r="X118" s="47"/>
      <c r="Y118" s="48"/>
      <c r="Z118" s="75"/>
      <c r="AA118" s="251"/>
      <c r="AC118" s="83"/>
      <c r="AD118" s="167"/>
      <c r="AE118" s="167"/>
      <c r="AF118" s="197"/>
      <c r="AG118" s="166"/>
      <c r="AH118" s="167"/>
      <c r="AI118" s="88"/>
      <c r="AJ118" s="88"/>
      <c r="AK118" s="167"/>
      <c r="AL118" s="111"/>
      <c r="AM118" s="200"/>
    </row>
    <row r="119" spans="1:39" s="116" customFormat="1">
      <c r="A119" s="380" t="s">
        <v>135</v>
      </c>
      <c r="B119" s="381">
        <f>B16+B34+B93+B99+B107+B111</f>
        <v>2529833148</v>
      </c>
      <c r="C119" s="381"/>
      <c r="D119" s="382"/>
      <c r="E119" s="381"/>
      <c r="F119" s="381"/>
      <c r="G119" s="383"/>
      <c r="H119" s="382"/>
      <c r="I119" s="381"/>
      <c r="J119" s="384">
        <f>J33+J92+J98+J106+J110+J117</f>
        <v>2475231437</v>
      </c>
      <c r="K119" s="385"/>
      <c r="L119" s="384">
        <f>L33+L92+L98+L106+L110+L117</f>
        <v>2475231437</v>
      </c>
      <c r="M119" s="386"/>
      <c r="N119" s="384">
        <f t="shared" ref="N119:AA119" si="67">N33+N92+N98+N106+N110+N117</f>
        <v>0</v>
      </c>
      <c r="O119" s="384">
        <f t="shared" si="67"/>
        <v>36203276</v>
      </c>
      <c r="P119" s="384">
        <f t="shared" si="67"/>
        <v>161628979</v>
      </c>
      <c r="Q119" s="384">
        <f t="shared" si="67"/>
        <v>184611010</v>
      </c>
      <c r="R119" s="384">
        <f t="shared" si="67"/>
        <v>191797228</v>
      </c>
      <c r="S119" s="384">
        <f t="shared" si="67"/>
        <v>208801905</v>
      </c>
      <c r="T119" s="384">
        <f t="shared" si="67"/>
        <v>200020998</v>
      </c>
      <c r="U119" s="384">
        <f t="shared" si="67"/>
        <v>210475115</v>
      </c>
      <c r="V119" s="384">
        <f t="shared" si="67"/>
        <v>197905603</v>
      </c>
      <c r="W119" s="384">
        <f t="shared" si="67"/>
        <v>219215535</v>
      </c>
      <c r="X119" s="384">
        <f t="shared" si="67"/>
        <v>214094792</v>
      </c>
      <c r="Y119" s="384">
        <f t="shared" si="67"/>
        <v>487532333</v>
      </c>
      <c r="Z119" s="384">
        <f t="shared" si="67"/>
        <v>2312286774</v>
      </c>
      <c r="AA119" s="388">
        <f t="shared" si="67"/>
        <v>162944663</v>
      </c>
      <c r="AC119" s="84"/>
      <c r="AD119" s="384"/>
      <c r="AE119" s="384">
        <f>AE33+AE92+AE98+AE106+AE110+AE117</f>
        <v>2239355730</v>
      </c>
      <c r="AF119" s="263"/>
      <c r="AG119" s="109"/>
      <c r="AH119" s="384">
        <f>AH33+AH92+AH98+AH106+AH110+AH117</f>
        <v>2239355730</v>
      </c>
      <c r="AI119" s="89"/>
      <c r="AJ119" s="89"/>
      <c r="AK119" s="111"/>
      <c r="AL119" s="111"/>
      <c r="AM119" s="384">
        <f>AM33+AM92+AM98+AM106+AM110+AM117</f>
        <v>0</v>
      </c>
    </row>
    <row r="120" spans="1:39" s="112" customFormat="1" hidden="1">
      <c r="A120" s="273"/>
      <c r="B120" s="59"/>
      <c r="C120" s="59"/>
      <c r="D120" s="59"/>
      <c r="E120" s="59"/>
      <c r="F120" s="59"/>
      <c r="G120" s="59"/>
      <c r="H120" s="71"/>
      <c r="I120" s="59"/>
      <c r="J120" s="274"/>
      <c r="K120" s="275"/>
      <c r="L120" s="274"/>
      <c r="M120" s="275"/>
      <c r="N120" s="276"/>
      <c r="O120" s="276"/>
      <c r="P120" s="276"/>
      <c r="Q120" s="276"/>
      <c r="R120" s="276"/>
      <c r="S120" s="276"/>
      <c r="T120" s="276"/>
      <c r="U120" s="276"/>
      <c r="V120" s="276"/>
      <c r="W120" s="276"/>
      <c r="X120" s="276"/>
      <c r="Y120" s="276"/>
      <c r="Z120" s="276"/>
      <c r="AA120" s="278"/>
      <c r="AC120" s="129"/>
      <c r="AD120" s="131"/>
      <c r="AE120" s="131"/>
      <c r="AF120" s="131"/>
      <c r="AG120" s="131"/>
      <c r="AH120" s="131"/>
      <c r="AI120" s="130"/>
      <c r="AJ120" s="130"/>
      <c r="AK120" s="131"/>
      <c r="AL120" s="133"/>
      <c r="AM120" s="195"/>
    </row>
    <row r="121" spans="1:39" s="112" customFormat="1" hidden="1">
      <c r="A121" s="273"/>
      <c r="B121" s="59"/>
      <c r="C121" s="59"/>
      <c r="D121" s="59"/>
      <c r="E121" s="59"/>
      <c r="F121" s="59"/>
      <c r="G121" s="59"/>
      <c r="H121" s="71"/>
      <c r="I121" s="59"/>
      <c r="J121" s="274"/>
      <c r="K121" s="275"/>
      <c r="L121" s="274"/>
      <c r="M121" s="275"/>
      <c r="N121" s="276"/>
      <c r="O121" s="276"/>
      <c r="P121" s="276"/>
      <c r="Q121" s="276"/>
      <c r="R121" s="276"/>
      <c r="S121" s="276"/>
      <c r="T121" s="276"/>
      <c r="U121" s="276"/>
      <c r="V121" s="276"/>
      <c r="W121" s="276"/>
      <c r="X121" s="276"/>
      <c r="Y121" s="276"/>
      <c r="Z121" s="276"/>
      <c r="AA121" s="278"/>
      <c r="AC121" s="129"/>
      <c r="AD121" s="131"/>
      <c r="AE121" s="131"/>
      <c r="AF121" s="131"/>
      <c r="AG121" s="131"/>
      <c r="AH121" s="131"/>
      <c r="AI121" s="130"/>
      <c r="AJ121" s="130"/>
      <c r="AK121" s="131"/>
      <c r="AL121" s="133"/>
      <c r="AM121" s="195"/>
    </row>
    <row r="122" spans="1:39" s="112" customFormat="1">
      <c r="A122" s="273"/>
      <c r="B122" s="59"/>
      <c r="C122" s="59"/>
      <c r="D122" s="59"/>
      <c r="E122" s="59"/>
      <c r="F122" s="59"/>
      <c r="G122" s="59"/>
      <c r="H122" s="71"/>
      <c r="I122" s="59"/>
      <c r="J122" s="274"/>
      <c r="K122" s="275"/>
      <c r="L122" s="274"/>
      <c r="M122" s="275"/>
      <c r="N122" s="276"/>
      <c r="O122" s="276"/>
      <c r="P122" s="276"/>
      <c r="Q122" s="276"/>
      <c r="R122" s="276"/>
      <c r="S122" s="276"/>
      <c r="T122" s="276"/>
      <c r="U122" s="276"/>
      <c r="V122" s="276"/>
      <c r="W122" s="276"/>
      <c r="X122" s="276"/>
      <c r="Y122" s="276"/>
      <c r="Z122" s="276"/>
      <c r="AA122" s="278"/>
      <c r="AC122" s="129"/>
      <c r="AD122" s="131"/>
      <c r="AE122" s="131"/>
      <c r="AF122" s="131"/>
      <c r="AG122" s="131"/>
      <c r="AH122" s="131"/>
      <c r="AI122" s="130"/>
      <c r="AJ122" s="130"/>
      <c r="AK122" s="131"/>
      <c r="AL122" s="133"/>
      <c r="AM122" s="195"/>
    </row>
    <row r="123" spans="1:39" s="112" customFormat="1">
      <c r="A123" s="273"/>
      <c r="B123" s="59"/>
      <c r="C123" s="59"/>
      <c r="D123" s="59"/>
      <c r="E123" s="59"/>
      <c r="F123" s="59"/>
      <c r="G123" s="59"/>
      <c r="H123" s="389" t="s">
        <v>225</v>
      </c>
      <c r="I123" s="59"/>
      <c r="J123" s="274"/>
      <c r="K123" s="275"/>
      <c r="L123" s="274"/>
      <c r="M123" s="275"/>
      <c r="N123" s="276"/>
      <c r="O123" s="276"/>
      <c r="P123" s="276"/>
      <c r="Q123" s="276"/>
      <c r="R123" s="276">
        <f>R124-R119</f>
        <v>0</v>
      </c>
      <c r="S123" s="276">
        <f>S124-S119</f>
        <v>0</v>
      </c>
      <c r="T123" s="276"/>
      <c r="U123" s="276">
        <f>U124-U119</f>
        <v>0</v>
      </c>
      <c r="V123" s="276"/>
      <c r="W123" s="276"/>
      <c r="X123" s="276"/>
      <c r="Y123" s="276"/>
      <c r="Z123" s="276"/>
      <c r="AA123" s="278"/>
      <c r="AC123" s="129"/>
      <c r="AD123" s="131"/>
      <c r="AE123" s="131"/>
      <c r="AF123" s="131"/>
      <c r="AG123" s="131"/>
      <c r="AH123" s="131"/>
      <c r="AI123" s="130"/>
      <c r="AJ123" s="130"/>
      <c r="AK123" s="131"/>
      <c r="AL123" s="133"/>
      <c r="AM123" s="195"/>
    </row>
    <row r="124" spans="1:39" s="293" customFormat="1" ht="14.25" customHeight="1">
      <c r="A124" s="421" t="s">
        <v>58</v>
      </c>
      <c r="B124" s="81" t="s">
        <v>0</v>
      </c>
      <c r="C124" s="282"/>
      <c r="D124" s="282"/>
      <c r="E124" s="282"/>
      <c r="F124" s="282"/>
      <c r="G124" s="282">
        <f>J125+J123</f>
        <v>0</v>
      </c>
      <c r="H124" s="283" t="s">
        <v>199</v>
      </c>
      <c r="I124" s="81"/>
      <c r="J124" s="90">
        <v>2475231437</v>
      </c>
      <c r="K124" s="81"/>
      <c r="L124" s="90">
        <v>2475231437</v>
      </c>
      <c r="M124" s="82"/>
      <c r="N124" s="422">
        <v>0</v>
      </c>
      <c r="O124" s="286">
        <v>36203276</v>
      </c>
      <c r="P124" s="286">
        <v>161628979</v>
      </c>
      <c r="Q124" s="286">
        <v>184611010</v>
      </c>
      <c r="R124" s="286">
        <v>191797228</v>
      </c>
      <c r="S124" s="286">
        <v>208801905</v>
      </c>
      <c r="T124" s="286">
        <v>200020998</v>
      </c>
      <c r="U124" s="286">
        <v>210475115</v>
      </c>
      <c r="V124" s="286">
        <v>197905603</v>
      </c>
      <c r="W124" s="286">
        <v>219215535</v>
      </c>
      <c r="X124" s="286">
        <v>214094792</v>
      </c>
      <c r="Y124" s="289">
        <f>487532333</f>
        <v>487532333</v>
      </c>
      <c r="Z124" s="289">
        <f>SUM(N124:Y124)</f>
        <v>2312286774</v>
      </c>
      <c r="AA124" s="390">
        <f>L124-Z124</f>
        <v>162944663</v>
      </c>
      <c r="AC124" s="294"/>
      <c r="AI124" s="294"/>
      <c r="AJ124" s="294"/>
      <c r="AL124" s="295"/>
      <c r="AM124" s="296"/>
    </row>
    <row r="125" spans="1:39" s="112" customFormat="1">
      <c r="A125" s="273"/>
      <c r="B125" s="59"/>
      <c r="C125" s="59"/>
      <c r="D125" s="59"/>
      <c r="E125" s="59"/>
      <c r="F125" s="59"/>
      <c r="G125" s="59"/>
      <c r="H125" s="389" t="s">
        <v>226</v>
      </c>
      <c r="I125" s="59"/>
      <c r="J125" s="274">
        <f>J119-J124</f>
        <v>0</v>
      </c>
      <c r="K125" s="275"/>
      <c r="L125" s="274">
        <f>L124-L119</f>
        <v>0</v>
      </c>
      <c r="M125" s="275"/>
      <c r="N125" s="276"/>
      <c r="O125" s="276">
        <f>O124-O119</f>
        <v>0</v>
      </c>
      <c r="P125" s="276">
        <f>P124-P119</f>
        <v>0</v>
      </c>
      <c r="Q125" s="276"/>
      <c r="R125" s="276"/>
      <c r="S125" s="276"/>
      <c r="T125" s="276"/>
      <c r="U125" s="276"/>
      <c r="V125" s="276"/>
      <c r="W125" s="276"/>
      <c r="X125" s="276"/>
      <c r="Y125" s="276">
        <f>Y124-Y119</f>
        <v>0</v>
      </c>
      <c r="Z125" s="276"/>
      <c r="AA125" s="278"/>
      <c r="AC125" s="129"/>
      <c r="AD125" s="131"/>
      <c r="AE125" s="131"/>
      <c r="AF125" s="131"/>
      <c r="AG125" s="131"/>
      <c r="AH125" s="131"/>
      <c r="AI125" s="130"/>
      <c r="AJ125" s="130"/>
      <c r="AK125" s="131"/>
      <c r="AL125" s="133"/>
      <c r="AM125" s="195"/>
    </row>
    <row r="126" spans="1:39" s="307" customFormat="1" ht="58.5" customHeight="1" thickBot="1">
      <c r="A126" s="297" t="s">
        <v>108</v>
      </c>
      <c r="B126" s="298">
        <f>B119</f>
        <v>2529833148</v>
      </c>
      <c r="C126" s="299"/>
      <c r="D126" s="299"/>
      <c r="E126" s="299"/>
      <c r="F126" s="299"/>
      <c r="G126" s="300" t="s">
        <v>108</v>
      </c>
      <c r="H126" s="301"/>
      <c r="I126" s="299"/>
      <c r="J126" s="302">
        <f>J33+J92+J98+J106+J110+J117</f>
        <v>2475231437</v>
      </c>
      <c r="K126" s="303"/>
      <c r="L126" s="302">
        <f>L33+L92+L98+L106+L110+L117</f>
        <v>2475231437</v>
      </c>
      <c r="M126" s="253"/>
      <c r="N126" s="302">
        <f t="shared" ref="N126:AA126" si="68">N33+N92+N98+N106+N110+N117</f>
        <v>0</v>
      </c>
      <c r="O126" s="302">
        <f t="shared" si="68"/>
        <v>36203276</v>
      </c>
      <c r="P126" s="302">
        <f t="shared" si="68"/>
        <v>161628979</v>
      </c>
      <c r="Q126" s="302">
        <f t="shared" si="68"/>
        <v>184611010</v>
      </c>
      <c r="R126" s="302">
        <f t="shared" si="68"/>
        <v>191797228</v>
      </c>
      <c r="S126" s="302">
        <f t="shared" si="68"/>
        <v>208801905</v>
      </c>
      <c r="T126" s="302">
        <f t="shared" si="68"/>
        <v>200020998</v>
      </c>
      <c r="U126" s="302">
        <f t="shared" si="68"/>
        <v>210475115</v>
      </c>
      <c r="V126" s="302">
        <f t="shared" si="68"/>
        <v>197905603</v>
      </c>
      <c r="W126" s="302">
        <f t="shared" si="68"/>
        <v>219215535</v>
      </c>
      <c r="X126" s="302">
        <f t="shared" si="68"/>
        <v>214094792</v>
      </c>
      <c r="Y126" s="302">
        <f t="shared" si="68"/>
        <v>487532333</v>
      </c>
      <c r="Z126" s="302">
        <f t="shared" si="68"/>
        <v>2312286774</v>
      </c>
      <c r="AA126" s="423">
        <f t="shared" si="68"/>
        <v>162944663</v>
      </c>
      <c r="AC126" s="424"/>
      <c r="AD126" s="293"/>
      <c r="AE126" s="293"/>
      <c r="AF126" s="293"/>
      <c r="AG126" s="293"/>
      <c r="AH126" s="293"/>
      <c r="AI126" s="294"/>
      <c r="AJ126" s="294"/>
      <c r="AK126" s="293"/>
      <c r="AL126" s="295"/>
      <c r="AM126" s="296"/>
    </row>
    <row r="127" spans="1:39" s="112" customFormat="1">
      <c r="A127" s="57"/>
      <c r="B127" s="58"/>
      <c r="C127" s="59"/>
      <c r="D127" s="59"/>
      <c r="E127" s="59"/>
      <c r="F127" s="59"/>
      <c r="G127" s="57"/>
      <c r="H127" s="71"/>
      <c r="I127" s="59"/>
      <c r="J127" s="80">
        <f>J125-J123</f>
        <v>0</v>
      </c>
      <c r="L127" s="80"/>
      <c r="M127" s="56"/>
      <c r="N127" s="80"/>
      <c r="O127" s="80"/>
      <c r="P127" s="80"/>
      <c r="Q127" s="80"/>
      <c r="R127" s="80"/>
      <c r="S127" s="80"/>
      <c r="T127" s="80"/>
      <c r="U127" s="80"/>
      <c r="V127" s="80"/>
      <c r="W127" s="80"/>
      <c r="X127" s="80"/>
      <c r="Y127" s="80"/>
      <c r="Z127" s="80"/>
      <c r="AA127" s="98"/>
      <c r="AC127" s="129"/>
      <c r="AD127" s="131"/>
      <c r="AE127" s="131"/>
      <c r="AF127" s="131"/>
      <c r="AG127" s="131"/>
      <c r="AH127" s="131"/>
      <c r="AI127" s="130"/>
      <c r="AJ127" s="130"/>
      <c r="AK127" s="131"/>
      <c r="AL127" s="133"/>
      <c r="AM127" s="195"/>
    </row>
    <row r="128" spans="1:39" s="112" customFormat="1">
      <c r="A128" s="57"/>
      <c r="B128" s="58"/>
      <c r="C128" s="59"/>
      <c r="D128" s="59"/>
      <c r="E128" s="59"/>
      <c r="F128" s="59"/>
      <c r="G128" s="57"/>
      <c r="H128" s="71"/>
      <c r="I128" s="59"/>
      <c r="J128" s="80"/>
      <c r="L128" s="80"/>
      <c r="M128" s="56"/>
      <c r="N128" s="80"/>
      <c r="O128" s="80"/>
      <c r="P128" s="80"/>
      <c r="Q128" s="80"/>
      <c r="R128" s="80"/>
      <c r="S128" s="80"/>
      <c r="T128" s="80"/>
      <c r="U128" s="80"/>
      <c r="V128" s="80"/>
      <c r="W128" s="80"/>
      <c r="X128" s="80"/>
      <c r="Y128" s="80"/>
      <c r="Z128" s="80"/>
      <c r="AA128" s="98"/>
      <c r="AC128" s="129"/>
      <c r="AD128" s="131"/>
      <c r="AE128" s="131"/>
      <c r="AF128" s="131"/>
      <c r="AG128" s="131"/>
      <c r="AH128" s="131"/>
      <c r="AI128" s="130"/>
      <c r="AJ128" s="130"/>
      <c r="AK128" s="131"/>
      <c r="AL128" s="133"/>
      <c r="AM128" s="195"/>
    </row>
    <row r="129" spans="1:39" s="112" customFormat="1">
      <c r="A129" s="57"/>
      <c r="B129" s="58"/>
      <c r="C129" s="59"/>
      <c r="D129" s="59"/>
      <c r="E129" s="59"/>
      <c r="F129" s="59"/>
      <c r="G129" s="57"/>
      <c r="H129" s="71"/>
      <c r="I129" s="59"/>
      <c r="J129" s="80"/>
      <c r="L129" s="80"/>
      <c r="M129" s="56"/>
      <c r="N129" s="80"/>
      <c r="O129" s="80"/>
      <c r="P129" s="80"/>
      <c r="Q129" s="80"/>
      <c r="R129" s="80"/>
      <c r="S129" s="80"/>
      <c r="T129" s="80"/>
      <c r="U129" s="80"/>
      <c r="V129" s="80"/>
      <c r="W129" s="80"/>
      <c r="X129" s="80"/>
      <c r="Y129" s="80"/>
      <c r="Z129" s="80"/>
      <c r="AA129" s="98"/>
      <c r="AC129" s="129"/>
      <c r="AD129" s="131"/>
      <c r="AE129" s="131"/>
      <c r="AF129" s="131"/>
      <c r="AG129" s="131"/>
      <c r="AH129" s="131"/>
      <c r="AI129" s="130"/>
      <c r="AJ129" s="130"/>
      <c r="AK129" s="131"/>
      <c r="AL129" s="133"/>
      <c r="AM129" s="195"/>
    </row>
    <row r="130" spans="1:39" s="112" customFormat="1" ht="13.5" customHeight="1">
      <c r="A130" s="308"/>
      <c r="B130" s="59"/>
      <c r="C130" s="59"/>
      <c r="D130" s="59"/>
      <c r="E130" s="59"/>
      <c r="F130" s="59"/>
      <c r="G130" s="308"/>
      <c r="H130" s="71"/>
      <c r="I130" s="59"/>
      <c r="J130" s="274"/>
      <c r="K130" s="275"/>
      <c r="L130" s="274"/>
      <c r="M130" s="275"/>
      <c r="N130" s="116"/>
      <c r="O130" s="116"/>
      <c r="P130" s="116"/>
      <c r="Q130" s="116"/>
      <c r="R130" s="116"/>
      <c r="S130" s="116"/>
      <c r="T130" s="116"/>
      <c r="U130" s="116"/>
      <c r="V130" s="116"/>
      <c r="W130" s="116"/>
      <c r="X130" s="116"/>
      <c r="Y130" s="116"/>
      <c r="Z130" s="116"/>
      <c r="AA130" s="116"/>
      <c r="AC130" s="129"/>
      <c r="AD130" s="131"/>
      <c r="AE130" s="131"/>
      <c r="AF130" s="131"/>
      <c r="AG130" s="131"/>
      <c r="AH130" s="131"/>
      <c r="AI130" s="130"/>
      <c r="AJ130" s="130"/>
      <c r="AK130" s="131"/>
      <c r="AL130" s="133"/>
      <c r="AM130" s="195"/>
    </row>
    <row r="131" spans="1:39" s="112" customFormat="1">
      <c r="H131" s="425"/>
      <c r="J131" s="116"/>
      <c r="L131" s="116"/>
      <c r="N131" s="116"/>
      <c r="O131" s="116"/>
      <c r="P131" s="116"/>
      <c r="Q131" s="116"/>
      <c r="R131" s="116"/>
      <c r="S131" s="116"/>
      <c r="T131" s="116"/>
      <c r="U131" s="116"/>
      <c r="V131" s="116"/>
      <c r="W131" s="116"/>
      <c r="X131" s="116"/>
      <c r="Y131" s="116"/>
      <c r="Z131" s="116"/>
      <c r="AA131" s="116"/>
      <c r="AC131" s="129"/>
      <c r="AD131" s="131"/>
      <c r="AE131" s="131"/>
      <c r="AF131" s="131"/>
      <c r="AG131" s="131"/>
      <c r="AH131" s="131"/>
      <c r="AI131" s="130"/>
      <c r="AJ131" s="130"/>
      <c r="AK131" s="131"/>
      <c r="AL131" s="133"/>
      <c r="AM131" s="195"/>
    </row>
    <row r="132" spans="1:39" s="112" customFormat="1">
      <c r="H132" s="425"/>
      <c r="J132" s="116"/>
      <c r="L132" s="116"/>
      <c r="N132" s="116"/>
      <c r="O132" s="116"/>
      <c r="P132" s="116"/>
      <c r="Q132" s="116"/>
      <c r="R132" s="116"/>
      <c r="S132" s="116"/>
      <c r="T132" s="116"/>
      <c r="U132" s="116"/>
      <c r="V132" s="116"/>
      <c r="W132" s="116"/>
      <c r="X132" s="116"/>
      <c r="Y132" s="116"/>
      <c r="Z132" s="116"/>
      <c r="AA132" s="116"/>
      <c r="AC132" s="129"/>
      <c r="AD132" s="131"/>
      <c r="AE132" s="131"/>
      <c r="AF132" s="131"/>
      <c r="AG132" s="131"/>
      <c r="AH132" s="131"/>
      <c r="AI132" s="130"/>
      <c r="AJ132" s="130"/>
      <c r="AK132" s="131"/>
      <c r="AL132" s="133"/>
      <c r="AM132" s="195"/>
    </row>
    <row r="133" spans="1:39" s="112" customFormat="1" ht="14.25" customHeight="1">
      <c r="A133" s="317" t="s">
        <v>1370</v>
      </c>
      <c r="C133" s="570" t="s">
        <v>133</v>
      </c>
      <c r="D133" s="570"/>
      <c r="E133" s="312"/>
      <c r="F133" s="318" t="s">
        <v>1372</v>
      </c>
      <c r="G133" s="313"/>
      <c r="H133" s="425"/>
      <c r="J133" s="116"/>
      <c r="L133" s="314"/>
      <c r="M133" s="315"/>
      <c r="N133" s="116"/>
      <c r="O133" s="116"/>
      <c r="P133" s="116"/>
      <c r="Q133" s="116"/>
      <c r="R133" s="116"/>
      <c r="S133" s="276"/>
      <c r="T133" s="276"/>
      <c r="U133" s="276"/>
      <c r="V133" s="276"/>
      <c r="W133" s="276"/>
      <c r="X133" s="276"/>
      <c r="Y133" s="276"/>
      <c r="Z133" s="276"/>
      <c r="AA133" s="276"/>
      <c r="AC133" s="129"/>
      <c r="AD133" s="131"/>
      <c r="AE133" s="131"/>
      <c r="AF133" s="131"/>
      <c r="AG133" s="131"/>
      <c r="AH133" s="131"/>
      <c r="AI133" s="130"/>
      <c r="AJ133" s="130"/>
      <c r="AK133" s="131"/>
      <c r="AL133" s="133"/>
      <c r="AM133" s="195"/>
    </row>
    <row r="134" spans="1:39" s="112" customFormat="1" ht="15">
      <c r="A134" s="310"/>
      <c r="C134" s="571" t="s">
        <v>127</v>
      </c>
      <c r="D134" s="571"/>
      <c r="F134" s="319" t="s">
        <v>1373</v>
      </c>
      <c r="H134" s="425"/>
      <c r="J134" s="116"/>
      <c r="L134" s="116"/>
      <c r="N134" s="116"/>
      <c r="O134" s="116"/>
      <c r="P134" s="116"/>
      <c r="Q134" s="116"/>
      <c r="R134" s="116"/>
      <c r="S134" s="276"/>
      <c r="T134" s="276"/>
      <c r="U134" s="276"/>
      <c r="V134" s="276"/>
      <c r="W134" s="276"/>
      <c r="X134" s="276"/>
      <c r="Y134" s="276"/>
      <c r="Z134" s="276"/>
      <c r="AA134" s="316"/>
      <c r="AC134" s="129"/>
      <c r="AD134" s="131"/>
      <c r="AE134" s="131"/>
      <c r="AF134" s="131"/>
      <c r="AG134" s="131"/>
      <c r="AH134" s="131"/>
      <c r="AI134" s="130"/>
      <c r="AJ134" s="130"/>
      <c r="AK134" s="131"/>
      <c r="AL134" s="133"/>
      <c r="AM134" s="195"/>
    </row>
    <row r="135" spans="1:39" s="112" customFormat="1">
      <c r="H135" s="425"/>
      <c r="J135" s="116"/>
      <c r="L135" s="116"/>
      <c r="N135" s="116"/>
      <c r="O135" s="116"/>
      <c r="P135" s="116"/>
      <c r="Q135" s="116"/>
      <c r="R135" s="116"/>
      <c r="S135" s="276"/>
      <c r="T135" s="276"/>
      <c r="U135" s="276"/>
      <c r="V135" s="276"/>
      <c r="W135" s="276"/>
      <c r="X135" s="276"/>
      <c r="Y135" s="276"/>
      <c r="Z135" s="276"/>
      <c r="AA135" s="276"/>
      <c r="AC135" s="129"/>
      <c r="AD135" s="131"/>
      <c r="AE135" s="131"/>
      <c r="AF135" s="131"/>
      <c r="AG135" s="131"/>
      <c r="AH135" s="131"/>
      <c r="AI135" s="130"/>
      <c r="AJ135" s="130"/>
      <c r="AK135" s="131"/>
      <c r="AL135" s="133"/>
      <c r="AM135" s="195"/>
    </row>
    <row r="136" spans="1:39" s="112" customFormat="1">
      <c r="H136" s="425"/>
      <c r="J136" s="116"/>
      <c r="L136" s="116"/>
      <c r="N136" s="116"/>
      <c r="O136" s="116"/>
      <c r="P136" s="116"/>
      <c r="Q136" s="116"/>
      <c r="R136" s="116"/>
      <c r="S136" s="116"/>
      <c r="T136" s="116"/>
      <c r="U136" s="116"/>
      <c r="V136" s="116"/>
      <c r="W136" s="116"/>
      <c r="X136" s="116"/>
      <c r="Y136" s="116"/>
      <c r="Z136" s="116"/>
      <c r="AA136" s="116"/>
      <c r="AC136" s="129"/>
      <c r="AD136" s="131"/>
      <c r="AE136" s="131"/>
      <c r="AF136" s="131"/>
      <c r="AG136" s="131"/>
      <c r="AH136" s="131"/>
      <c r="AI136" s="130"/>
      <c r="AJ136" s="130"/>
      <c r="AK136" s="131"/>
      <c r="AL136" s="133"/>
      <c r="AM136" s="195"/>
    </row>
    <row r="138" spans="1:39">
      <c r="A138" s="1"/>
      <c r="B138" s="4"/>
    </row>
    <row r="139" spans="1:39">
      <c r="A139" s="1"/>
      <c r="B139" s="4"/>
    </row>
    <row r="140" spans="1:39">
      <c r="A140" s="1"/>
      <c r="B140" s="4"/>
    </row>
    <row r="141" spans="1:39">
      <c r="A141" s="1"/>
      <c r="B141" s="4"/>
    </row>
    <row r="142" spans="1:39">
      <c r="A142" s="1"/>
      <c r="B142" s="4"/>
    </row>
    <row r="143" spans="1:39">
      <c r="A143" s="1"/>
      <c r="B143" s="4"/>
    </row>
    <row r="144" spans="1:39">
      <c r="A144" s="1"/>
      <c r="B144" s="4"/>
    </row>
    <row r="145" spans="1:2">
      <c r="A145" s="1"/>
      <c r="B145" s="4"/>
    </row>
    <row r="146" spans="1:2">
      <c r="A146" s="1"/>
      <c r="B146" s="4"/>
    </row>
    <row r="147" spans="1:2">
      <c r="A147" s="1"/>
      <c r="B147" s="4"/>
    </row>
    <row r="148" spans="1:2">
      <c r="A148" s="1"/>
      <c r="B148" s="4"/>
    </row>
    <row r="149" spans="1:2">
      <c r="A149" s="1"/>
      <c r="B149" s="4"/>
    </row>
    <row r="150" spans="1:2">
      <c r="A150" s="1"/>
      <c r="B150" s="4"/>
    </row>
    <row r="151" spans="1:2">
      <c r="A151" s="1"/>
      <c r="B151" s="4"/>
    </row>
    <row r="152" spans="1:2">
      <c r="A152" s="1"/>
      <c r="B152" s="4"/>
    </row>
    <row r="153" spans="1:2">
      <c r="A153" s="1"/>
      <c r="B153" s="4"/>
    </row>
    <row r="154" spans="1:2">
      <c r="A154" s="1"/>
      <c r="B154" s="4"/>
    </row>
    <row r="155" spans="1:2">
      <c r="A155" s="1"/>
      <c r="B155" s="4"/>
    </row>
    <row r="156" spans="1:2">
      <c r="A156" s="1"/>
      <c r="B156" s="4"/>
    </row>
  </sheetData>
  <autoFilter ref="A15:AM117"/>
  <mergeCells count="20">
    <mergeCell ref="C133:D133"/>
    <mergeCell ref="C134:D134"/>
    <mergeCell ref="A1:A2"/>
    <mergeCell ref="B1:C1"/>
    <mergeCell ref="D1:R1"/>
    <mergeCell ref="B9:D9"/>
    <mergeCell ref="B10:G10"/>
    <mergeCell ref="B11:G11"/>
    <mergeCell ref="A3:G3"/>
    <mergeCell ref="A4:G4"/>
    <mergeCell ref="A5:G5"/>
    <mergeCell ref="A6:G6"/>
    <mergeCell ref="A7:G7"/>
    <mergeCell ref="A8:G8"/>
    <mergeCell ref="S1:V1"/>
    <mergeCell ref="W1:AA1"/>
    <mergeCell ref="B2:C2"/>
    <mergeCell ref="D2:R2"/>
    <mergeCell ref="S2:V2"/>
    <mergeCell ref="W2:AA2"/>
  </mergeCells>
  <printOptions horizontalCentered="1" verticalCentered="1"/>
  <pageMargins left="1.0236220472440944" right="0.39370078740157483" top="0" bottom="0" header="0" footer="0"/>
  <pageSetup scale="2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19"/>
  <sheetViews>
    <sheetView zoomScale="80" zoomScaleNormal="80" zoomScaleSheetLayoutView="40" workbookViewId="0">
      <selection sqref="A1:A2"/>
    </sheetView>
  </sheetViews>
  <sheetFormatPr baseColWidth="10" defaultRowHeight="12.75"/>
  <cols>
    <col min="1" max="1" width="27.140625" style="87" customWidth="1"/>
    <col min="2" max="2" width="22.85546875" style="87" customWidth="1"/>
    <col min="3" max="3" width="29.28515625" style="87" bestFit="1" customWidth="1"/>
    <col min="4" max="4" width="23" style="87" customWidth="1"/>
    <col min="5" max="5" width="30.5703125" style="87" bestFit="1" customWidth="1"/>
    <col min="6" max="6" width="23.7109375" style="87" customWidth="1"/>
    <col min="7" max="7" width="32.85546875" style="87" customWidth="1"/>
    <col min="8" max="8" width="13.42578125" style="87" customWidth="1"/>
    <col min="9" max="9" width="10.140625" style="87" customWidth="1"/>
    <col min="10" max="10" width="18.28515625" style="97" bestFit="1" customWidth="1"/>
    <col min="11" max="11" width="12.5703125" style="87" customWidth="1"/>
    <col min="12" max="12" width="18.28515625" style="97" bestFit="1" customWidth="1"/>
    <col min="13" max="13" width="13.5703125" style="87" customWidth="1"/>
    <col min="14" max="15" width="12.42578125" style="97" bestFit="1" customWidth="1"/>
    <col min="16" max="16" width="12.7109375" style="97" bestFit="1" customWidth="1"/>
    <col min="17" max="21" width="13.85546875" style="97" bestFit="1" customWidth="1"/>
    <col min="22" max="22" width="13.5703125" style="97" bestFit="1" customWidth="1"/>
    <col min="23" max="25" width="13.85546875" style="97" bestFit="1" customWidth="1"/>
    <col min="26" max="26" width="21.42578125" style="97" bestFit="1" customWidth="1"/>
    <col min="27" max="27" width="16.5703125" style="97" customWidth="1"/>
    <col min="28" max="28" width="11.42578125" style="87"/>
    <col min="29" max="29" width="46.5703125" style="124" customWidth="1"/>
    <col min="30" max="30" width="12" style="126" bestFit="1" customWidth="1"/>
    <col min="31" max="31" width="15.85546875" style="126" bestFit="1" customWidth="1"/>
    <col min="32" max="33" width="11.42578125" style="126"/>
    <col min="34" max="34" width="15.85546875" style="126" customWidth="1"/>
    <col min="35" max="35" width="11.42578125" style="126"/>
    <col min="36" max="36" width="12.140625" style="125" customWidth="1"/>
    <col min="37" max="37" width="14.42578125" style="126" customWidth="1"/>
    <col min="38" max="38" width="16" style="128" bestFit="1" customWidth="1"/>
    <col min="39" max="39" width="14.42578125" style="193" bestFit="1" customWidth="1"/>
    <col min="40" max="16384" width="11.42578125" style="87"/>
  </cols>
  <sheetData>
    <row r="1" spans="1:39" ht="54.75" customHeight="1">
      <c r="A1" s="574"/>
      <c r="B1" s="568" t="s">
        <v>65</v>
      </c>
      <c r="C1" s="568"/>
      <c r="D1" s="564" t="s">
        <v>68</v>
      </c>
      <c r="E1" s="564"/>
      <c r="F1" s="564"/>
      <c r="G1" s="564"/>
      <c r="H1" s="564"/>
      <c r="I1" s="564"/>
      <c r="J1" s="564"/>
      <c r="K1" s="564"/>
      <c r="L1" s="564"/>
      <c r="M1" s="564"/>
      <c r="N1" s="564"/>
      <c r="O1" s="564"/>
      <c r="P1" s="564"/>
      <c r="Q1" s="564"/>
      <c r="R1" s="564"/>
      <c r="S1" s="572" t="s">
        <v>66</v>
      </c>
      <c r="T1" s="572"/>
      <c r="U1" s="572"/>
      <c r="V1" s="572"/>
      <c r="W1" s="547" t="s">
        <v>64</v>
      </c>
      <c r="X1" s="547"/>
      <c r="Y1" s="547"/>
      <c r="Z1" s="547"/>
      <c r="AA1" s="547"/>
    </row>
    <row r="2" spans="1:39" ht="54.75" customHeight="1" thickBot="1">
      <c r="A2" s="575"/>
      <c r="B2" s="569" t="s">
        <v>69</v>
      </c>
      <c r="C2" s="569"/>
      <c r="D2" s="561" t="s">
        <v>60</v>
      </c>
      <c r="E2" s="561"/>
      <c r="F2" s="561"/>
      <c r="G2" s="561"/>
      <c r="H2" s="561"/>
      <c r="I2" s="561"/>
      <c r="J2" s="561"/>
      <c r="K2" s="561"/>
      <c r="L2" s="561"/>
      <c r="M2" s="561"/>
      <c r="N2" s="561"/>
      <c r="O2" s="561"/>
      <c r="P2" s="561"/>
      <c r="Q2" s="561"/>
      <c r="R2" s="561"/>
      <c r="S2" s="573" t="s">
        <v>67</v>
      </c>
      <c r="T2" s="573"/>
      <c r="U2" s="573"/>
      <c r="V2" s="573"/>
      <c r="W2" s="548">
        <v>1</v>
      </c>
      <c r="X2" s="548"/>
      <c r="Y2" s="548"/>
      <c r="Z2" s="548"/>
      <c r="AA2" s="548"/>
    </row>
    <row r="3" spans="1:39" s="112" customFormat="1">
      <c r="A3" s="566" t="s">
        <v>145</v>
      </c>
      <c r="B3" s="567"/>
      <c r="C3" s="567"/>
      <c r="D3" s="567"/>
      <c r="E3" s="567"/>
      <c r="F3" s="567"/>
      <c r="G3" s="567"/>
      <c r="H3" s="364"/>
      <c r="I3" s="364"/>
      <c r="J3" s="365"/>
      <c r="K3" s="364"/>
      <c r="L3" s="365"/>
      <c r="M3" s="364"/>
      <c r="N3" s="238"/>
      <c r="O3" s="238"/>
      <c r="P3" s="238"/>
      <c r="Q3" s="238"/>
      <c r="R3" s="238"/>
      <c r="S3" s="238"/>
      <c r="T3" s="238"/>
      <c r="U3" s="238"/>
      <c r="V3" s="238"/>
      <c r="W3" s="238"/>
      <c r="X3" s="238"/>
      <c r="Y3" s="238"/>
      <c r="Z3" s="238"/>
      <c r="AA3" s="240"/>
      <c r="AC3" s="129"/>
      <c r="AD3" s="131"/>
      <c r="AE3" s="131"/>
      <c r="AF3" s="131"/>
      <c r="AG3" s="131"/>
      <c r="AH3" s="131"/>
      <c r="AI3" s="131"/>
      <c r="AJ3" s="130"/>
      <c r="AK3" s="131"/>
      <c r="AL3" s="133"/>
      <c r="AM3" s="195"/>
    </row>
    <row r="4" spans="1:39" s="112" customFormat="1">
      <c r="A4" s="551" t="s">
        <v>170</v>
      </c>
      <c r="B4" s="552"/>
      <c r="C4" s="552"/>
      <c r="D4" s="552"/>
      <c r="E4" s="552"/>
      <c r="F4" s="552"/>
      <c r="G4" s="552"/>
      <c r="H4" s="347"/>
      <c r="I4" s="347"/>
      <c r="J4" s="348"/>
      <c r="K4" s="347"/>
      <c r="L4" s="348"/>
      <c r="M4" s="347"/>
      <c r="N4" s="201"/>
      <c r="O4" s="201"/>
      <c r="P4" s="201"/>
      <c r="Q4" s="201"/>
      <c r="R4" s="201"/>
      <c r="S4" s="201"/>
      <c r="T4" s="201"/>
      <c r="U4" s="201"/>
      <c r="V4" s="201"/>
      <c r="W4" s="201"/>
      <c r="X4" s="201"/>
      <c r="Y4" s="201"/>
      <c r="Z4" s="201"/>
      <c r="AA4" s="241"/>
      <c r="AC4" s="129"/>
      <c r="AD4" s="131"/>
      <c r="AE4" s="131"/>
      <c r="AF4" s="131"/>
      <c r="AG4" s="131"/>
      <c r="AH4" s="131"/>
      <c r="AI4" s="131"/>
      <c r="AJ4" s="130"/>
      <c r="AK4" s="131"/>
      <c r="AL4" s="133"/>
      <c r="AM4" s="195"/>
    </row>
    <row r="5" spans="1:39" s="112" customFormat="1">
      <c r="A5" s="577" t="s">
        <v>138</v>
      </c>
      <c r="B5" s="578"/>
      <c r="C5" s="578"/>
      <c r="D5" s="578"/>
      <c r="E5" s="578"/>
      <c r="F5" s="578"/>
      <c r="G5" s="578"/>
      <c r="H5" s="347"/>
      <c r="I5" s="347"/>
      <c r="J5" s="348"/>
      <c r="K5" s="347"/>
      <c r="L5" s="348"/>
      <c r="M5" s="347"/>
      <c r="N5" s="201"/>
      <c r="O5" s="201"/>
      <c r="P5" s="201"/>
      <c r="Q5" s="201"/>
      <c r="R5" s="201"/>
      <c r="S5" s="201"/>
      <c r="T5" s="201"/>
      <c r="U5" s="201"/>
      <c r="V5" s="201"/>
      <c r="W5" s="201"/>
      <c r="X5" s="201"/>
      <c r="Y5" s="201"/>
      <c r="Z5" s="201"/>
      <c r="AA5" s="241"/>
      <c r="AC5" s="129"/>
      <c r="AD5" s="131"/>
      <c r="AE5" s="131"/>
      <c r="AF5" s="131"/>
      <c r="AG5" s="131"/>
      <c r="AH5" s="131"/>
      <c r="AI5" s="131"/>
      <c r="AJ5" s="130"/>
      <c r="AK5" s="131"/>
      <c r="AL5" s="133"/>
      <c r="AM5" s="195"/>
    </row>
    <row r="6" spans="1:39" s="112" customFormat="1">
      <c r="A6" s="577" t="s">
        <v>139</v>
      </c>
      <c r="B6" s="578"/>
      <c r="C6" s="578"/>
      <c r="D6" s="578"/>
      <c r="E6" s="578"/>
      <c r="F6" s="578"/>
      <c r="G6" s="578"/>
      <c r="H6" s="347"/>
      <c r="I6" s="347"/>
      <c r="J6" s="348"/>
      <c r="K6" s="347"/>
      <c r="L6" s="348"/>
      <c r="M6" s="347"/>
      <c r="N6" s="201"/>
      <c r="O6" s="201"/>
      <c r="P6" s="201"/>
      <c r="Q6" s="201"/>
      <c r="R6" s="201"/>
      <c r="S6" s="201"/>
      <c r="T6" s="201"/>
      <c r="U6" s="201"/>
      <c r="V6" s="201"/>
      <c r="W6" s="201"/>
      <c r="X6" s="201"/>
      <c r="Y6" s="201"/>
      <c r="Z6" s="201"/>
      <c r="AA6" s="241"/>
      <c r="AC6" s="129"/>
      <c r="AD6" s="131"/>
      <c r="AE6" s="131"/>
      <c r="AF6" s="131"/>
      <c r="AG6" s="131"/>
      <c r="AH6" s="131"/>
      <c r="AI6" s="131"/>
      <c r="AJ6" s="130"/>
      <c r="AK6" s="131"/>
      <c r="AL6" s="133"/>
      <c r="AM6" s="195"/>
    </row>
    <row r="7" spans="1:39" s="112" customFormat="1">
      <c r="A7" s="579" t="s">
        <v>140</v>
      </c>
      <c r="B7" s="580"/>
      <c r="C7" s="580"/>
      <c r="D7" s="580"/>
      <c r="E7" s="580"/>
      <c r="F7" s="580"/>
      <c r="G7" s="580"/>
      <c r="H7" s="347"/>
      <c r="I7" s="347"/>
      <c r="J7" s="348"/>
      <c r="K7" s="347"/>
      <c r="L7" s="348"/>
      <c r="M7" s="347"/>
      <c r="N7" s="201"/>
      <c r="O7" s="201"/>
      <c r="P7" s="201"/>
      <c r="Q7" s="201"/>
      <c r="R7" s="201"/>
      <c r="S7" s="201"/>
      <c r="T7" s="201"/>
      <c r="U7" s="201"/>
      <c r="V7" s="201"/>
      <c r="W7" s="201"/>
      <c r="X7" s="201"/>
      <c r="Y7" s="201"/>
      <c r="Z7" s="201"/>
      <c r="AA7" s="241"/>
      <c r="AC7" s="129"/>
      <c r="AD7" s="131"/>
      <c r="AE7" s="131"/>
      <c r="AF7" s="131"/>
      <c r="AG7" s="131"/>
      <c r="AH7" s="131"/>
      <c r="AI7" s="131"/>
      <c r="AJ7" s="130"/>
      <c r="AK7" s="131"/>
      <c r="AL7" s="133"/>
      <c r="AM7" s="195"/>
    </row>
    <row r="8" spans="1:39" s="112" customFormat="1">
      <c r="A8" s="581" t="s">
        <v>141</v>
      </c>
      <c r="B8" s="582"/>
      <c r="C8" s="582"/>
      <c r="D8" s="582"/>
      <c r="E8" s="582"/>
      <c r="F8" s="582"/>
      <c r="G8" s="582"/>
      <c r="H8" s="347"/>
      <c r="I8" s="347"/>
      <c r="J8" s="348"/>
      <c r="K8" s="347"/>
      <c r="L8" s="348"/>
      <c r="M8" s="347"/>
      <c r="N8" s="201"/>
      <c r="O8" s="201"/>
      <c r="P8" s="201"/>
      <c r="Q8" s="201"/>
      <c r="R8" s="201"/>
      <c r="S8" s="201"/>
      <c r="T8" s="201"/>
      <c r="U8" s="201"/>
      <c r="V8" s="201"/>
      <c r="W8" s="201"/>
      <c r="X8" s="201"/>
      <c r="Y8" s="201"/>
      <c r="Z8" s="201"/>
      <c r="AA8" s="241"/>
      <c r="AC8" s="129"/>
      <c r="AD8" s="131"/>
      <c r="AE8" s="131"/>
      <c r="AF8" s="131"/>
      <c r="AG8" s="131"/>
      <c r="AH8" s="131"/>
      <c r="AI8" s="131"/>
      <c r="AJ8" s="130"/>
      <c r="AK8" s="131"/>
      <c r="AL8" s="133"/>
      <c r="AM8" s="195"/>
    </row>
    <row r="9" spans="1:39" ht="26.25" customHeight="1">
      <c r="A9" s="408" t="s">
        <v>54</v>
      </c>
      <c r="B9" s="563" t="s">
        <v>185</v>
      </c>
      <c r="C9" s="563"/>
      <c r="D9" s="563"/>
      <c r="E9" s="326"/>
      <c r="F9" s="326"/>
      <c r="G9" s="326"/>
      <c r="H9" s="205"/>
      <c r="I9" s="205"/>
      <c r="J9" s="201"/>
      <c r="K9" s="205"/>
      <c r="L9" s="201"/>
      <c r="M9" s="205"/>
      <c r="N9" s="201"/>
      <c r="O9" s="201"/>
      <c r="P9" s="201"/>
      <c r="Q9" s="201"/>
      <c r="R9" s="201"/>
      <c r="S9" s="201"/>
      <c r="T9" s="201"/>
      <c r="U9" s="201"/>
      <c r="V9" s="201"/>
      <c r="W9" s="201"/>
      <c r="X9" s="201"/>
      <c r="Y9" s="201"/>
      <c r="Z9" s="201"/>
      <c r="AA9" s="241"/>
    </row>
    <row r="10" spans="1:39" ht="31.5" customHeight="1">
      <c r="A10" s="408" t="s">
        <v>53</v>
      </c>
      <c r="B10" s="549" t="s">
        <v>142</v>
      </c>
      <c r="C10" s="549"/>
      <c r="D10" s="549"/>
      <c r="E10" s="549"/>
      <c r="F10" s="549"/>
      <c r="G10" s="549"/>
      <c r="H10" s="205"/>
      <c r="I10" s="205"/>
      <c r="J10" s="201"/>
      <c r="K10" s="205"/>
      <c r="L10" s="201"/>
      <c r="M10" s="205"/>
      <c r="N10" s="201"/>
      <c r="O10" s="201"/>
      <c r="P10" s="201"/>
      <c r="Q10" s="201"/>
      <c r="R10" s="201"/>
      <c r="S10" s="201"/>
      <c r="T10" s="201"/>
      <c r="U10" s="201"/>
      <c r="V10" s="201"/>
      <c r="W10" s="201"/>
      <c r="X10" s="201"/>
      <c r="Y10" s="201"/>
      <c r="Z10" s="201"/>
      <c r="AA10" s="241"/>
    </row>
    <row r="11" spans="1:39" ht="30.75" customHeight="1">
      <c r="A11" s="409" t="s">
        <v>55</v>
      </c>
      <c r="B11" s="576" t="s">
        <v>143</v>
      </c>
      <c r="C11" s="576"/>
      <c r="D11" s="576"/>
      <c r="E11" s="576"/>
      <c r="F11" s="576"/>
      <c r="G11" s="576"/>
      <c r="H11" s="205"/>
      <c r="I11" s="205"/>
      <c r="J11" s="201"/>
      <c r="K11" s="205"/>
      <c r="L11" s="201"/>
      <c r="M11" s="205"/>
      <c r="N11" s="201"/>
      <c r="O11" s="201"/>
      <c r="P11" s="201"/>
      <c r="Q11" s="201"/>
      <c r="R11" s="201"/>
      <c r="S11" s="201"/>
      <c r="T11" s="201"/>
      <c r="U11" s="201"/>
      <c r="V11" s="201"/>
      <c r="W11" s="201"/>
      <c r="X11" s="201"/>
      <c r="Y11" s="201"/>
      <c r="Z11" s="201"/>
      <c r="AA11" s="241"/>
    </row>
    <row r="12" spans="1:39" ht="13.5" customHeight="1">
      <c r="A12" s="244" t="s">
        <v>59</v>
      </c>
      <c r="B12" s="206">
        <v>43104</v>
      </c>
      <c r="C12" s="207"/>
      <c r="D12" s="207"/>
      <c r="E12" s="207"/>
      <c r="F12" s="207"/>
      <c r="G12" s="207"/>
      <c r="H12" s="205"/>
      <c r="I12" s="205"/>
      <c r="J12" s="201"/>
      <c r="K12" s="205"/>
      <c r="L12" s="201"/>
      <c r="M12" s="205"/>
      <c r="N12" s="201"/>
      <c r="O12" s="201"/>
      <c r="P12" s="201"/>
      <c r="Q12" s="201"/>
      <c r="R12" s="201"/>
      <c r="S12" s="201"/>
      <c r="T12" s="201"/>
      <c r="U12" s="201"/>
      <c r="V12" s="201"/>
      <c r="W12" s="201"/>
      <c r="X12" s="201"/>
      <c r="Y12" s="201"/>
      <c r="Z12" s="201"/>
      <c r="AA12" s="241"/>
    </row>
    <row r="13" spans="1:39" ht="13.5" customHeight="1">
      <c r="A13" s="245" t="s">
        <v>56</v>
      </c>
      <c r="B13" s="209"/>
      <c r="C13" s="207"/>
      <c r="D13" s="207"/>
      <c r="E13" s="207"/>
      <c r="F13" s="207"/>
      <c r="G13" s="207"/>
      <c r="H13" s="205"/>
      <c r="I13" s="205"/>
      <c r="J13" s="201"/>
      <c r="K13" s="205"/>
      <c r="L13" s="201"/>
      <c r="M13" s="205"/>
      <c r="N13" s="212"/>
      <c r="O13" s="212"/>
      <c r="P13" s="212"/>
      <c r="Q13" s="212"/>
      <c r="R13" s="212"/>
      <c r="S13" s="212"/>
      <c r="T13" s="212"/>
      <c r="U13" s="212"/>
      <c r="V13" s="212"/>
      <c r="W13" s="212"/>
      <c r="X13" s="212"/>
      <c r="Y13" s="212"/>
      <c r="Z13" s="212"/>
      <c r="AA13" s="246"/>
    </row>
    <row r="14" spans="1:39" ht="28.5" customHeight="1">
      <c r="A14" s="247" t="s">
        <v>144</v>
      </c>
      <c r="B14" s="327">
        <f>B81</f>
        <v>1989378168</v>
      </c>
      <c r="C14" s="328"/>
      <c r="D14" s="211"/>
      <c r="E14" s="211"/>
      <c r="F14" s="211"/>
      <c r="G14" s="211"/>
      <c r="H14" s="351"/>
      <c r="I14" s="351"/>
      <c r="J14" s="352"/>
      <c r="K14" s="347"/>
      <c r="L14" s="348"/>
      <c r="M14" s="353"/>
      <c r="N14" s="329" t="s">
        <v>57</v>
      </c>
      <c r="O14" s="330" t="s">
        <v>21</v>
      </c>
      <c r="P14" s="330" t="s">
        <v>20</v>
      </c>
      <c r="Q14" s="330" t="s">
        <v>19</v>
      </c>
      <c r="R14" s="330" t="s">
        <v>18</v>
      </c>
      <c r="S14" s="330" t="s">
        <v>10</v>
      </c>
      <c r="T14" s="330" t="s">
        <v>11</v>
      </c>
      <c r="U14" s="330" t="s">
        <v>12</v>
      </c>
      <c r="V14" s="330" t="s">
        <v>13</v>
      </c>
      <c r="W14" s="330" t="s">
        <v>14</v>
      </c>
      <c r="X14" s="330" t="s">
        <v>15</v>
      </c>
      <c r="Y14" s="236" t="s">
        <v>16</v>
      </c>
      <c r="Z14" s="237" t="s">
        <v>17</v>
      </c>
      <c r="AA14" s="452" t="s">
        <v>9</v>
      </c>
    </row>
    <row r="15" spans="1:39" ht="43.5" customHeight="1">
      <c r="A15" s="249" t="s">
        <v>22</v>
      </c>
      <c r="B15" s="331" t="s">
        <v>0</v>
      </c>
      <c r="C15" s="227" t="s">
        <v>2</v>
      </c>
      <c r="D15" s="227" t="s">
        <v>1</v>
      </c>
      <c r="E15" s="227" t="s">
        <v>61</v>
      </c>
      <c r="F15" s="227" t="s">
        <v>172</v>
      </c>
      <c r="G15" s="227" t="s">
        <v>3</v>
      </c>
      <c r="H15" s="429" t="s">
        <v>63</v>
      </c>
      <c r="I15" s="333" t="s">
        <v>4</v>
      </c>
      <c r="J15" s="235" t="s">
        <v>5</v>
      </c>
      <c r="K15" s="235" t="s">
        <v>6</v>
      </c>
      <c r="L15" s="235" t="s">
        <v>5</v>
      </c>
      <c r="M15" s="236" t="s">
        <v>62</v>
      </c>
      <c r="N15" s="334" t="s">
        <v>7</v>
      </c>
      <c r="O15" s="335" t="s">
        <v>7</v>
      </c>
      <c r="P15" s="335" t="s">
        <v>7</v>
      </c>
      <c r="Q15" s="335" t="s">
        <v>7</v>
      </c>
      <c r="R15" s="335" t="s">
        <v>7</v>
      </c>
      <c r="S15" s="335" t="s">
        <v>7</v>
      </c>
      <c r="T15" s="335" t="s">
        <v>7</v>
      </c>
      <c r="U15" s="335" t="s">
        <v>7</v>
      </c>
      <c r="V15" s="335" t="s">
        <v>7</v>
      </c>
      <c r="W15" s="335" t="s">
        <v>7</v>
      </c>
      <c r="X15" s="335" t="s">
        <v>7</v>
      </c>
      <c r="Y15" s="233" t="s">
        <v>7</v>
      </c>
      <c r="Z15" s="336" t="s">
        <v>8</v>
      </c>
      <c r="AA15" s="366"/>
      <c r="AC15" s="235" t="s">
        <v>188</v>
      </c>
      <c r="AD15" s="235" t="s">
        <v>189</v>
      </c>
      <c r="AE15" s="235" t="s">
        <v>167</v>
      </c>
      <c r="AF15" s="407" t="s">
        <v>190</v>
      </c>
      <c r="AG15" s="234" t="s">
        <v>200</v>
      </c>
      <c r="AH15" s="235" t="s">
        <v>167</v>
      </c>
      <c r="AI15" s="235" t="s">
        <v>190</v>
      </c>
      <c r="AJ15" s="235" t="s">
        <v>191</v>
      </c>
      <c r="AK15" s="235" t="s">
        <v>192</v>
      </c>
      <c r="AL15" s="235" t="s">
        <v>193</v>
      </c>
      <c r="AM15" s="235" t="s">
        <v>194</v>
      </c>
    </row>
    <row r="16" spans="1:39" s="112" customFormat="1" ht="89.25">
      <c r="A16" s="259" t="s">
        <v>113</v>
      </c>
      <c r="B16" s="52">
        <f>1665000000+89442922+74378168+16039745+995000+1233333</f>
        <v>1847089168</v>
      </c>
      <c r="C16" s="260" t="s">
        <v>78</v>
      </c>
      <c r="D16" s="260" t="s">
        <v>101</v>
      </c>
      <c r="E16" s="260" t="s">
        <v>114</v>
      </c>
      <c r="F16" s="260" t="s">
        <v>115</v>
      </c>
      <c r="G16" s="260" t="s">
        <v>116</v>
      </c>
      <c r="H16" s="85"/>
      <c r="I16" s="61"/>
      <c r="J16" s="51"/>
      <c r="K16" s="51"/>
      <c r="L16" s="51"/>
      <c r="M16" s="48"/>
      <c r="N16" s="74"/>
      <c r="O16" s="47"/>
      <c r="P16" s="47"/>
      <c r="Q16" s="47"/>
      <c r="R16" s="47"/>
      <c r="S16" s="47"/>
      <c r="T16" s="47"/>
      <c r="U16" s="47"/>
      <c r="V16" s="47"/>
      <c r="W16" s="47"/>
      <c r="X16" s="47"/>
      <c r="Y16" s="48"/>
      <c r="Z16" s="75">
        <f>SUM(N16:Y16)</f>
        <v>0</v>
      </c>
      <c r="AA16" s="251">
        <f t="shared" ref="AA16:AA47" si="0">L16-Z16</f>
        <v>0</v>
      </c>
      <c r="AC16" s="83"/>
      <c r="AD16" s="111">
        <f t="shared" ref="AD16:AD47" si="1">I16</f>
        <v>0</v>
      </c>
      <c r="AE16" s="111">
        <f t="shared" ref="AE16:AE47" si="2">J16</f>
        <v>0</v>
      </c>
      <c r="AF16" s="197"/>
      <c r="AG16" s="109">
        <f t="shared" ref="AG16:AG47" si="3">K16</f>
        <v>0</v>
      </c>
      <c r="AH16" s="111">
        <f t="shared" ref="AH16:AH47" si="4">L16</f>
        <v>0</v>
      </c>
      <c r="AI16" s="167"/>
      <c r="AJ16" s="88"/>
      <c r="AK16" s="111">
        <f>M16</f>
        <v>0</v>
      </c>
      <c r="AL16" s="111"/>
      <c r="AM16" s="101">
        <f>AE16-AH16</f>
        <v>0</v>
      </c>
    </row>
    <row r="17" spans="1:39" s="112" customFormat="1" ht="105" customHeight="1">
      <c r="A17" s="261" t="s">
        <v>113</v>
      </c>
      <c r="B17" s="92">
        <f>J17</f>
        <v>37574400</v>
      </c>
      <c r="C17" s="260" t="s">
        <v>78</v>
      </c>
      <c r="D17" s="260" t="s">
        <v>101</v>
      </c>
      <c r="E17" s="260" t="s">
        <v>114</v>
      </c>
      <c r="F17" s="260" t="s">
        <v>115</v>
      </c>
      <c r="G17" s="260" t="s">
        <v>116</v>
      </c>
      <c r="H17" s="85">
        <v>190</v>
      </c>
      <c r="I17" s="61" t="s">
        <v>956</v>
      </c>
      <c r="J17" s="62">
        <f>35594328-986328+2966400</f>
        <v>37574400</v>
      </c>
      <c r="K17" s="62" t="s">
        <v>1305</v>
      </c>
      <c r="L17" s="62">
        <f>34608000+986328-986328+2966400</f>
        <v>37574400</v>
      </c>
      <c r="M17" s="63">
        <v>46</v>
      </c>
      <c r="N17" s="74"/>
      <c r="O17" s="47"/>
      <c r="P17" s="68">
        <v>6262400</v>
      </c>
      <c r="Q17" s="68">
        <v>4944000</v>
      </c>
      <c r="R17" s="68">
        <v>4944000</v>
      </c>
      <c r="S17" s="68"/>
      <c r="T17" s="68">
        <v>3790400</v>
      </c>
      <c r="U17" s="68"/>
      <c r="V17" s="68"/>
      <c r="W17" s="68">
        <f>988800</f>
        <v>988800</v>
      </c>
      <c r="X17" s="68">
        <f>4944000</f>
        <v>4944000</v>
      </c>
      <c r="Y17" s="63">
        <f>4944000+3790400+1318400</f>
        <v>10052800</v>
      </c>
      <c r="Z17" s="75">
        <f>SUM(N17:Y17)</f>
        <v>35926400</v>
      </c>
      <c r="AA17" s="251">
        <f t="shared" si="0"/>
        <v>1648000</v>
      </c>
      <c r="AC17" s="83" t="s">
        <v>257</v>
      </c>
      <c r="AD17" s="111" t="str">
        <f t="shared" si="1"/>
        <v>78 - 686</v>
      </c>
      <c r="AE17" s="111">
        <f t="shared" si="2"/>
        <v>37574400</v>
      </c>
      <c r="AF17" s="198">
        <v>42755</v>
      </c>
      <c r="AG17" s="109" t="str">
        <f t="shared" si="3"/>
        <v>109-110-1060</v>
      </c>
      <c r="AH17" s="111">
        <f t="shared" si="4"/>
        <v>37574400</v>
      </c>
      <c r="AI17" s="199">
        <v>42758</v>
      </c>
      <c r="AJ17" s="88" t="s">
        <v>298</v>
      </c>
      <c r="AK17" s="111">
        <f t="shared" ref="AK17:AK76" si="5">M17</f>
        <v>46</v>
      </c>
      <c r="AL17" s="111">
        <v>1097391309</v>
      </c>
      <c r="AM17" s="101">
        <f t="shared" ref="AM17:AM81" si="6">AE17-AH17</f>
        <v>0</v>
      </c>
    </row>
    <row r="18" spans="1:39" s="112" customFormat="1" ht="105" customHeight="1">
      <c r="A18" s="261" t="s">
        <v>113</v>
      </c>
      <c r="B18" s="92">
        <f>J18</f>
        <v>85800000</v>
      </c>
      <c r="C18" s="260" t="s">
        <v>78</v>
      </c>
      <c r="D18" s="260" t="s">
        <v>101</v>
      </c>
      <c r="E18" s="260" t="s">
        <v>114</v>
      </c>
      <c r="F18" s="260" t="s">
        <v>115</v>
      </c>
      <c r="G18" s="260" t="s">
        <v>116</v>
      </c>
      <c r="H18" s="85">
        <v>156</v>
      </c>
      <c r="I18" s="61">
        <v>92</v>
      </c>
      <c r="J18" s="62">
        <v>85800000</v>
      </c>
      <c r="K18" s="62">
        <v>192</v>
      </c>
      <c r="L18" s="62">
        <v>85800000</v>
      </c>
      <c r="M18" s="63">
        <v>82</v>
      </c>
      <c r="N18" s="76"/>
      <c r="O18" s="51"/>
      <c r="P18" s="62">
        <v>7800000</v>
      </c>
      <c r="Q18" s="62">
        <v>7800000</v>
      </c>
      <c r="R18" s="62">
        <v>7800000</v>
      </c>
      <c r="S18" s="62">
        <f>7800000</f>
        <v>7800000</v>
      </c>
      <c r="T18" s="62">
        <v>7800000</v>
      </c>
      <c r="U18" s="62">
        <f>7800000</f>
        <v>7800000</v>
      </c>
      <c r="V18" s="62">
        <f>7800000</f>
        <v>7800000</v>
      </c>
      <c r="W18" s="62">
        <f>7800000</f>
        <v>7800000</v>
      </c>
      <c r="X18" s="62">
        <f>7800000</f>
        <v>7800000</v>
      </c>
      <c r="Y18" s="79">
        <f>7800000+7800000</f>
        <v>15600000</v>
      </c>
      <c r="Z18" s="75">
        <f t="shared" ref="Z18:Z37" si="7">SUM(N18:Y18)</f>
        <v>85800000</v>
      </c>
      <c r="AA18" s="251">
        <f t="shared" si="0"/>
        <v>0</v>
      </c>
      <c r="AC18" s="83" t="s">
        <v>258</v>
      </c>
      <c r="AD18" s="111">
        <f t="shared" si="1"/>
        <v>92</v>
      </c>
      <c r="AE18" s="111">
        <f t="shared" si="2"/>
        <v>85800000</v>
      </c>
      <c r="AF18" s="198">
        <v>42760</v>
      </c>
      <c r="AG18" s="109">
        <f t="shared" si="3"/>
        <v>192</v>
      </c>
      <c r="AH18" s="111">
        <f t="shared" si="4"/>
        <v>85800000</v>
      </c>
      <c r="AI18" s="199">
        <v>42767</v>
      </c>
      <c r="AJ18" s="88" t="s">
        <v>386</v>
      </c>
      <c r="AK18" s="111">
        <f t="shared" si="5"/>
        <v>82</v>
      </c>
      <c r="AL18" s="111">
        <v>35499319</v>
      </c>
      <c r="AM18" s="101">
        <f t="shared" si="6"/>
        <v>0</v>
      </c>
    </row>
    <row r="19" spans="1:39" s="112" customFormat="1" ht="105" customHeight="1">
      <c r="A19" s="261" t="s">
        <v>113</v>
      </c>
      <c r="B19" s="92">
        <f t="shared" ref="B19:B35" si="8">J19</f>
        <v>77610500</v>
      </c>
      <c r="C19" s="260" t="s">
        <v>78</v>
      </c>
      <c r="D19" s="260" t="s">
        <v>101</v>
      </c>
      <c r="E19" s="260" t="s">
        <v>114</v>
      </c>
      <c r="F19" s="260" t="s">
        <v>115</v>
      </c>
      <c r="G19" s="260" t="s">
        <v>116</v>
      </c>
      <c r="H19" s="85">
        <v>159</v>
      </c>
      <c r="I19" s="61">
        <v>115</v>
      </c>
      <c r="J19" s="62">
        <f>79822399-2211899</f>
        <v>77610500</v>
      </c>
      <c r="K19" s="62" t="s">
        <v>1306</v>
      </c>
      <c r="L19" s="62">
        <f>77610500+2211899-2211899</f>
        <v>77610500</v>
      </c>
      <c r="M19" s="63">
        <v>92</v>
      </c>
      <c r="N19" s="76"/>
      <c r="O19" s="51"/>
      <c r="P19" s="62">
        <v>7055500</v>
      </c>
      <c r="Q19" s="62">
        <v>7055500</v>
      </c>
      <c r="R19" s="62">
        <f>7055500</f>
        <v>7055500</v>
      </c>
      <c r="S19" s="62">
        <f>7055500</f>
        <v>7055500</v>
      </c>
      <c r="T19" s="62">
        <v>7055500</v>
      </c>
      <c r="U19" s="62">
        <f>7055500</f>
        <v>7055500</v>
      </c>
      <c r="V19" s="62">
        <f>7055500</f>
        <v>7055500</v>
      </c>
      <c r="W19" s="62">
        <f>7055500</f>
        <v>7055500</v>
      </c>
      <c r="X19" s="62">
        <f>7055500</f>
        <v>7055500</v>
      </c>
      <c r="Y19" s="79">
        <f>7055500+7055500</f>
        <v>14111000</v>
      </c>
      <c r="Z19" s="75">
        <f t="shared" si="7"/>
        <v>77610500</v>
      </c>
      <c r="AA19" s="251">
        <f t="shared" si="0"/>
        <v>0</v>
      </c>
      <c r="AC19" s="83" t="s">
        <v>260</v>
      </c>
      <c r="AD19" s="111">
        <f t="shared" si="1"/>
        <v>115</v>
      </c>
      <c r="AE19" s="111">
        <f t="shared" si="2"/>
        <v>77610500</v>
      </c>
      <c r="AF19" s="198">
        <v>42762</v>
      </c>
      <c r="AG19" s="109" t="str">
        <f t="shared" si="3"/>
        <v>199-200</v>
      </c>
      <c r="AH19" s="111">
        <f t="shared" si="4"/>
        <v>77610500</v>
      </c>
      <c r="AI19" s="199">
        <v>42767</v>
      </c>
      <c r="AJ19" s="88" t="s">
        <v>394</v>
      </c>
      <c r="AK19" s="111">
        <f t="shared" si="5"/>
        <v>92</v>
      </c>
      <c r="AL19" s="111">
        <v>1015401538</v>
      </c>
      <c r="AM19" s="101">
        <f t="shared" si="6"/>
        <v>0</v>
      </c>
    </row>
    <row r="20" spans="1:39" s="112" customFormat="1" ht="105" customHeight="1">
      <c r="A20" s="261" t="s">
        <v>113</v>
      </c>
      <c r="B20" s="92">
        <f t="shared" si="8"/>
        <v>79310000</v>
      </c>
      <c r="C20" s="260" t="s">
        <v>78</v>
      </c>
      <c r="D20" s="260" t="s">
        <v>101</v>
      </c>
      <c r="E20" s="260" t="s">
        <v>114</v>
      </c>
      <c r="F20" s="260" t="s">
        <v>115</v>
      </c>
      <c r="G20" s="260" t="s">
        <v>116</v>
      </c>
      <c r="H20" s="85">
        <v>174</v>
      </c>
      <c r="I20" s="61">
        <v>93</v>
      </c>
      <c r="J20" s="62">
        <v>79310000</v>
      </c>
      <c r="K20" s="62">
        <v>187</v>
      </c>
      <c r="L20" s="62">
        <v>79310000</v>
      </c>
      <c r="M20" s="63">
        <v>89</v>
      </c>
      <c r="N20" s="76"/>
      <c r="O20" s="51"/>
      <c r="P20" s="62">
        <v>7210000</v>
      </c>
      <c r="Q20" s="62">
        <v>7210000</v>
      </c>
      <c r="R20" s="62">
        <v>7210000</v>
      </c>
      <c r="S20" s="62">
        <f>7210000</f>
        <v>7210000</v>
      </c>
      <c r="T20" s="62">
        <v>7210000</v>
      </c>
      <c r="U20" s="62">
        <f>7210000</f>
        <v>7210000</v>
      </c>
      <c r="V20" s="62">
        <f>7210000</f>
        <v>7210000</v>
      </c>
      <c r="W20" s="62">
        <f>7210000</f>
        <v>7210000</v>
      </c>
      <c r="X20" s="62">
        <f>7210000</f>
        <v>7210000</v>
      </c>
      <c r="Y20" s="79">
        <f>7210000+7210000</f>
        <v>14420000</v>
      </c>
      <c r="Z20" s="75">
        <f t="shared" si="7"/>
        <v>79310000</v>
      </c>
      <c r="AA20" s="251">
        <f t="shared" si="0"/>
        <v>0</v>
      </c>
      <c r="AC20" s="83" t="s">
        <v>259</v>
      </c>
      <c r="AD20" s="111">
        <f t="shared" si="1"/>
        <v>93</v>
      </c>
      <c r="AE20" s="111">
        <f t="shared" si="2"/>
        <v>79310000</v>
      </c>
      <c r="AF20" s="198">
        <v>42760</v>
      </c>
      <c r="AG20" s="109">
        <f t="shared" si="3"/>
        <v>187</v>
      </c>
      <c r="AH20" s="111">
        <f t="shared" si="4"/>
        <v>79310000</v>
      </c>
      <c r="AI20" s="199">
        <v>42767</v>
      </c>
      <c r="AJ20" s="88" t="s">
        <v>387</v>
      </c>
      <c r="AK20" s="111">
        <f t="shared" si="5"/>
        <v>89</v>
      </c>
      <c r="AL20" s="111">
        <v>80020452</v>
      </c>
      <c r="AM20" s="101">
        <f t="shared" si="6"/>
        <v>0</v>
      </c>
    </row>
    <row r="21" spans="1:39" s="112" customFormat="1" ht="105" customHeight="1">
      <c r="A21" s="261" t="s">
        <v>113</v>
      </c>
      <c r="B21" s="92">
        <f t="shared" si="8"/>
        <v>36036267</v>
      </c>
      <c r="C21" s="260" t="s">
        <v>78</v>
      </c>
      <c r="D21" s="260" t="s">
        <v>101</v>
      </c>
      <c r="E21" s="260" t="s">
        <v>114</v>
      </c>
      <c r="F21" s="260" t="s">
        <v>115</v>
      </c>
      <c r="G21" s="260" t="s">
        <v>116</v>
      </c>
      <c r="H21" s="85">
        <v>192</v>
      </c>
      <c r="I21" s="61" t="s">
        <v>771</v>
      </c>
      <c r="J21" s="62">
        <f>27119488-751488+9668267</f>
        <v>36036267</v>
      </c>
      <c r="K21" s="62" t="s">
        <v>1307</v>
      </c>
      <c r="L21" s="62">
        <f>26368000+751488-751488+9668267</f>
        <v>36036267</v>
      </c>
      <c r="M21" s="63">
        <v>101</v>
      </c>
      <c r="N21" s="76"/>
      <c r="O21" s="51"/>
      <c r="P21" s="62">
        <v>3076267</v>
      </c>
      <c r="Q21" s="62">
        <v>3296000</v>
      </c>
      <c r="R21" s="62">
        <v>3296000</v>
      </c>
      <c r="S21" s="62">
        <f t="shared" ref="S21:S26" si="9">3296000</f>
        <v>3296000</v>
      </c>
      <c r="T21" s="62">
        <v>3296000</v>
      </c>
      <c r="U21" s="62">
        <f t="shared" ref="U21:U26" si="10">3296000</f>
        <v>3296000</v>
      </c>
      <c r="V21" s="62">
        <f t="shared" ref="V21:V26" si="11">3296000</f>
        <v>3296000</v>
      </c>
      <c r="W21" s="62">
        <f>3296000</f>
        <v>3296000</v>
      </c>
      <c r="X21" s="62">
        <f>219733+3076267</f>
        <v>3296000</v>
      </c>
      <c r="Y21" s="79">
        <f t="shared" ref="Y21:Y26" si="12">3296000+3296000</f>
        <v>6592000</v>
      </c>
      <c r="Z21" s="75">
        <f t="shared" si="7"/>
        <v>36036267</v>
      </c>
      <c r="AA21" s="251">
        <f t="shared" si="0"/>
        <v>0</v>
      </c>
      <c r="AC21" s="83" t="s">
        <v>264</v>
      </c>
      <c r="AD21" s="111" t="str">
        <f t="shared" si="1"/>
        <v>94 - 481</v>
      </c>
      <c r="AE21" s="111">
        <f t="shared" si="2"/>
        <v>36036267</v>
      </c>
      <c r="AF21" s="102" t="s">
        <v>768</v>
      </c>
      <c r="AG21" s="109" t="str">
        <f t="shared" si="3"/>
        <v>229-230-806</v>
      </c>
      <c r="AH21" s="111">
        <f t="shared" si="4"/>
        <v>36036267</v>
      </c>
      <c r="AI21" s="199">
        <v>42769</v>
      </c>
      <c r="AJ21" s="88" t="s">
        <v>388</v>
      </c>
      <c r="AK21" s="111">
        <f t="shared" si="5"/>
        <v>101</v>
      </c>
      <c r="AL21" s="111">
        <v>1012340803</v>
      </c>
      <c r="AM21" s="101">
        <f t="shared" si="6"/>
        <v>0</v>
      </c>
    </row>
    <row r="22" spans="1:39" s="112" customFormat="1" ht="105" customHeight="1">
      <c r="A22" s="261" t="s">
        <v>113</v>
      </c>
      <c r="B22" s="92">
        <f t="shared" si="8"/>
        <v>36256000</v>
      </c>
      <c r="C22" s="260" t="s">
        <v>78</v>
      </c>
      <c r="D22" s="260" t="s">
        <v>101</v>
      </c>
      <c r="E22" s="260" t="s">
        <v>114</v>
      </c>
      <c r="F22" s="260" t="s">
        <v>115</v>
      </c>
      <c r="G22" s="260" t="s">
        <v>116</v>
      </c>
      <c r="H22" s="85">
        <v>193</v>
      </c>
      <c r="I22" s="61" t="s">
        <v>767</v>
      </c>
      <c r="J22" s="62">
        <f>27119488-751488+9888000</f>
        <v>36256000</v>
      </c>
      <c r="K22" s="62" t="s">
        <v>1308</v>
      </c>
      <c r="L22" s="62">
        <f>26368000+751488-751488+9888000</f>
        <v>36256000</v>
      </c>
      <c r="M22" s="63">
        <v>80</v>
      </c>
      <c r="N22" s="76"/>
      <c r="O22" s="51"/>
      <c r="P22" s="62">
        <v>3296000</v>
      </c>
      <c r="Q22" s="62">
        <v>3296000</v>
      </c>
      <c r="R22" s="62">
        <v>3296000</v>
      </c>
      <c r="S22" s="62">
        <f t="shared" si="9"/>
        <v>3296000</v>
      </c>
      <c r="T22" s="62">
        <v>3296000</v>
      </c>
      <c r="U22" s="62">
        <f t="shared" si="10"/>
        <v>3296000</v>
      </c>
      <c r="V22" s="62">
        <f t="shared" si="11"/>
        <v>3296000</v>
      </c>
      <c r="W22" s="62">
        <f>3296000</f>
        <v>3296000</v>
      </c>
      <c r="X22" s="62">
        <f>3296000</f>
        <v>3296000</v>
      </c>
      <c r="Y22" s="79">
        <f t="shared" si="12"/>
        <v>6592000</v>
      </c>
      <c r="Z22" s="75">
        <f t="shared" si="7"/>
        <v>36256000</v>
      </c>
      <c r="AA22" s="251">
        <f t="shared" si="0"/>
        <v>0</v>
      </c>
      <c r="AC22" s="83" t="s">
        <v>264</v>
      </c>
      <c r="AD22" s="111" t="str">
        <f t="shared" si="1"/>
        <v>95 - 478</v>
      </c>
      <c r="AE22" s="111">
        <f t="shared" si="2"/>
        <v>36256000</v>
      </c>
      <c r="AF22" s="102" t="s">
        <v>768</v>
      </c>
      <c r="AG22" s="109" t="str">
        <f t="shared" si="3"/>
        <v>183-184- 815</v>
      </c>
      <c r="AH22" s="111">
        <f t="shared" si="4"/>
        <v>36256000</v>
      </c>
      <c r="AI22" s="199">
        <v>42767</v>
      </c>
      <c r="AJ22" s="88" t="s">
        <v>389</v>
      </c>
      <c r="AK22" s="111">
        <f t="shared" si="5"/>
        <v>80</v>
      </c>
      <c r="AL22" s="111">
        <v>1057574035</v>
      </c>
      <c r="AM22" s="101">
        <f t="shared" si="6"/>
        <v>0</v>
      </c>
    </row>
    <row r="23" spans="1:39" s="112" customFormat="1" ht="105" customHeight="1">
      <c r="A23" s="261" t="s">
        <v>113</v>
      </c>
      <c r="B23" s="92">
        <f t="shared" si="8"/>
        <v>36036267</v>
      </c>
      <c r="C23" s="260" t="s">
        <v>78</v>
      </c>
      <c r="D23" s="260" t="s">
        <v>101</v>
      </c>
      <c r="E23" s="260" t="s">
        <v>114</v>
      </c>
      <c r="F23" s="260" t="s">
        <v>115</v>
      </c>
      <c r="G23" s="260" t="s">
        <v>116</v>
      </c>
      <c r="H23" s="85">
        <v>194</v>
      </c>
      <c r="I23" s="61" t="s">
        <v>772</v>
      </c>
      <c r="J23" s="62">
        <f>27119488-751488+9668267</f>
        <v>36036267</v>
      </c>
      <c r="K23" s="62" t="s">
        <v>1309</v>
      </c>
      <c r="L23" s="62">
        <f>26368000+751488-751488+9668267</f>
        <v>36036267</v>
      </c>
      <c r="M23" s="63">
        <v>102</v>
      </c>
      <c r="N23" s="76"/>
      <c r="O23" s="51"/>
      <c r="P23" s="62">
        <v>3076267</v>
      </c>
      <c r="Q23" s="62">
        <v>3296000</v>
      </c>
      <c r="R23" s="62">
        <v>3296000</v>
      </c>
      <c r="S23" s="62">
        <f t="shared" si="9"/>
        <v>3296000</v>
      </c>
      <c r="T23" s="62">
        <v>3296000</v>
      </c>
      <c r="U23" s="62">
        <f t="shared" si="10"/>
        <v>3296000</v>
      </c>
      <c r="V23" s="62">
        <f t="shared" si="11"/>
        <v>3296000</v>
      </c>
      <c r="W23" s="62">
        <f>3296000</f>
        <v>3296000</v>
      </c>
      <c r="X23" s="62">
        <f>219733+3076267</f>
        <v>3296000</v>
      </c>
      <c r="Y23" s="79">
        <f t="shared" si="12"/>
        <v>6592000</v>
      </c>
      <c r="Z23" s="75">
        <f t="shared" si="7"/>
        <v>36036267</v>
      </c>
      <c r="AA23" s="251">
        <f t="shared" si="0"/>
        <v>0</v>
      </c>
      <c r="AC23" s="83" t="s">
        <v>264</v>
      </c>
      <c r="AD23" s="111" t="str">
        <f t="shared" si="1"/>
        <v>96 - 482</v>
      </c>
      <c r="AE23" s="111">
        <f t="shared" si="2"/>
        <v>36036267</v>
      </c>
      <c r="AF23" s="102" t="s">
        <v>768</v>
      </c>
      <c r="AG23" s="109" t="str">
        <f t="shared" si="3"/>
        <v>231-232- 817</v>
      </c>
      <c r="AH23" s="111">
        <f t="shared" si="4"/>
        <v>36036267</v>
      </c>
      <c r="AI23" s="199">
        <v>42769</v>
      </c>
      <c r="AJ23" s="88" t="s">
        <v>390</v>
      </c>
      <c r="AK23" s="111">
        <f t="shared" si="5"/>
        <v>102</v>
      </c>
      <c r="AL23" s="111">
        <v>80879007</v>
      </c>
      <c r="AM23" s="101">
        <f t="shared" si="6"/>
        <v>0</v>
      </c>
    </row>
    <row r="24" spans="1:39" s="112" customFormat="1" ht="105" customHeight="1">
      <c r="A24" s="261" t="s">
        <v>113</v>
      </c>
      <c r="B24" s="92">
        <f t="shared" si="8"/>
        <v>35486933</v>
      </c>
      <c r="C24" s="260" t="s">
        <v>78</v>
      </c>
      <c r="D24" s="260" t="s">
        <v>101</v>
      </c>
      <c r="E24" s="260" t="s">
        <v>114</v>
      </c>
      <c r="F24" s="260" t="s">
        <v>115</v>
      </c>
      <c r="G24" s="260" t="s">
        <v>116</v>
      </c>
      <c r="H24" s="85">
        <v>195</v>
      </c>
      <c r="I24" s="61" t="s">
        <v>774</v>
      </c>
      <c r="J24" s="62">
        <f>27119488-751488+9118933</f>
        <v>35486933</v>
      </c>
      <c r="K24" s="62" t="s">
        <v>1310</v>
      </c>
      <c r="L24" s="62">
        <f>26368000+751488-751488+9118933</f>
        <v>35486933</v>
      </c>
      <c r="M24" s="63">
        <v>70</v>
      </c>
      <c r="N24" s="76"/>
      <c r="O24" s="51"/>
      <c r="P24" s="62">
        <v>3296000</v>
      </c>
      <c r="Q24" s="62">
        <v>3296000</v>
      </c>
      <c r="R24" s="62">
        <v>3296000</v>
      </c>
      <c r="S24" s="62">
        <f t="shared" si="9"/>
        <v>3296000</v>
      </c>
      <c r="T24" s="62">
        <v>3296000</v>
      </c>
      <c r="U24" s="62">
        <f t="shared" si="10"/>
        <v>3296000</v>
      </c>
      <c r="V24" s="62">
        <f t="shared" si="11"/>
        <v>3296000</v>
      </c>
      <c r="W24" s="62">
        <f>2526933</f>
        <v>2526933</v>
      </c>
      <c r="X24" s="62">
        <f>769067+2526933</f>
        <v>3296000</v>
      </c>
      <c r="Y24" s="79">
        <f t="shared" si="12"/>
        <v>6592000</v>
      </c>
      <c r="Z24" s="75">
        <f t="shared" si="7"/>
        <v>35486933</v>
      </c>
      <c r="AA24" s="251">
        <f t="shared" si="0"/>
        <v>0</v>
      </c>
      <c r="AC24" s="83" t="s">
        <v>264</v>
      </c>
      <c r="AD24" s="111" t="str">
        <f t="shared" si="1"/>
        <v>97 - 490</v>
      </c>
      <c r="AE24" s="111">
        <f t="shared" si="2"/>
        <v>35486933</v>
      </c>
      <c r="AF24" s="102" t="s">
        <v>775</v>
      </c>
      <c r="AG24" s="109" t="str">
        <f t="shared" si="3"/>
        <v>162-163 - 813</v>
      </c>
      <c r="AH24" s="111">
        <f t="shared" si="4"/>
        <v>35486933</v>
      </c>
      <c r="AI24" s="199">
        <v>42767</v>
      </c>
      <c r="AJ24" s="88" t="s">
        <v>391</v>
      </c>
      <c r="AK24" s="111">
        <f t="shared" si="5"/>
        <v>70</v>
      </c>
      <c r="AL24" s="111">
        <v>1014238520</v>
      </c>
      <c r="AM24" s="101">
        <f t="shared" si="6"/>
        <v>0</v>
      </c>
    </row>
    <row r="25" spans="1:39" s="112" customFormat="1" ht="105" customHeight="1">
      <c r="A25" s="261" t="s">
        <v>113</v>
      </c>
      <c r="B25" s="92">
        <f t="shared" si="8"/>
        <v>36256000</v>
      </c>
      <c r="C25" s="260" t="s">
        <v>78</v>
      </c>
      <c r="D25" s="260" t="s">
        <v>101</v>
      </c>
      <c r="E25" s="260" t="s">
        <v>114</v>
      </c>
      <c r="F25" s="260" t="s">
        <v>115</v>
      </c>
      <c r="G25" s="260" t="s">
        <v>116</v>
      </c>
      <c r="H25" s="85">
        <v>196</v>
      </c>
      <c r="I25" s="61" t="s">
        <v>769</v>
      </c>
      <c r="J25" s="62">
        <f>27119488-751488+9888000</f>
        <v>36256000</v>
      </c>
      <c r="K25" s="62" t="s">
        <v>1311</v>
      </c>
      <c r="L25" s="62">
        <f>26368000+751488-751488+9888000</f>
        <v>36256000</v>
      </c>
      <c r="M25" s="63">
        <v>90</v>
      </c>
      <c r="N25" s="76"/>
      <c r="O25" s="51"/>
      <c r="P25" s="62">
        <v>3296000</v>
      </c>
      <c r="Q25" s="62">
        <v>3296000</v>
      </c>
      <c r="R25" s="62">
        <v>3296000</v>
      </c>
      <c r="S25" s="62">
        <f t="shared" si="9"/>
        <v>3296000</v>
      </c>
      <c r="T25" s="62">
        <v>3296000</v>
      </c>
      <c r="U25" s="62">
        <f t="shared" si="10"/>
        <v>3296000</v>
      </c>
      <c r="V25" s="62">
        <f t="shared" si="11"/>
        <v>3296000</v>
      </c>
      <c r="W25" s="62">
        <f>3296000</f>
        <v>3296000</v>
      </c>
      <c r="X25" s="62">
        <f>3296000</f>
        <v>3296000</v>
      </c>
      <c r="Y25" s="79">
        <f t="shared" si="12"/>
        <v>6592000</v>
      </c>
      <c r="Z25" s="75">
        <f t="shared" si="7"/>
        <v>36256000</v>
      </c>
      <c r="AA25" s="251">
        <f t="shared" si="0"/>
        <v>0</v>
      </c>
      <c r="AC25" s="83" t="s">
        <v>264</v>
      </c>
      <c r="AD25" s="111" t="str">
        <f t="shared" si="1"/>
        <v>98 - 479</v>
      </c>
      <c r="AE25" s="111">
        <f t="shared" si="2"/>
        <v>36256000</v>
      </c>
      <c r="AF25" s="102" t="s">
        <v>768</v>
      </c>
      <c r="AG25" s="109" t="str">
        <f t="shared" si="3"/>
        <v>197-198 - 805</v>
      </c>
      <c r="AH25" s="111">
        <f t="shared" si="4"/>
        <v>36256000</v>
      </c>
      <c r="AI25" s="199">
        <v>42767</v>
      </c>
      <c r="AJ25" s="88" t="s">
        <v>392</v>
      </c>
      <c r="AK25" s="111">
        <f t="shared" si="5"/>
        <v>90</v>
      </c>
      <c r="AL25" s="111">
        <v>19752295</v>
      </c>
      <c r="AM25" s="101">
        <f t="shared" si="6"/>
        <v>0</v>
      </c>
    </row>
    <row r="26" spans="1:39" s="112" customFormat="1" ht="105" customHeight="1">
      <c r="A26" s="261" t="s">
        <v>113</v>
      </c>
      <c r="B26" s="92">
        <f t="shared" si="8"/>
        <v>35706667</v>
      </c>
      <c r="C26" s="260" t="s">
        <v>78</v>
      </c>
      <c r="D26" s="260" t="s">
        <v>101</v>
      </c>
      <c r="E26" s="260" t="s">
        <v>114</v>
      </c>
      <c r="F26" s="260" t="s">
        <v>115</v>
      </c>
      <c r="G26" s="260" t="s">
        <v>116</v>
      </c>
      <c r="H26" s="85">
        <v>197</v>
      </c>
      <c r="I26" s="61" t="s">
        <v>776</v>
      </c>
      <c r="J26" s="62">
        <f>27119488-751488+9338667</f>
        <v>35706667</v>
      </c>
      <c r="K26" s="62" t="s">
        <v>1312</v>
      </c>
      <c r="L26" s="62">
        <f>26368000+751488-751488+9338667</f>
        <v>35706667</v>
      </c>
      <c r="M26" s="63">
        <v>106</v>
      </c>
      <c r="N26" s="76"/>
      <c r="O26" s="51"/>
      <c r="P26" s="62">
        <v>2746667</v>
      </c>
      <c r="Q26" s="62">
        <v>3296000</v>
      </c>
      <c r="R26" s="62">
        <v>3296000</v>
      </c>
      <c r="S26" s="62">
        <f t="shared" si="9"/>
        <v>3296000</v>
      </c>
      <c r="T26" s="62">
        <v>3296000</v>
      </c>
      <c r="U26" s="62">
        <f t="shared" si="10"/>
        <v>3296000</v>
      </c>
      <c r="V26" s="62">
        <f t="shared" si="11"/>
        <v>3296000</v>
      </c>
      <c r="W26" s="62">
        <f>3296000</f>
        <v>3296000</v>
      </c>
      <c r="X26" s="62">
        <f>549333+2746667</f>
        <v>3296000</v>
      </c>
      <c r="Y26" s="79">
        <f t="shared" si="12"/>
        <v>6592000</v>
      </c>
      <c r="Z26" s="75">
        <f t="shared" si="7"/>
        <v>35706667</v>
      </c>
      <c r="AA26" s="251">
        <f t="shared" si="0"/>
        <v>0</v>
      </c>
      <c r="AC26" s="83" t="s">
        <v>264</v>
      </c>
      <c r="AD26" s="111" t="str">
        <f t="shared" si="1"/>
        <v>99 - 491</v>
      </c>
      <c r="AE26" s="111">
        <f t="shared" si="2"/>
        <v>35706667</v>
      </c>
      <c r="AF26" s="198">
        <v>42760</v>
      </c>
      <c r="AG26" s="109" t="str">
        <f t="shared" si="3"/>
        <v>242-243 - 818</v>
      </c>
      <c r="AH26" s="111">
        <f t="shared" si="4"/>
        <v>35706667</v>
      </c>
      <c r="AI26" s="199">
        <v>42772</v>
      </c>
      <c r="AJ26" s="88" t="s">
        <v>393</v>
      </c>
      <c r="AK26" s="111">
        <f t="shared" si="5"/>
        <v>106</v>
      </c>
      <c r="AL26" s="111">
        <v>1012360177</v>
      </c>
      <c r="AM26" s="101">
        <f t="shared" si="6"/>
        <v>0</v>
      </c>
    </row>
    <row r="27" spans="1:39" s="112" customFormat="1" ht="105" customHeight="1">
      <c r="A27" s="261" t="s">
        <v>113</v>
      </c>
      <c r="B27" s="92">
        <f t="shared" si="8"/>
        <v>46666667</v>
      </c>
      <c r="C27" s="260" t="s">
        <v>78</v>
      </c>
      <c r="D27" s="260" t="s">
        <v>101</v>
      </c>
      <c r="E27" s="260" t="s">
        <v>114</v>
      </c>
      <c r="F27" s="260" t="s">
        <v>115</v>
      </c>
      <c r="G27" s="260" t="s">
        <v>116</v>
      </c>
      <c r="H27" s="85">
        <v>186</v>
      </c>
      <c r="I27" s="61" t="s">
        <v>954</v>
      </c>
      <c r="J27" s="62">
        <f>45254000-1254000+2666667</f>
        <v>46666667</v>
      </c>
      <c r="K27" s="62" t="s">
        <v>1313</v>
      </c>
      <c r="L27" s="62">
        <f>44000000+1254000-1254000+2666667</f>
        <v>46666667</v>
      </c>
      <c r="M27" s="63">
        <v>73</v>
      </c>
      <c r="N27" s="76"/>
      <c r="O27" s="51"/>
      <c r="P27" s="62">
        <v>4000000</v>
      </c>
      <c r="Q27" s="62">
        <v>4000000</v>
      </c>
      <c r="R27" s="62">
        <v>4000000</v>
      </c>
      <c r="S27" s="62">
        <f>4000000</f>
        <v>4000000</v>
      </c>
      <c r="T27" s="62">
        <v>4000000</v>
      </c>
      <c r="U27" s="62">
        <f>4000000</f>
        <v>4000000</v>
      </c>
      <c r="V27" s="62">
        <f>4000000</f>
        <v>4000000</v>
      </c>
      <c r="W27" s="62">
        <f>4000000</f>
        <v>4000000</v>
      </c>
      <c r="X27" s="62">
        <f>4000000</f>
        <v>4000000</v>
      </c>
      <c r="Y27" s="79">
        <f>4000000+4000000+133333</f>
        <v>8133333</v>
      </c>
      <c r="Z27" s="75">
        <f t="shared" si="7"/>
        <v>44133333</v>
      </c>
      <c r="AA27" s="251">
        <f t="shared" si="0"/>
        <v>2533334</v>
      </c>
      <c r="AC27" s="83" t="s">
        <v>261</v>
      </c>
      <c r="AD27" s="111" t="str">
        <f t="shared" si="1"/>
        <v>116 - 684</v>
      </c>
      <c r="AE27" s="111">
        <f t="shared" si="2"/>
        <v>46666667</v>
      </c>
      <c r="AF27" s="198">
        <v>42762</v>
      </c>
      <c r="AG27" s="109" t="str">
        <f t="shared" si="3"/>
        <v>167-168 - 684 - 1058</v>
      </c>
      <c r="AH27" s="111">
        <f t="shared" si="4"/>
        <v>46666667</v>
      </c>
      <c r="AI27" s="199">
        <v>42767</v>
      </c>
      <c r="AJ27" s="88" t="s">
        <v>395</v>
      </c>
      <c r="AK27" s="111">
        <f t="shared" si="5"/>
        <v>73</v>
      </c>
      <c r="AL27" s="111">
        <v>53051195</v>
      </c>
      <c r="AM27" s="101">
        <f t="shared" si="6"/>
        <v>0</v>
      </c>
    </row>
    <row r="28" spans="1:39" s="112" customFormat="1" ht="105" customHeight="1">
      <c r="A28" s="261" t="s">
        <v>113</v>
      </c>
      <c r="B28" s="92">
        <f t="shared" si="8"/>
        <v>36256000</v>
      </c>
      <c r="C28" s="260" t="s">
        <v>78</v>
      </c>
      <c r="D28" s="260" t="s">
        <v>101</v>
      </c>
      <c r="E28" s="260" t="s">
        <v>114</v>
      </c>
      <c r="F28" s="260" t="s">
        <v>115</v>
      </c>
      <c r="G28" s="260" t="s">
        <v>116</v>
      </c>
      <c r="H28" s="85">
        <v>198</v>
      </c>
      <c r="I28" s="61" t="s">
        <v>887</v>
      </c>
      <c r="J28" s="62">
        <f>27119488-751488+9888000</f>
        <v>36256000</v>
      </c>
      <c r="K28" s="62" t="s">
        <v>888</v>
      </c>
      <c r="L28" s="62">
        <f>26368000+751488-751488+9888000</f>
        <v>36256000</v>
      </c>
      <c r="M28" s="63">
        <v>78</v>
      </c>
      <c r="N28" s="76"/>
      <c r="O28" s="51"/>
      <c r="P28" s="62">
        <v>3296000</v>
      </c>
      <c r="Q28" s="62">
        <v>3296000</v>
      </c>
      <c r="R28" s="62">
        <v>3296000</v>
      </c>
      <c r="S28" s="62">
        <f>3296000</f>
        <v>3296000</v>
      </c>
      <c r="T28" s="62">
        <v>3296000</v>
      </c>
      <c r="U28" s="62">
        <f>3296000</f>
        <v>3296000</v>
      </c>
      <c r="V28" s="62">
        <f>3296000</f>
        <v>3296000</v>
      </c>
      <c r="W28" s="62">
        <f>3296000</f>
        <v>3296000</v>
      </c>
      <c r="X28" s="62">
        <f>3296000</f>
        <v>3296000</v>
      </c>
      <c r="Y28" s="79">
        <f>3296000+3296000</f>
        <v>6592000</v>
      </c>
      <c r="Z28" s="75">
        <f t="shared" si="7"/>
        <v>36256000</v>
      </c>
      <c r="AA28" s="251">
        <f t="shared" si="0"/>
        <v>0</v>
      </c>
      <c r="AC28" s="83" t="s">
        <v>265</v>
      </c>
      <c r="AD28" s="111" t="str">
        <f t="shared" si="1"/>
        <v>117 - 477</v>
      </c>
      <c r="AE28" s="111">
        <f t="shared" si="2"/>
        <v>36256000</v>
      </c>
      <c r="AF28" s="102" t="s">
        <v>766</v>
      </c>
      <c r="AG28" s="109" t="str">
        <f t="shared" si="3"/>
        <v>181 - 182  - 814</v>
      </c>
      <c r="AH28" s="111">
        <f t="shared" si="4"/>
        <v>36256000</v>
      </c>
      <c r="AI28" s="199">
        <v>42767</v>
      </c>
      <c r="AJ28" s="88" t="s">
        <v>396</v>
      </c>
      <c r="AK28" s="111">
        <f t="shared" si="5"/>
        <v>78</v>
      </c>
      <c r="AL28" s="111">
        <v>1020733861</v>
      </c>
      <c r="AM28" s="101">
        <f t="shared" si="6"/>
        <v>0</v>
      </c>
    </row>
    <row r="29" spans="1:39" s="112" customFormat="1" ht="105" customHeight="1">
      <c r="A29" s="261" t="s">
        <v>113</v>
      </c>
      <c r="B29" s="92">
        <f t="shared" si="8"/>
        <v>54384000</v>
      </c>
      <c r="C29" s="260" t="s">
        <v>78</v>
      </c>
      <c r="D29" s="260" t="s">
        <v>101</v>
      </c>
      <c r="E29" s="260" t="s">
        <v>114</v>
      </c>
      <c r="F29" s="260" t="s">
        <v>115</v>
      </c>
      <c r="G29" s="260" t="s">
        <v>116</v>
      </c>
      <c r="H29" s="85">
        <v>188</v>
      </c>
      <c r="I29" s="61">
        <v>126</v>
      </c>
      <c r="J29" s="62">
        <f>55933944-1549944</f>
        <v>54384000</v>
      </c>
      <c r="K29" s="62" t="s">
        <v>1314</v>
      </c>
      <c r="L29" s="62">
        <f>54384000+1549944-1549944</f>
        <v>54384000</v>
      </c>
      <c r="M29" s="63">
        <v>96</v>
      </c>
      <c r="N29" s="76"/>
      <c r="O29" s="51"/>
      <c r="P29" s="62">
        <v>4944000</v>
      </c>
      <c r="Q29" s="62">
        <v>4944000</v>
      </c>
      <c r="R29" s="62">
        <v>4944000</v>
      </c>
      <c r="S29" s="62">
        <f>4944000</f>
        <v>4944000</v>
      </c>
      <c r="T29" s="62">
        <v>4944000</v>
      </c>
      <c r="U29" s="62">
        <f>4944000</f>
        <v>4944000</v>
      </c>
      <c r="V29" s="62">
        <f>4944000</f>
        <v>4944000</v>
      </c>
      <c r="W29" s="62">
        <f>3790400</f>
        <v>3790400</v>
      </c>
      <c r="X29" s="62">
        <f>4944000</f>
        <v>4944000</v>
      </c>
      <c r="Y29" s="79">
        <f>4944000+4944000</f>
        <v>9888000</v>
      </c>
      <c r="Z29" s="75">
        <f t="shared" si="7"/>
        <v>53230400</v>
      </c>
      <c r="AA29" s="251">
        <f t="shared" si="0"/>
        <v>1153600</v>
      </c>
      <c r="AC29" s="83" t="s">
        <v>257</v>
      </c>
      <c r="AD29" s="111">
        <f t="shared" si="1"/>
        <v>126</v>
      </c>
      <c r="AE29" s="111">
        <f t="shared" si="2"/>
        <v>54384000</v>
      </c>
      <c r="AF29" s="198">
        <v>42762</v>
      </c>
      <c r="AG29" s="109" t="str">
        <f t="shared" si="3"/>
        <v>209-210</v>
      </c>
      <c r="AH29" s="111">
        <f t="shared" si="4"/>
        <v>54384000</v>
      </c>
      <c r="AI29" s="199">
        <v>42767</v>
      </c>
      <c r="AJ29" s="88" t="s">
        <v>398</v>
      </c>
      <c r="AK29" s="111">
        <f t="shared" si="5"/>
        <v>96</v>
      </c>
      <c r="AL29" s="111">
        <v>1130615434</v>
      </c>
      <c r="AM29" s="101">
        <f t="shared" si="6"/>
        <v>0</v>
      </c>
    </row>
    <row r="30" spans="1:39" s="112" customFormat="1" ht="105" customHeight="1">
      <c r="A30" s="261" t="s">
        <v>113</v>
      </c>
      <c r="B30" s="92">
        <f t="shared" si="8"/>
        <v>52736000</v>
      </c>
      <c r="C30" s="260" t="s">
        <v>78</v>
      </c>
      <c r="D30" s="260" t="s">
        <v>101</v>
      </c>
      <c r="E30" s="260" t="s">
        <v>114</v>
      </c>
      <c r="F30" s="260" t="s">
        <v>115</v>
      </c>
      <c r="G30" s="260" t="s">
        <v>116</v>
      </c>
      <c r="H30" s="85">
        <v>189</v>
      </c>
      <c r="I30" s="61" t="s">
        <v>955</v>
      </c>
      <c r="J30" s="62">
        <f>55933944-55933944+52151324-52151324+51088000+1063324-1063324+1648000</f>
        <v>52736000</v>
      </c>
      <c r="K30" s="62" t="s">
        <v>1132</v>
      </c>
      <c r="L30" s="62">
        <f>51088000+1648000</f>
        <v>52736000</v>
      </c>
      <c r="M30" s="63">
        <v>136</v>
      </c>
      <c r="N30" s="76"/>
      <c r="O30" s="51"/>
      <c r="P30" s="51"/>
      <c r="Q30" s="62">
        <v>6592000</v>
      </c>
      <c r="R30" s="62">
        <v>4944000</v>
      </c>
      <c r="S30" s="62">
        <f>4944000</f>
        <v>4944000</v>
      </c>
      <c r="T30" s="62">
        <v>4944000</v>
      </c>
      <c r="U30" s="62">
        <f>4944000</f>
        <v>4944000</v>
      </c>
      <c r="V30" s="62">
        <f>4944000</f>
        <v>4944000</v>
      </c>
      <c r="W30" s="62">
        <f>4944000</f>
        <v>4944000</v>
      </c>
      <c r="X30" s="62">
        <f>4944000</f>
        <v>4944000</v>
      </c>
      <c r="Y30" s="79">
        <f>4944000+4944000+164800</f>
        <v>10052800</v>
      </c>
      <c r="Z30" s="75">
        <f t="shared" si="7"/>
        <v>51252800</v>
      </c>
      <c r="AA30" s="251">
        <f t="shared" si="0"/>
        <v>1483200</v>
      </c>
      <c r="AC30" s="83" t="s">
        <v>257</v>
      </c>
      <c r="AD30" s="111" t="str">
        <f t="shared" si="1"/>
        <v>157 - 685</v>
      </c>
      <c r="AE30" s="111">
        <f t="shared" si="2"/>
        <v>52736000</v>
      </c>
      <c r="AF30" s="198">
        <v>42773</v>
      </c>
      <c r="AG30" s="109" t="str">
        <f t="shared" si="3"/>
        <v>294 - 1056</v>
      </c>
      <c r="AH30" s="111">
        <f t="shared" si="4"/>
        <v>52736000</v>
      </c>
      <c r="AI30" s="199">
        <v>42787</v>
      </c>
      <c r="AJ30" s="88" t="s">
        <v>467</v>
      </c>
      <c r="AK30" s="111">
        <f t="shared" si="5"/>
        <v>136</v>
      </c>
      <c r="AL30" s="111">
        <v>1130616920</v>
      </c>
      <c r="AM30" s="101">
        <f t="shared" si="6"/>
        <v>0</v>
      </c>
    </row>
    <row r="31" spans="1:39" s="112" customFormat="1" ht="105" customHeight="1">
      <c r="A31" s="261" t="s">
        <v>113</v>
      </c>
      <c r="B31" s="92">
        <f t="shared" si="8"/>
        <v>36256000</v>
      </c>
      <c r="C31" s="260" t="s">
        <v>78</v>
      </c>
      <c r="D31" s="260" t="s">
        <v>101</v>
      </c>
      <c r="E31" s="260" t="s">
        <v>114</v>
      </c>
      <c r="F31" s="260" t="s">
        <v>115</v>
      </c>
      <c r="G31" s="260" t="s">
        <v>116</v>
      </c>
      <c r="H31" s="85">
        <v>199</v>
      </c>
      <c r="I31" s="61" t="s">
        <v>770</v>
      </c>
      <c r="J31" s="62">
        <f>27119488-751488+9888000</f>
        <v>36256000</v>
      </c>
      <c r="K31" s="62" t="s">
        <v>1315</v>
      </c>
      <c r="L31" s="62">
        <f>26368000+751488-751488+9888000</f>
        <v>36256000</v>
      </c>
      <c r="M31" s="63">
        <v>91</v>
      </c>
      <c r="N31" s="76"/>
      <c r="O31" s="51"/>
      <c r="P31" s="62">
        <v>3296000</v>
      </c>
      <c r="Q31" s="62">
        <v>3296000</v>
      </c>
      <c r="R31" s="62">
        <v>3296000</v>
      </c>
      <c r="S31" s="62">
        <f>3296000</f>
        <v>3296000</v>
      </c>
      <c r="T31" s="62">
        <v>3296000</v>
      </c>
      <c r="U31" s="62">
        <f>3296000</f>
        <v>3296000</v>
      </c>
      <c r="V31" s="62">
        <f>1757867</f>
        <v>1757867</v>
      </c>
      <c r="W31" s="62">
        <f>3296000+1538133</f>
        <v>4834133</v>
      </c>
      <c r="X31" s="62">
        <f>3296000</f>
        <v>3296000</v>
      </c>
      <c r="Y31" s="79">
        <f>3296000+3296000</f>
        <v>6592000</v>
      </c>
      <c r="Z31" s="75">
        <f t="shared" si="7"/>
        <v>36256000</v>
      </c>
      <c r="AA31" s="251">
        <f t="shared" si="0"/>
        <v>0</v>
      </c>
      <c r="AC31" s="83" t="s">
        <v>265</v>
      </c>
      <c r="AD31" s="111" t="str">
        <f t="shared" si="1"/>
        <v>118 - 480</v>
      </c>
      <c r="AE31" s="111">
        <f t="shared" si="2"/>
        <v>36256000</v>
      </c>
      <c r="AF31" s="102" t="s">
        <v>766</v>
      </c>
      <c r="AG31" s="109" t="str">
        <f t="shared" si="3"/>
        <v>201-202 - 816</v>
      </c>
      <c r="AH31" s="111">
        <f t="shared" si="4"/>
        <v>36256000</v>
      </c>
      <c r="AI31" s="199">
        <v>42767</v>
      </c>
      <c r="AJ31" s="88" t="s">
        <v>397</v>
      </c>
      <c r="AK31" s="111">
        <f t="shared" si="5"/>
        <v>91</v>
      </c>
      <c r="AL31" s="111">
        <v>1022359016</v>
      </c>
      <c r="AM31" s="101">
        <f t="shared" si="6"/>
        <v>0</v>
      </c>
    </row>
    <row r="32" spans="1:39" s="112" customFormat="1" ht="105" customHeight="1">
      <c r="A32" s="261" t="s">
        <v>113</v>
      </c>
      <c r="B32" s="92">
        <f t="shared" si="8"/>
        <v>33948800</v>
      </c>
      <c r="C32" s="260" t="s">
        <v>78</v>
      </c>
      <c r="D32" s="260" t="s">
        <v>101</v>
      </c>
      <c r="E32" s="260" t="s">
        <v>114</v>
      </c>
      <c r="F32" s="260" t="s">
        <v>115</v>
      </c>
      <c r="G32" s="260" t="s">
        <v>116</v>
      </c>
      <c r="H32" s="85">
        <v>200</v>
      </c>
      <c r="I32" s="61" t="s">
        <v>778</v>
      </c>
      <c r="J32" s="62">
        <f>27119488-751488+7580800</f>
        <v>33948800</v>
      </c>
      <c r="K32" s="62" t="s">
        <v>805</v>
      </c>
      <c r="L32" s="62">
        <f>26368000+7580800</f>
        <v>33948800</v>
      </c>
      <c r="M32" s="63">
        <v>126</v>
      </c>
      <c r="N32" s="76"/>
      <c r="O32" s="51"/>
      <c r="P32" s="62">
        <v>1757867</v>
      </c>
      <c r="Q32" s="62">
        <v>3296000</v>
      </c>
      <c r="R32" s="62">
        <v>3296000</v>
      </c>
      <c r="S32" s="62">
        <f>3296000</f>
        <v>3296000</v>
      </c>
      <c r="T32" s="62">
        <v>3296000</v>
      </c>
      <c r="U32" s="62">
        <f>3296000</f>
        <v>3296000</v>
      </c>
      <c r="V32" s="62">
        <f>3296000</f>
        <v>3296000</v>
      </c>
      <c r="W32" s="62">
        <f>3296000</f>
        <v>3296000</v>
      </c>
      <c r="X32" s="62">
        <f>1538133+988800</f>
        <v>2526933</v>
      </c>
      <c r="Y32" s="79">
        <f>3296000+3296000</f>
        <v>6592000</v>
      </c>
      <c r="Z32" s="75">
        <f t="shared" si="7"/>
        <v>33948800</v>
      </c>
      <c r="AA32" s="251">
        <f t="shared" si="0"/>
        <v>0</v>
      </c>
      <c r="AC32" s="83" t="s">
        <v>264</v>
      </c>
      <c r="AD32" s="111" t="str">
        <f t="shared" si="1"/>
        <v>158 - 493</v>
      </c>
      <c r="AE32" s="111">
        <f t="shared" si="2"/>
        <v>33948800</v>
      </c>
      <c r="AF32" s="198">
        <v>42773</v>
      </c>
      <c r="AG32" s="109" t="str">
        <f t="shared" si="3"/>
        <v>285 - 804</v>
      </c>
      <c r="AH32" s="111">
        <f t="shared" si="4"/>
        <v>33948800</v>
      </c>
      <c r="AI32" s="199">
        <v>42781</v>
      </c>
      <c r="AJ32" s="88" t="s">
        <v>448</v>
      </c>
      <c r="AK32" s="111">
        <f t="shared" si="5"/>
        <v>126</v>
      </c>
      <c r="AL32" s="111">
        <v>1019015990</v>
      </c>
      <c r="AM32" s="101">
        <f t="shared" si="6"/>
        <v>0</v>
      </c>
    </row>
    <row r="33" spans="1:39" s="112" customFormat="1" ht="105" customHeight="1">
      <c r="A33" s="261" t="s">
        <v>113</v>
      </c>
      <c r="B33" s="92">
        <f t="shared" si="8"/>
        <v>34827733</v>
      </c>
      <c r="C33" s="260" t="s">
        <v>78</v>
      </c>
      <c r="D33" s="260" t="s">
        <v>101</v>
      </c>
      <c r="E33" s="260" t="s">
        <v>114</v>
      </c>
      <c r="F33" s="260" t="s">
        <v>115</v>
      </c>
      <c r="G33" s="260" t="s">
        <v>116</v>
      </c>
      <c r="H33" s="85">
        <v>201</v>
      </c>
      <c r="I33" s="61" t="s">
        <v>777</v>
      </c>
      <c r="J33" s="62">
        <f>27119488-751488+8459733</f>
        <v>34827733</v>
      </c>
      <c r="K33" s="62" t="s">
        <v>806</v>
      </c>
      <c r="L33" s="62">
        <f>26368000+8459733</f>
        <v>34827733</v>
      </c>
      <c r="M33" s="63">
        <v>125</v>
      </c>
      <c r="N33" s="76"/>
      <c r="O33" s="51"/>
      <c r="P33" s="62">
        <v>1867733</v>
      </c>
      <c r="Q33" s="62">
        <v>3296000</v>
      </c>
      <c r="R33" s="62">
        <v>3296000</v>
      </c>
      <c r="S33" s="62">
        <f>3296000</f>
        <v>3296000</v>
      </c>
      <c r="T33" s="62">
        <v>3296000</v>
      </c>
      <c r="U33" s="62">
        <f>3296000</f>
        <v>3296000</v>
      </c>
      <c r="V33" s="62">
        <f>3296000</f>
        <v>3296000</v>
      </c>
      <c r="W33" s="62">
        <f>3296000</f>
        <v>3296000</v>
      </c>
      <c r="X33" s="62">
        <f>1428267+1867733</f>
        <v>3296000</v>
      </c>
      <c r="Y33" s="79">
        <f>3296000+3296000</f>
        <v>6592000</v>
      </c>
      <c r="Z33" s="75">
        <f t="shared" si="7"/>
        <v>34827733</v>
      </c>
      <c r="AA33" s="251">
        <f t="shared" si="0"/>
        <v>0</v>
      </c>
      <c r="AC33" s="83" t="s">
        <v>264</v>
      </c>
      <c r="AD33" s="111" t="str">
        <f t="shared" si="1"/>
        <v>159 - 492</v>
      </c>
      <c r="AE33" s="111">
        <f t="shared" si="2"/>
        <v>34827733</v>
      </c>
      <c r="AF33" s="198">
        <v>42773</v>
      </c>
      <c r="AG33" s="109" t="str">
        <f t="shared" si="3"/>
        <v>281 - 819</v>
      </c>
      <c r="AH33" s="111">
        <f t="shared" si="4"/>
        <v>34827733</v>
      </c>
      <c r="AI33" s="199">
        <v>42780</v>
      </c>
      <c r="AJ33" s="88" t="s">
        <v>449</v>
      </c>
      <c r="AK33" s="111">
        <f t="shared" si="5"/>
        <v>125</v>
      </c>
      <c r="AL33" s="111">
        <v>1052387579</v>
      </c>
      <c r="AM33" s="101">
        <f t="shared" si="6"/>
        <v>0</v>
      </c>
    </row>
    <row r="34" spans="1:39" s="112" customFormat="1" ht="105" customHeight="1">
      <c r="A34" s="261" t="s">
        <v>113</v>
      </c>
      <c r="B34" s="92">
        <f t="shared" si="8"/>
        <v>48400000</v>
      </c>
      <c r="C34" s="260" t="s">
        <v>78</v>
      </c>
      <c r="D34" s="260" t="s">
        <v>101</v>
      </c>
      <c r="E34" s="260" t="s">
        <v>114</v>
      </c>
      <c r="F34" s="260" t="s">
        <v>115</v>
      </c>
      <c r="G34" s="260" t="s">
        <v>116</v>
      </c>
      <c r="H34" s="85">
        <v>161</v>
      </c>
      <c r="I34" s="61">
        <v>133</v>
      </c>
      <c r="J34" s="62">
        <f>49779400-1379400</f>
        <v>48400000</v>
      </c>
      <c r="K34" s="62" t="s">
        <v>1316</v>
      </c>
      <c r="L34" s="62">
        <f>48400000+1379400-1379400</f>
        <v>48400000</v>
      </c>
      <c r="M34" s="63">
        <v>86</v>
      </c>
      <c r="N34" s="76"/>
      <c r="O34" s="51"/>
      <c r="P34" s="62">
        <v>4400000</v>
      </c>
      <c r="Q34" s="62">
        <v>4400000</v>
      </c>
      <c r="R34" s="62">
        <v>4400000</v>
      </c>
      <c r="S34" s="62">
        <f>4400000</f>
        <v>4400000</v>
      </c>
      <c r="T34" s="62">
        <v>4400000</v>
      </c>
      <c r="U34" s="62">
        <f>4400000</f>
        <v>4400000</v>
      </c>
      <c r="V34" s="62">
        <f>3226666</f>
        <v>3226666</v>
      </c>
      <c r="W34" s="62">
        <f>3813333</f>
        <v>3813333</v>
      </c>
      <c r="X34" s="62">
        <f>4400000</f>
        <v>4400000</v>
      </c>
      <c r="Y34" s="79">
        <f>4400000+4400000</f>
        <v>8800000</v>
      </c>
      <c r="Z34" s="75">
        <f t="shared" si="7"/>
        <v>46639999</v>
      </c>
      <c r="AA34" s="251">
        <f t="shared" si="0"/>
        <v>1760001</v>
      </c>
      <c r="AC34" s="83" t="s">
        <v>263</v>
      </c>
      <c r="AD34" s="111">
        <f t="shared" si="1"/>
        <v>133</v>
      </c>
      <c r="AE34" s="111">
        <f t="shared" si="2"/>
        <v>48400000</v>
      </c>
      <c r="AF34" s="198">
        <v>42762</v>
      </c>
      <c r="AG34" s="109" t="str">
        <f t="shared" si="3"/>
        <v>188-189</v>
      </c>
      <c r="AH34" s="111">
        <f t="shared" si="4"/>
        <v>48400000</v>
      </c>
      <c r="AI34" s="199">
        <v>42767</v>
      </c>
      <c r="AJ34" s="88" t="s">
        <v>400</v>
      </c>
      <c r="AK34" s="111">
        <f t="shared" si="5"/>
        <v>86</v>
      </c>
      <c r="AL34" s="111">
        <v>1026269278</v>
      </c>
      <c r="AM34" s="101">
        <f t="shared" si="6"/>
        <v>0</v>
      </c>
    </row>
    <row r="35" spans="1:39" s="112" customFormat="1" ht="105" customHeight="1">
      <c r="A35" s="261" t="s">
        <v>113</v>
      </c>
      <c r="B35" s="92">
        <f t="shared" si="8"/>
        <v>54384000</v>
      </c>
      <c r="C35" s="260" t="s">
        <v>78</v>
      </c>
      <c r="D35" s="260" t="s">
        <v>101</v>
      </c>
      <c r="E35" s="260" t="s">
        <v>114</v>
      </c>
      <c r="F35" s="260" t="s">
        <v>115</v>
      </c>
      <c r="G35" s="260" t="s">
        <v>116</v>
      </c>
      <c r="H35" s="85">
        <v>160</v>
      </c>
      <c r="I35" s="61">
        <v>132</v>
      </c>
      <c r="J35" s="62">
        <f>55933944-1549944</f>
        <v>54384000</v>
      </c>
      <c r="K35" s="62" t="s">
        <v>1317</v>
      </c>
      <c r="L35" s="62">
        <f>54384000+1549940-1549940</f>
        <v>54384000</v>
      </c>
      <c r="M35" s="63">
        <v>88</v>
      </c>
      <c r="N35" s="76"/>
      <c r="O35" s="51"/>
      <c r="P35" s="62">
        <v>4944000</v>
      </c>
      <c r="Q35" s="62">
        <v>4944000</v>
      </c>
      <c r="R35" s="62">
        <v>4944000</v>
      </c>
      <c r="S35" s="62">
        <f>4944000</f>
        <v>4944000</v>
      </c>
      <c r="T35" s="62">
        <v>4944000</v>
      </c>
      <c r="U35" s="62">
        <f>4944000</f>
        <v>4944000</v>
      </c>
      <c r="V35" s="62">
        <f>4944000</f>
        <v>4944000</v>
      </c>
      <c r="W35" s="62">
        <f>4944000</f>
        <v>4944000</v>
      </c>
      <c r="X35" s="62">
        <f>4944000</f>
        <v>4944000</v>
      </c>
      <c r="Y35" s="79">
        <f>4944000+4944000</f>
        <v>9888000</v>
      </c>
      <c r="Z35" s="75">
        <f t="shared" si="7"/>
        <v>54384000</v>
      </c>
      <c r="AA35" s="251">
        <f t="shared" si="0"/>
        <v>0</v>
      </c>
      <c r="AC35" s="83" t="s">
        <v>262</v>
      </c>
      <c r="AD35" s="111">
        <f t="shared" si="1"/>
        <v>132</v>
      </c>
      <c r="AE35" s="111">
        <f t="shared" si="2"/>
        <v>54384000</v>
      </c>
      <c r="AF35" s="198">
        <v>42762</v>
      </c>
      <c r="AG35" s="109" t="str">
        <f t="shared" si="3"/>
        <v>195-196</v>
      </c>
      <c r="AH35" s="111">
        <f t="shared" si="4"/>
        <v>54384000</v>
      </c>
      <c r="AI35" s="199">
        <v>42767</v>
      </c>
      <c r="AJ35" s="88" t="s">
        <v>399</v>
      </c>
      <c r="AK35" s="111">
        <f t="shared" si="5"/>
        <v>88</v>
      </c>
      <c r="AL35" s="111">
        <v>1022330414</v>
      </c>
      <c r="AM35" s="101">
        <f t="shared" si="6"/>
        <v>0</v>
      </c>
    </row>
    <row r="36" spans="1:39" s="112" customFormat="1" ht="105" customHeight="1">
      <c r="A36" s="261" t="s">
        <v>113</v>
      </c>
      <c r="B36" s="92">
        <f t="shared" ref="B36:B41" si="13">J36</f>
        <v>44800000</v>
      </c>
      <c r="C36" s="260" t="s">
        <v>78</v>
      </c>
      <c r="D36" s="260" t="s">
        <v>101</v>
      </c>
      <c r="E36" s="260" t="s">
        <v>114</v>
      </c>
      <c r="F36" s="260" t="s">
        <v>115</v>
      </c>
      <c r="G36" s="260" t="s">
        <v>116</v>
      </c>
      <c r="H36" s="85">
        <v>157</v>
      </c>
      <c r="I36" s="61" t="s">
        <v>953</v>
      </c>
      <c r="J36" s="62">
        <f>43197000-43197000+42000000+1197000-1197000+2800000</f>
        <v>44800000</v>
      </c>
      <c r="K36" s="62" t="s">
        <v>1133</v>
      </c>
      <c r="L36" s="62">
        <f>42000000+2800000</f>
        <v>44800000</v>
      </c>
      <c r="M36" s="63">
        <v>130</v>
      </c>
      <c r="N36" s="76"/>
      <c r="O36" s="51"/>
      <c r="P36" s="62">
        <v>2133333</v>
      </c>
      <c r="Q36" s="62">
        <v>4000000</v>
      </c>
      <c r="R36" s="62">
        <v>4000000</v>
      </c>
      <c r="S36" s="62">
        <f>4000000</f>
        <v>4000000</v>
      </c>
      <c r="T36" s="62">
        <v>4000000</v>
      </c>
      <c r="U36" s="62">
        <f>4000000</f>
        <v>4000000</v>
      </c>
      <c r="V36" s="62">
        <f>4000000</f>
        <v>4000000</v>
      </c>
      <c r="W36" s="62">
        <f>4000000</f>
        <v>4000000</v>
      </c>
      <c r="X36" s="62">
        <f>4000000</f>
        <v>4000000</v>
      </c>
      <c r="Y36" s="79">
        <f>4000000+3866667+266667</f>
        <v>8133334</v>
      </c>
      <c r="Z36" s="75">
        <f t="shared" si="7"/>
        <v>42266667</v>
      </c>
      <c r="AA36" s="251">
        <f t="shared" si="0"/>
        <v>2533333</v>
      </c>
      <c r="AC36" s="83" t="s">
        <v>357</v>
      </c>
      <c r="AD36" s="111" t="str">
        <f t="shared" si="1"/>
        <v>163 - 683</v>
      </c>
      <c r="AE36" s="111">
        <f t="shared" si="2"/>
        <v>44800000</v>
      </c>
      <c r="AF36" s="198">
        <v>42776</v>
      </c>
      <c r="AG36" s="109" t="str">
        <f t="shared" si="3"/>
        <v>287 - 1057</v>
      </c>
      <c r="AH36" s="111">
        <f t="shared" si="4"/>
        <v>44800000</v>
      </c>
      <c r="AI36" s="199">
        <v>42781</v>
      </c>
      <c r="AJ36" s="88" t="s">
        <v>450</v>
      </c>
      <c r="AK36" s="111">
        <f t="shared" si="5"/>
        <v>130</v>
      </c>
      <c r="AL36" s="111">
        <v>1019043926</v>
      </c>
      <c r="AM36" s="101">
        <f t="shared" si="6"/>
        <v>0</v>
      </c>
    </row>
    <row r="37" spans="1:39" s="112" customFormat="1" ht="105" customHeight="1">
      <c r="A37" s="261" t="s">
        <v>113</v>
      </c>
      <c r="B37" s="92">
        <f t="shared" si="13"/>
        <v>48667500</v>
      </c>
      <c r="C37" s="260" t="s">
        <v>78</v>
      </c>
      <c r="D37" s="260" t="s">
        <v>101</v>
      </c>
      <c r="E37" s="260" t="s">
        <v>114</v>
      </c>
      <c r="F37" s="260" t="s">
        <v>115</v>
      </c>
      <c r="G37" s="260" t="s">
        <v>116</v>
      </c>
      <c r="H37" s="85">
        <v>173</v>
      </c>
      <c r="I37" s="61">
        <v>164</v>
      </c>
      <c r="J37" s="62">
        <v>48667500</v>
      </c>
      <c r="K37" s="62">
        <v>288</v>
      </c>
      <c r="L37" s="62">
        <v>48667500</v>
      </c>
      <c r="M37" s="63">
        <v>132</v>
      </c>
      <c r="N37" s="76"/>
      <c r="O37" s="51"/>
      <c r="P37" s="62">
        <v>2317500</v>
      </c>
      <c r="Q37" s="62">
        <v>4635000</v>
      </c>
      <c r="R37" s="62">
        <v>4635000</v>
      </c>
      <c r="S37" s="62">
        <f>4635000</f>
        <v>4635000</v>
      </c>
      <c r="T37" s="62">
        <v>4635000</v>
      </c>
      <c r="U37" s="62">
        <f>4635000</f>
        <v>4635000</v>
      </c>
      <c r="V37" s="62">
        <f>4635000</f>
        <v>4635000</v>
      </c>
      <c r="W37" s="62">
        <f>4635000</f>
        <v>4635000</v>
      </c>
      <c r="X37" s="62">
        <f>4635000</f>
        <v>4635000</v>
      </c>
      <c r="Y37" s="79">
        <f>4635000+4635000</f>
        <v>9270000</v>
      </c>
      <c r="Z37" s="75">
        <f t="shared" si="7"/>
        <v>48667500</v>
      </c>
      <c r="AA37" s="251">
        <f t="shared" si="0"/>
        <v>0</v>
      </c>
      <c r="AC37" s="83" t="s">
        <v>358</v>
      </c>
      <c r="AD37" s="111">
        <f t="shared" si="1"/>
        <v>164</v>
      </c>
      <c r="AE37" s="111">
        <f t="shared" si="2"/>
        <v>48667500</v>
      </c>
      <c r="AF37" s="198">
        <v>42776</v>
      </c>
      <c r="AG37" s="109">
        <f t="shared" si="3"/>
        <v>288</v>
      </c>
      <c r="AH37" s="111">
        <f t="shared" si="4"/>
        <v>48667500</v>
      </c>
      <c r="AI37" s="199">
        <v>42782</v>
      </c>
      <c r="AJ37" s="88" t="s">
        <v>451</v>
      </c>
      <c r="AK37" s="111">
        <f t="shared" si="5"/>
        <v>132</v>
      </c>
      <c r="AL37" s="111">
        <v>79646958</v>
      </c>
      <c r="AM37" s="101">
        <f t="shared" si="6"/>
        <v>0</v>
      </c>
    </row>
    <row r="38" spans="1:39" s="112" customFormat="1" ht="89.25">
      <c r="A38" s="261" t="s">
        <v>113</v>
      </c>
      <c r="B38" s="92">
        <f t="shared" si="13"/>
        <v>41818000</v>
      </c>
      <c r="C38" s="260" t="s">
        <v>78</v>
      </c>
      <c r="D38" s="260" t="s">
        <v>101</v>
      </c>
      <c r="E38" s="260" t="s">
        <v>114</v>
      </c>
      <c r="F38" s="260" t="s">
        <v>115</v>
      </c>
      <c r="G38" s="260" t="s">
        <v>116</v>
      </c>
      <c r="H38" s="85">
        <v>176</v>
      </c>
      <c r="I38" s="61" t="s">
        <v>740</v>
      </c>
      <c r="J38" s="62">
        <f>36865554-36865554+35844000+5974000</f>
        <v>41818000</v>
      </c>
      <c r="K38" s="62" t="s">
        <v>878</v>
      </c>
      <c r="L38" s="62">
        <f>35844000+5974000</f>
        <v>41818000</v>
      </c>
      <c r="M38" s="63">
        <v>155</v>
      </c>
      <c r="N38" s="76"/>
      <c r="O38" s="51"/>
      <c r="P38" s="51"/>
      <c r="Q38" s="62">
        <v>5974000</v>
      </c>
      <c r="R38" s="62">
        <v>5974000</v>
      </c>
      <c r="S38" s="62">
        <f>5974000</f>
        <v>5974000</v>
      </c>
      <c r="T38" s="62">
        <v>5974000</v>
      </c>
      <c r="U38" s="62">
        <f>5974000</f>
        <v>5974000</v>
      </c>
      <c r="V38" s="62">
        <f>5974000</f>
        <v>5974000</v>
      </c>
      <c r="W38" s="62"/>
      <c r="X38" s="62"/>
      <c r="Y38" s="79">
        <f>5974000</f>
        <v>5974000</v>
      </c>
      <c r="Z38" s="75">
        <f t="shared" ref="Z38:Z78" si="14">SUM(N38:Y38)</f>
        <v>41818000</v>
      </c>
      <c r="AA38" s="251">
        <f t="shared" si="0"/>
        <v>0</v>
      </c>
      <c r="AC38" s="83" t="s">
        <v>359</v>
      </c>
      <c r="AD38" s="111" t="str">
        <f t="shared" si="1"/>
        <v>170 - 445</v>
      </c>
      <c r="AE38" s="111">
        <f t="shared" si="2"/>
        <v>41818000</v>
      </c>
      <c r="AF38" s="198">
        <v>42780</v>
      </c>
      <c r="AG38" s="109" t="str">
        <f t="shared" si="3"/>
        <v>328 - 741</v>
      </c>
      <c r="AH38" s="111">
        <f t="shared" si="4"/>
        <v>41818000</v>
      </c>
      <c r="AI38" s="199">
        <v>42795</v>
      </c>
      <c r="AJ38" s="88" t="s">
        <v>513</v>
      </c>
      <c r="AK38" s="111">
        <f t="shared" si="5"/>
        <v>155</v>
      </c>
      <c r="AL38" s="111">
        <v>79983630</v>
      </c>
      <c r="AM38" s="101">
        <f t="shared" si="6"/>
        <v>0</v>
      </c>
    </row>
    <row r="39" spans="1:39" s="112" customFormat="1" ht="89.25">
      <c r="A39" s="261" t="s">
        <v>113</v>
      </c>
      <c r="B39" s="92">
        <f t="shared" si="13"/>
        <v>35844000</v>
      </c>
      <c r="C39" s="260" t="s">
        <v>78</v>
      </c>
      <c r="D39" s="260" t="s">
        <v>101</v>
      </c>
      <c r="E39" s="260" t="s">
        <v>114</v>
      </c>
      <c r="F39" s="260" t="s">
        <v>115</v>
      </c>
      <c r="G39" s="260" t="s">
        <v>116</v>
      </c>
      <c r="H39" s="85">
        <v>178</v>
      </c>
      <c r="I39" s="61">
        <v>173</v>
      </c>
      <c r="J39" s="62">
        <f>36865554-36865554+35844000</f>
        <v>35844000</v>
      </c>
      <c r="K39" s="62">
        <v>332</v>
      </c>
      <c r="L39" s="62">
        <v>35844000</v>
      </c>
      <c r="M39" s="63">
        <v>157</v>
      </c>
      <c r="N39" s="76"/>
      <c r="O39" s="51"/>
      <c r="P39" s="51"/>
      <c r="Q39" s="62">
        <v>4580067</v>
      </c>
      <c r="R39" s="62">
        <v>5974000</v>
      </c>
      <c r="S39" s="62">
        <f>5974000</f>
        <v>5974000</v>
      </c>
      <c r="T39" s="62">
        <v>5974000</v>
      </c>
      <c r="U39" s="62">
        <f>5974000</f>
        <v>5974000</v>
      </c>
      <c r="V39" s="62"/>
      <c r="W39" s="62">
        <f>7367933</f>
        <v>7367933</v>
      </c>
      <c r="X39" s="62"/>
      <c r="Y39" s="79"/>
      <c r="Z39" s="75">
        <f t="shared" si="14"/>
        <v>35844000</v>
      </c>
      <c r="AA39" s="251">
        <f t="shared" si="0"/>
        <v>0</v>
      </c>
      <c r="AC39" s="83" t="s">
        <v>360</v>
      </c>
      <c r="AD39" s="111">
        <f t="shared" si="1"/>
        <v>173</v>
      </c>
      <c r="AE39" s="111">
        <f t="shared" si="2"/>
        <v>35844000</v>
      </c>
      <c r="AF39" s="198">
        <v>42780</v>
      </c>
      <c r="AG39" s="109">
        <f t="shared" si="3"/>
        <v>332</v>
      </c>
      <c r="AH39" s="111">
        <f t="shared" si="4"/>
        <v>35844000</v>
      </c>
      <c r="AI39" s="199">
        <v>42796</v>
      </c>
      <c r="AJ39" s="88" t="s">
        <v>514</v>
      </c>
      <c r="AK39" s="111">
        <f t="shared" si="5"/>
        <v>157</v>
      </c>
      <c r="AL39" s="111">
        <v>52382976</v>
      </c>
      <c r="AM39" s="101">
        <f t="shared" si="6"/>
        <v>0</v>
      </c>
    </row>
    <row r="40" spans="1:39" s="112" customFormat="1" ht="89.25">
      <c r="A40" s="261" t="s">
        <v>113</v>
      </c>
      <c r="B40" s="92">
        <f t="shared" si="13"/>
        <v>66950000</v>
      </c>
      <c r="C40" s="260" t="s">
        <v>78</v>
      </c>
      <c r="D40" s="260" t="s">
        <v>101</v>
      </c>
      <c r="E40" s="260" t="s">
        <v>114</v>
      </c>
      <c r="F40" s="260" t="s">
        <v>115</v>
      </c>
      <c r="G40" s="260" t="s">
        <v>116</v>
      </c>
      <c r="H40" s="85">
        <v>172</v>
      </c>
      <c r="I40" s="61">
        <v>183</v>
      </c>
      <c r="J40" s="62">
        <v>66950000</v>
      </c>
      <c r="K40" s="62">
        <v>322</v>
      </c>
      <c r="L40" s="62">
        <v>66950000</v>
      </c>
      <c r="M40" s="63">
        <v>146</v>
      </c>
      <c r="N40" s="76"/>
      <c r="O40" s="51"/>
      <c r="P40" s="51"/>
      <c r="Q40" s="62">
        <v>7587667</v>
      </c>
      <c r="R40" s="62">
        <v>6695000</v>
      </c>
      <c r="S40" s="62">
        <f>6695000</f>
        <v>6695000</v>
      </c>
      <c r="T40" s="62">
        <v>6695000</v>
      </c>
      <c r="U40" s="62">
        <f>6695000</f>
        <v>6695000</v>
      </c>
      <c r="V40" s="62">
        <f>6695000</f>
        <v>6695000</v>
      </c>
      <c r="W40" s="62">
        <f>6695000</f>
        <v>6695000</v>
      </c>
      <c r="X40" s="62">
        <f>6695000</f>
        <v>6695000</v>
      </c>
      <c r="Y40" s="79">
        <f>6695000+5802333</f>
        <v>12497333</v>
      </c>
      <c r="Z40" s="75">
        <f t="shared" si="14"/>
        <v>66950000</v>
      </c>
      <c r="AA40" s="251">
        <f t="shared" si="0"/>
        <v>0</v>
      </c>
      <c r="AC40" s="83" t="s">
        <v>368</v>
      </c>
      <c r="AD40" s="111">
        <f t="shared" si="1"/>
        <v>183</v>
      </c>
      <c r="AE40" s="111">
        <f t="shared" si="2"/>
        <v>66950000</v>
      </c>
      <c r="AF40" s="198">
        <v>42783</v>
      </c>
      <c r="AG40" s="109">
        <f t="shared" si="3"/>
        <v>322</v>
      </c>
      <c r="AH40" s="111">
        <f t="shared" si="4"/>
        <v>66950000</v>
      </c>
      <c r="AI40" s="199">
        <v>42793</v>
      </c>
      <c r="AJ40" s="88" t="s">
        <v>483</v>
      </c>
      <c r="AK40" s="111">
        <f t="shared" si="5"/>
        <v>146</v>
      </c>
      <c r="AL40" s="111">
        <v>52145276</v>
      </c>
      <c r="AM40" s="101">
        <f t="shared" si="6"/>
        <v>0</v>
      </c>
    </row>
    <row r="41" spans="1:39" s="112" customFormat="1" ht="89.25">
      <c r="A41" s="261" t="s">
        <v>113</v>
      </c>
      <c r="B41" s="92">
        <f t="shared" si="13"/>
        <v>45000000</v>
      </c>
      <c r="C41" s="260" t="s">
        <v>78</v>
      </c>
      <c r="D41" s="260" t="s">
        <v>101</v>
      </c>
      <c r="E41" s="260" t="s">
        <v>114</v>
      </c>
      <c r="F41" s="260" t="s">
        <v>115</v>
      </c>
      <c r="G41" s="260" t="s">
        <v>116</v>
      </c>
      <c r="H41" s="85">
        <v>162</v>
      </c>
      <c r="I41" s="61">
        <v>169</v>
      </c>
      <c r="J41" s="62">
        <v>45000000</v>
      </c>
      <c r="K41" s="62">
        <v>303</v>
      </c>
      <c r="L41" s="62">
        <v>45000000</v>
      </c>
      <c r="M41" s="63">
        <v>140</v>
      </c>
      <c r="N41" s="76"/>
      <c r="O41" s="51"/>
      <c r="P41" s="51"/>
      <c r="Q41" s="62">
        <v>5700000</v>
      </c>
      <c r="R41" s="62">
        <v>4500000</v>
      </c>
      <c r="S41" s="62">
        <f>4500000</f>
        <v>4500000</v>
      </c>
      <c r="T41" s="62">
        <v>4500000</v>
      </c>
      <c r="U41" s="62">
        <f>4500000</f>
        <v>4500000</v>
      </c>
      <c r="V41" s="62">
        <f>4500000</f>
        <v>4500000</v>
      </c>
      <c r="W41" s="62">
        <f>4500000</f>
        <v>4500000</v>
      </c>
      <c r="X41" s="62">
        <f>4500000</f>
        <v>4500000</v>
      </c>
      <c r="Y41" s="79">
        <f>4500000+3300000</f>
        <v>7800000</v>
      </c>
      <c r="Z41" s="75">
        <f t="shared" si="14"/>
        <v>45000000</v>
      </c>
      <c r="AA41" s="251">
        <f t="shared" si="0"/>
        <v>0</v>
      </c>
      <c r="AC41" s="83" t="s">
        <v>369</v>
      </c>
      <c r="AD41" s="111">
        <f t="shared" si="1"/>
        <v>169</v>
      </c>
      <c r="AE41" s="111">
        <f t="shared" si="2"/>
        <v>45000000</v>
      </c>
      <c r="AF41" s="198">
        <v>42780</v>
      </c>
      <c r="AG41" s="109">
        <f t="shared" si="3"/>
        <v>303</v>
      </c>
      <c r="AH41" s="111">
        <f t="shared" si="4"/>
        <v>45000000</v>
      </c>
      <c r="AI41" s="199">
        <v>42789</v>
      </c>
      <c r="AJ41" s="88" t="s">
        <v>468</v>
      </c>
      <c r="AK41" s="111">
        <f t="shared" si="5"/>
        <v>140</v>
      </c>
      <c r="AL41" s="111">
        <v>1072649583</v>
      </c>
      <c r="AM41" s="101">
        <f t="shared" si="6"/>
        <v>0</v>
      </c>
    </row>
    <row r="42" spans="1:39" s="112" customFormat="1" ht="89.25">
      <c r="A42" s="261" t="s">
        <v>113</v>
      </c>
      <c r="B42" s="92">
        <f t="shared" ref="B42:B51" si="15">J42</f>
        <v>50000000</v>
      </c>
      <c r="C42" s="260" t="s">
        <v>78</v>
      </c>
      <c r="D42" s="260" t="s">
        <v>101</v>
      </c>
      <c r="E42" s="260" t="s">
        <v>114</v>
      </c>
      <c r="F42" s="260" t="s">
        <v>115</v>
      </c>
      <c r="G42" s="260" t="s">
        <v>116</v>
      </c>
      <c r="H42" s="85">
        <v>167</v>
      </c>
      <c r="I42" s="61">
        <v>196</v>
      </c>
      <c r="J42" s="62">
        <v>50000000</v>
      </c>
      <c r="K42" s="62">
        <v>327</v>
      </c>
      <c r="L42" s="62">
        <v>50000000</v>
      </c>
      <c r="M42" s="63">
        <v>147</v>
      </c>
      <c r="N42" s="76"/>
      <c r="O42" s="51"/>
      <c r="P42" s="51"/>
      <c r="Q42" s="62">
        <v>5000000</v>
      </c>
      <c r="R42" s="62">
        <v>5000000</v>
      </c>
      <c r="S42" s="62">
        <f>5000000</f>
        <v>5000000</v>
      </c>
      <c r="T42" s="62">
        <v>5000000</v>
      </c>
      <c r="U42" s="62">
        <f>5000000</f>
        <v>5000000</v>
      </c>
      <c r="V42" s="62">
        <f>5000000</f>
        <v>5000000</v>
      </c>
      <c r="W42" s="62">
        <f>5000000</f>
        <v>5000000</v>
      </c>
      <c r="X42" s="62">
        <f>5000000</f>
        <v>5000000</v>
      </c>
      <c r="Y42" s="95">
        <f>5000000+5000000</f>
        <v>10000000</v>
      </c>
      <c r="Z42" s="75">
        <f t="shared" si="14"/>
        <v>50000000</v>
      </c>
      <c r="AA42" s="251">
        <f t="shared" si="0"/>
        <v>0</v>
      </c>
      <c r="AC42" s="83" t="s">
        <v>435</v>
      </c>
      <c r="AD42" s="111">
        <f t="shared" si="1"/>
        <v>196</v>
      </c>
      <c r="AE42" s="110">
        <f t="shared" si="2"/>
        <v>50000000</v>
      </c>
      <c r="AF42" s="198">
        <v>42787</v>
      </c>
      <c r="AG42" s="109">
        <f t="shared" si="3"/>
        <v>327</v>
      </c>
      <c r="AH42" s="111">
        <f t="shared" si="4"/>
        <v>50000000</v>
      </c>
      <c r="AI42" s="199">
        <v>42795</v>
      </c>
      <c r="AJ42" s="88" t="s">
        <v>512</v>
      </c>
      <c r="AK42" s="111">
        <f t="shared" si="5"/>
        <v>147</v>
      </c>
      <c r="AL42" s="111">
        <v>1127572078</v>
      </c>
      <c r="AM42" s="101">
        <f t="shared" si="6"/>
        <v>0</v>
      </c>
    </row>
    <row r="43" spans="1:39" s="112" customFormat="1" ht="89.25">
      <c r="A43" s="261" t="s">
        <v>113</v>
      </c>
      <c r="B43" s="92">
        <f t="shared" si="15"/>
        <v>36500000</v>
      </c>
      <c r="C43" s="260" t="s">
        <v>78</v>
      </c>
      <c r="D43" s="260" t="s">
        <v>101</v>
      </c>
      <c r="E43" s="260" t="s">
        <v>114</v>
      </c>
      <c r="F43" s="260" t="s">
        <v>115</v>
      </c>
      <c r="G43" s="260" t="s">
        <v>116</v>
      </c>
      <c r="H43" s="85">
        <v>165</v>
      </c>
      <c r="I43" s="61">
        <v>225</v>
      </c>
      <c r="J43" s="62">
        <f>68133333-31633333</f>
        <v>36500000</v>
      </c>
      <c r="K43" s="62">
        <v>362</v>
      </c>
      <c r="L43" s="62">
        <f>68133333-31633333</f>
        <v>36500000</v>
      </c>
      <c r="M43" s="63">
        <v>171</v>
      </c>
      <c r="N43" s="76"/>
      <c r="O43" s="51"/>
      <c r="P43" s="51"/>
      <c r="Q43" s="62">
        <v>3893333</v>
      </c>
      <c r="R43" s="62">
        <v>7300000</v>
      </c>
      <c r="S43" s="62">
        <f>7300000</f>
        <v>7300000</v>
      </c>
      <c r="T43" s="62">
        <v>7300000</v>
      </c>
      <c r="U43" s="62">
        <f>7300000</f>
        <v>7300000</v>
      </c>
      <c r="V43" s="62"/>
      <c r="W43" s="62"/>
      <c r="X43" s="62">
        <f>3406667</f>
        <v>3406667</v>
      </c>
      <c r="Y43" s="95"/>
      <c r="Z43" s="75">
        <f t="shared" si="14"/>
        <v>36500000</v>
      </c>
      <c r="AA43" s="251">
        <f t="shared" si="0"/>
        <v>0</v>
      </c>
      <c r="AC43" s="83" t="s">
        <v>504</v>
      </c>
      <c r="AD43" s="111">
        <f t="shared" si="1"/>
        <v>225</v>
      </c>
      <c r="AE43" s="110">
        <f t="shared" si="2"/>
        <v>36500000</v>
      </c>
      <c r="AF43" s="198">
        <v>42804</v>
      </c>
      <c r="AG43" s="109">
        <f t="shared" si="3"/>
        <v>362</v>
      </c>
      <c r="AH43" s="111">
        <f t="shared" si="4"/>
        <v>36500000</v>
      </c>
      <c r="AI43" s="199">
        <v>42809</v>
      </c>
      <c r="AJ43" s="88" t="s">
        <v>538</v>
      </c>
      <c r="AK43" s="111">
        <f t="shared" si="5"/>
        <v>171</v>
      </c>
      <c r="AL43" s="111">
        <v>79800819</v>
      </c>
      <c r="AM43" s="101">
        <f t="shared" si="6"/>
        <v>0</v>
      </c>
    </row>
    <row r="44" spans="1:39" s="112" customFormat="1" ht="89.25">
      <c r="A44" s="261" t="s">
        <v>113</v>
      </c>
      <c r="B44" s="92">
        <f t="shared" si="15"/>
        <v>53300000</v>
      </c>
      <c r="C44" s="260" t="s">
        <v>78</v>
      </c>
      <c r="D44" s="260" t="s">
        <v>101</v>
      </c>
      <c r="E44" s="260" t="s">
        <v>114</v>
      </c>
      <c r="F44" s="260" t="s">
        <v>115</v>
      </c>
      <c r="G44" s="260" t="s">
        <v>116</v>
      </c>
      <c r="H44" s="85">
        <v>170</v>
      </c>
      <c r="I44" s="61" t="s">
        <v>886</v>
      </c>
      <c r="J44" s="62">
        <f>39000000+6500000+7800000</f>
        <v>53300000</v>
      </c>
      <c r="K44" s="62" t="s">
        <v>894</v>
      </c>
      <c r="L44" s="62">
        <f>39000000+6500000+7800000</f>
        <v>53300000</v>
      </c>
      <c r="M44" s="63">
        <v>172</v>
      </c>
      <c r="N44" s="76"/>
      <c r="O44" s="51"/>
      <c r="P44" s="51"/>
      <c r="Q44" s="62">
        <v>3466667</v>
      </c>
      <c r="R44" s="62">
        <v>6500000</v>
      </c>
      <c r="S44" s="62">
        <f>6500000</f>
        <v>6500000</v>
      </c>
      <c r="T44" s="62">
        <v>6500000</v>
      </c>
      <c r="U44" s="62">
        <f>6500000</f>
        <v>6500000</v>
      </c>
      <c r="V44" s="62">
        <f>6500000</f>
        <v>6500000</v>
      </c>
      <c r="W44" s="62">
        <f>3033333</f>
        <v>3033333</v>
      </c>
      <c r="X44" s="62"/>
      <c r="Y44" s="95">
        <f>6500000+7800000</f>
        <v>14300000</v>
      </c>
      <c r="Z44" s="75">
        <f t="shared" si="14"/>
        <v>53300000</v>
      </c>
      <c r="AA44" s="251">
        <f t="shared" si="0"/>
        <v>0</v>
      </c>
      <c r="AC44" s="83" t="s">
        <v>505</v>
      </c>
      <c r="AD44" s="111" t="str">
        <f t="shared" si="1"/>
        <v>224-469 - 586</v>
      </c>
      <c r="AE44" s="110">
        <f t="shared" si="2"/>
        <v>53300000</v>
      </c>
      <c r="AF44" s="102" t="s">
        <v>765</v>
      </c>
      <c r="AG44" s="109" t="str">
        <f t="shared" si="3"/>
        <v>364-784-947</v>
      </c>
      <c r="AH44" s="111">
        <f t="shared" si="4"/>
        <v>53300000</v>
      </c>
      <c r="AI44" s="199">
        <v>42809</v>
      </c>
      <c r="AJ44" s="88" t="s">
        <v>539</v>
      </c>
      <c r="AK44" s="111">
        <f t="shared" si="5"/>
        <v>172</v>
      </c>
      <c r="AL44" s="111">
        <v>52880902</v>
      </c>
      <c r="AM44" s="101">
        <f t="shared" si="6"/>
        <v>0</v>
      </c>
    </row>
    <row r="45" spans="1:39" s="112" customFormat="1" ht="89.25">
      <c r="A45" s="261" t="s">
        <v>113</v>
      </c>
      <c r="B45" s="92">
        <f t="shared" si="15"/>
        <v>67293333</v>
      </c>
      <c r="C45" s="260" t="s">
        <v>78</v>
      </c>
      <c r="D45" s="260" t="s">
        <v>101</v>
      </c>
      <c r="E45" s="260" t="s">
        <v>114</v>
      </c>
      <c r="F45" s="260" t="s">
        <v>115</v>
      </c>
      <c r="G45" s="260" t="s">
        <v>116</v>
      </c>
      <c r="H45" s="85">
        <v>187</v>
      </c>
      <c r="I45" s="61">
        <v>226</v>
      </c>
      <c r="J45" s="62">
        <v>67293333</v>
      </c>
      <c r="K45" s="62">
        <v>378</v>
      </c>
      <c r="L45" s="62">
        <v>67293333</v>
      </c>
      <c r="M45" s="63">
        <v>178</v>
      </c>
      <c r="N45" s="76"/>
      <c r="O45" s="51"/>
      <c r="P45" s="51"/>
      <c r="Q45" s="62">
        <v>2403333</v>
      </c>
      <c r="R45" s="62">
        <v>7210000</v>
      </c>
      <c r="S45" s="62">
        <f>7210000</f>
        <v>7210000</v>
      </c>
      <c r="T45" s="62">
        <v>7210000</v>
      </c>
      <c r="U45" s="62">
        <f>7210000</f>
        <v>7210000</v>
      </c>
      <c r="V45" s="62">
        <f>7210000</f>
        <v>7210000</v>
      </c>
      <c r="W45" s="62">
        <f>7210000</f>
        <v>7210000</v>
      </c>
      <c r="X45" s="62">
        <f>7210000</f>
        <v>7210000</v>
      </c>
      <c r="Y45" s="95">
        <f>7210000+7210000</f>
        <v>14420000</v>
      </c>
      <c r="Z45" s="75">
        <f t="shared" si="14"/>
        <v>67293333</v>
      </c>
      <c r="AA45" s="251">
        <f t="shared" si="0"/>
        <v>0</v>
      </c>
      <c r="AC45" s="83" t="s">
        <v>496</v>
      </c>
      <c r="AD45" s="111">
        <f t="shared" si="1"/>
        <v>226</v>
      </c>
      <c r="AE45" s="110">
        <f t="shared" si="2"/>
        <v>67293333</v>
      </c>
      <c r="AF45" s="198">
        <v>42804</v>
      </c>
      <c r="AG45" s="109">
        <f t="shared" si="3"/>
        <v>378</v>
      </c>
      <c r="AH45" s="111">
        <f t="shared" si="4"/>
        <v>67293333</v>
      </c>
      <c r="AI45" s="199">
        <v>42815</v>
      </c>
      <c r="AJ45" s="88" t="s">
        <v>544</v>
      </c>
      <c r="AK45" s="111">
        <f t="shared" ref="AK45:AK66" si="16">M45</f>
        <v>178</v>
      </c>
      <c r="AL45" s="111">
        <v>41644787</v>
      </c>
      <c r="AM45" s="101">
        <f t="shared" si="6"/>
        <v>0</v>
      </c>
    </row>
    <row r="46" spans="1:39" s="112" customFormat="1" ht="89.25">
      <c r="A46" s="261" t="s">
        <v>113</v>
      </c>
      <c r="B46" s="92">
        <f t="shared" si="15"/>
        <v>43800000</v>
      </c>
      <c r="C46" s="260" t="s">
        <v>78</v>
      </c>
      <c r="D46" s="260" t="s">
        <v>101</v>
      </c>
      <c r="E46" s="260" t="s">
        <v>114</v>
      </c>
      <c r="F46" s="260" t="s">
        <v>115</v>
      </c>
      <c r="G46" s="260" t="s">
        <v>116</v>
      </c>
      <c r="H46" s="85">
        <v>180</v>
      </c>
      <c r="I46" s="61">
        <v>233</v>
      </c>
      <c r="J46" s="62">
        <v>43800000</v>
      </c>
      <c r="K46" s="62">
        <v>440</v>
      </c>
      <c r="L46" s="62">
        <v>43800000</v>
      </c>
      <c r="M46" s="63">
        <v>209</v>
      </c>
      <c r="N46" s="76"/>
      <c r="O46" s="51"/>
      <c r="P46" s="51"/>
      <c r="Q46" s="51"/>
      <c r="R46" s="51"/>
      <c r="S46" s="62">
        <f>9976667</f>
        <v>9976667</v>
      </c>
      <c r="T46" s="62">
        <v>7300000</v>
      </c>
      <c r="U46" s="62">
        <f>5596667</f>
        <v>5596667</v>
      </c>
      <c r="V46" s="62">
        <f>7300000</f>
        <v>7300000</v>
      </c>
      <c r="W46" s="62">
        <f>7300000</f>
        <v>7300000</v>
      </c>
      <c r="X46" s="51"/>
      <c r="Y46" s="78"/>
      <c r="Z46" s="75">
        <f t="shared" si="14"/>
        <v>37473334</v>
      </c>
      <c r="AA46" s="251">
        <f t="shared" si="0"/>
        <v>6326666</v>
      </c>
      <c r="AC46" s="83" t="s">
        <v>527</v>
      </c>
      <c r="AD46" s="111">
        <f t="shared" si="1"/>
        <v>233</v>
      </c>
      <c r="AE46" s="110">
        <f t="shared" si="2"/>
        <v>43800000</v>
      </c>
      <c r="AF46" s="198">
        <v>42815</v>
      </c>
      <c r="AG46" s="109">
        <f t="shared" si="3"/>
        <v>440</v>
      </c>
      <c r="AH46" s="111">
        <f t="shared" si="4"/>
        <v>43800000</v>
      </c>
      <c r="AI46" s="199">
        <v>42845</v>
      </c>
      <c r="AJ46" s="88" t="s">
        <v>592</v>
      </c>
      <c r="AK46" s="111">
        <f t="shared" si="16"/>
        <v>209</v>
      </c>
      <c r="AL46" s="111">
        <v>167712</v>
      </c>
      <c r="AM46" s="101">
        <f t="shared" si="6"/>
        <v>0</v>
      </c>
    </row>
    <row r="47" spans="1:39" s="112" customFormat="1" ht="89.25">
      <c r="A47" s="261" t="s">
        <v>113</v>
      </c>
      <c r="B47" s="92">
        <f t="shared" si="15"/>
        <v>49466666</v>
      </c>
      <c r="C47" s="260" t="s">
        <v>78</v>
      </c>
      <c r="D47" s="260" t="s">
        <v>101</v>
      </c>
      <c r="E47" s="260" t="s">
        <v>114</v>
      </c>
      <c r="F47" s="260" t="s">
        <v>115</v>
      </c>
      <c r="G47" s="260" t="s">
        <v>116</v>
      </c>
      <c r="H47" s="85">
        <v>166</v>
      </c>
      <c r="I47" s="61">
        <v>247</v>
      </c>
      <c r="J47" s="62">
        <f>45933333+3533333</f>
        <v>49466666</v>
      </c>
      <c r="K47" s="62" t="s">
        <v>1221</v>
      </c>
      <c r="L47" s="62">
        <f>45933333+3533333</f>
        <v>49466666</v>
      </c>
      <c r="M47" s="63">
        <v>200</v>
      </c>
      <c r="N47" s="76"/>
      <c r="O47" s="51"/>
      <c r="P47" s="51"/>
      <c r="Q47" s="51"/>
      <c r="R47" s="62">
        <v>4770000</v>
      </c>
      <c r="S47" s="62">
        <f>5300000</f>
        <v>5300000</v>
      </c>
      <c r="T47" s="62">
        <v>5300000</v>
      </c>
      <c r="U47" s="62">
        <f>5300000</f>
        <v>5300000</v>
      </c>
      <c r="V47" s="62">
        <f>5300000</f>
        <v>5300000</v>
      </c>
      <c r="W47" s="62">
        <f>5300000</f>
        <v>5300000</v>
      </c>
      <c r="X47" s="62">
        <f>5300000</f>
        <v>5300000</v>
      </c>
      <c r="Y47" s="95">
        <f>5300000+4063333+1413333</f>
        <v>10776666</v>
      </c>
      <c r="Z47" s="75">
        <f t="shared" si="14"/>
        <v>47346666</v>
      </c>
      <c r="AA47" s="251">
        <f t="shared" si="0"/>
        <v>2120000</v>
      </c>
      <c r="AC47" s="83" t="s">
        <v>547</v>
      </c>
      <c r="AD47" s="111">
        <f t="shared" si="1"/>
        <v>247</v>
      </c>
      <c r="AE47" s="110">
        <f t="shared" si="2"/>
        <v>49466666</v>
      </c>
      <c r="AF47" s="198">
        <v>42815</v>
      </c>
      <c r="AG47" s="109" t="str">
        <f t="shared" si="3"/>
        <v>413 - 1082</v>
      </c>
      <c r="AH47" s="111">
        <f t="shared" si="4"/>
        <v>49466666</v>
      </c>
      <c r="AI47" s="199">
        <v>42829</v>
      </c>
      <c r="AJ47" s="88" t="s">
        <v>591</v>
      </c>
      <c r="AK47" s="111">
        <f t="shared" si="16"/>
        <v>200</v>
      </c>
      <c r="AL47" s="111">
        <v>52284866</v>
      </c>
      <c r="AM47" s="101">
        <f t="shared" si="6"/>
        <v>0</v>
      </c>
    </row>
    <row r="48" spans="1:39" s="112" customFormat="1" ht="89.25">
      <c r="A48" s="261" t="s">
        <v>113</v>
      </c>
      <c r="B48" s="92">
        <f t="shared" si="15"/>
        <v>31350000</v>
      </c>
      <c r="C48" s="260" t="s">
        <v>78</v>
      </c>
      <c r="D48" s="260" t="s">
        <v>101</v>
      </c>
      <c r="E48" s="260" t="s">
        <v>114</v>
      </c>
      <c r="F48" s="260" t="s">
        <v>115</v>
      </c>
      <c r="G48" s="260" t="s">
        <v>116</v>
      </c>
      <c r="H48" s="85">
        <v>168</v>
      </c>
      <c r="I48" s="61" t="s">
        <v>747</v>
      </c>
      <c r="J48" s="62">
        <f>23175000-75000+8250000</f>
        <v>31350000</v>
      </c>
      <c r="K48" s="62" t="s">
        <v>746</v>
      </c>
      <c r="L48" s="62">
        <f>23100000+8250000</f>
        <v>31350000</v>
      </c>
      <c r="M48" s="63">
        <v>214</v>
      </c>
      <c r="N48" s="76"/>
      <c r="O48" s="51"/>
      <c r="P48" s="51"/>
      <c r="Q48" s="51"/>
      <c r="R48" s="51"/>
      <c r="S48" s="62">
        <f>4950000</f>
        <v>4950000</v>
      </c>
      <c r="T48" s="62">
        <v>5500000</v>
      </c>
      <c r="U48" s="62">
        <f>5500000</f>
        <v>5500000</v>
      </c>
      <c r="V48" s="62">
        <f>5500000</f>
        <v>5500000</v>
      </c>
      <c r="W48" s="62">
        <f>1650000+3850000</f>
        <v>5500000</v>
      </c>
      <c r="X48" s="51"/>
      <c r="Y48" s="95">
        <f>4400000</f>
        <v>4400000</v>
      </c>
      <c r="Z48" s="75">
        <f t="shared" si="14"/>
        <v>31350000</v>
      </c>
      <c r="AA48" s="251">
        <f t="shared" ref="AA48:AA66" si="17">L48-Z48</f>
        <v>0</v>
      </c>
      <c r="AC48" s="83" t="s">
        <v>579</v>
      </c>
      <c r="AD48" s="111" t="str">
        <f t="shared" ref="AD48:AD66" si="18">I48</f>
        <v>271 - 460</v>
      </c>
      <c r="AE48" s="110">
        <f t="shared" ref="AE48:AE66" si="19">J48</f>
        <v>31350000</v>
      </c>
      <c r="AF48" s="198">
        <v>42836</v>
      </c>
      <c r="AG48" s="109" t="str">
        <f t="shared" ref="AG48:AG66" si="20">K48</f>
        <v>457 - 755</v>
      </c>
      <c r="AH48" s="111">
        <f t="shared" ref="AH48:AH66" si="21">L48</f>
        <v>31350000</v>
      </c>
      <c r="AI48" s="199">
        <v>42858</v>
      </c>
      <c r="AJ48" s="88" t="s">
        <v>607</v>
      </c>
      <c r="AK48" s="111">
        <f t="shared" si="16"/>
        <v>214</v>
      </c>
      <c r="AL48" s="111">
        <v>1026256902</v>
      </c>
      <c r="AM48" s="101">
        <f t="shared" ref="AM48:AM66" si="22">AE48-AH48</f>
        <v>0</v>
      </c>
    </row>
    <row r="49" spans="1:39" s="112" customFormat="1" ht="89.25">
      <c r="A49" s="261" t="s">
        <v>113</v>
      </c>
      <c r="B49" s="92">
        <f t="shared" si="15"/>
        <v>50050000</v>
      </c>
      <c r="C49" s="260" t="s">
        <v>78</v>
      </c>
      <c r="D49" s="260" t="s">
        <v>101</v>
      </c>
      <c r="E49" s="260" t="s">
        <v>114</v>
      </c>
      <c r="F49" s="260" t="s">
        <v>115</v>
      </c>
      <c r="G49" s="260" t="s">
        <v>116</v>
      </c>
      <c r="H49" s="85">
        <v>181</v>
      </c>
      <c r="I49" s="61" t="s">
        <v>865</v>
      </c>
      <c r="J49" s="62">
        <f>39000000+11050000</f>
        <v>50050000</v>
      </c>
      <c r="K49" s="62" t="s">
        <v>895</v>
      </c>
      <c r="L49" s="62">
        <f>39000000+11050000</f>
        <v>50050000</v>
      </c>
      <c r="M49" s="63">
        <v>217</v>
      </c>
      <c r="N49" s="76"/>
      <c r="O49" s="51"/>
      <c r="P49" s="51"/>
      <c r="Q49" s="51"/>
      <c r="R49" s="51"/>
      <c r="S49" s="62">
        <f>4550000</f>
        <v>4550000</v>
      </c>
      <c r="T49" s="62">
        <v>6500000</v>
      </c>
      <c r="U49" s="62">
        <f>6500000</f>
        <v>6500000</v>
      </c>
      <c r="V49" s="62">
        <f>6500000</f>
        <v>6500000</v>
      </c>
      <c r="W49" s="62">
        <f>6500000</f>
        <v>6500000</v>
      </c>
      <c r="X49" s="62">
        <f>6500000</f>
        <v>6500000</v>
      </c>
      <c r="Y49" s="95">
        <f>1950000+4550000+6500000</f>
        <v>13000000</v>
      </c>
      <c r="Z49" s="75">
        <f t="shared" si="14"/>
        <v>50050000</v>
      </c>
      <c r="AA49" s="251">
        <f t="shared" si="17"/>
        <v>0</v>
      </c>
      <c r="AC49" s="83" t="s">
        <v>580</v>
      </c>
      <c r="AD49" s="111" t="str">
        <f t="shared" si="18"/>
        <v>272 - 585</v>
      </c>
      <c r="AE49" s="110">
        <f t="shared" si="19"/>
        <v>50050000</v>
      </c>
      <c r="AF49" s="102" t="s">
        <v>866</v>
      </c>
      <c r="AG49" s="109" t="str">
        <f t="shared" si="20"/>
        <v>476 - 920</v>
      </c>
      <c r="AH49" s="111">
        <f t="shared" si="21"/>
        <v>50050000</v>
      </c>
      <c r="AI49" s="199">
        <v>42863</v>
      </c>
      <c r="AJ49" s="88" t="s">
        <v>608</v>
      </c>
      <c r="AK49" s="111">
        <f t="shared" si="16"/>
        <v>217</v>
      </c>
      <c r="AL49" s="111">
        <v>52517597</v>
      </c>
      <c r="AM49" s="101">
        <f t="shared" si="22"/>
        <v>0</v>
      </c>
    </row>
    <row r="50" spans="1:39" s="112" customFormat="1" ht="99" customHeight="1">
      <c r="A50" s="261" t="s">
        <v>113</v>
      </c>
      <c r="B50" s="92">
        <f t="shared" si="15"/>
        <v>29633334</v>
      </c>
      <c r="C50" s="260" t="s">
        <v>78</v>
      </c>
      <c r="D50" s="260" t="s">
        <v>101</v>
      </c>
      <c r="E50" s="260" t="s">
        <v>114</v>
      </c>
      <c r="F50" s="260" t="s">
        <v>115</v>
      </c>
      <c r="G50" s="260" t="s">
        <v>116</v>
      </c>
      <c r="H50" s="85">
        <v>158</v>
      </c>
      <c r="I50" s="61">
        <v>275</v>
      </c>
      <c r="J50" s="62">
        <f>58333333-28699999</f>
        <v>29633334</v>
      </c>
      <c r="K50" s="62">
        <v>453</v>
      </c>
      <c r="L50" s="62">
        <f>56000000-26366666</f>
        <v>29633334</v>
      </c>
      <c r="M50" s="63">
        <v>211</v>
      </c>
      <c r="N50" s="76"/>
      <c r="O50" s="51"/>
      <c r="P50" s="51"/>
      <c r="Q50" s="51"/>
      <c r="R50" s="51"/>
      <c r="S50" s="62">
        <f>6766667</f>
        <v>6766667</v>
      </c>
      <c r="T50" s="62">
        <v>7000000</v>
      </c>
      <c r="U50" s="62">
        <f>7000000</f>
        <v>7000000</v>
      </c>
      <c r="V50" s="62">
        <f>7000000</f>
        <v>7000000</v>
      </c>
      <c r="W50" s="51"/>
      <c r="X50" s="62">
        <f>1866667</f>
        <v>1866667</v>
      </c>
      <c r="Y50" s="78"/>
      <c r="Z50" s="75">
        <f t="shared" si="14"/>
        <v>29633334</v>
      </c>
      <c r="AA50" s="251">
        <f t="shared" si="17"/>
        <v>0</v>
      </c>
      <c r="AC50" s="83" t="s">
        <v>582</v>
      </c>
      <c r="AD50" s="111">
        <f t="shared" si="18"/>
        <v>275</v>
      </c>
      <c r="AE50" s="110">
        <f t="shared" si="19"/>
        <v>29633334</v>
      </c>
      <c r="AF50" s="198">
        <v>42837</v>
      </c>
      <c r="AG50" s="109">
        <f t="shared" si="20"/>
        <v>453</v>
      </c>
      <c r="AH50" s="111">
        <f t="shared" si="21"/>
        <v>29633334</v>
      </c>
      <c r="AI50" s="199">
        <v>42853</v>
      </c>
      <c r="AJ50" s="88" t="s">
        <v>601</v>
      </c>
      <c r="AK50" s="111">
        <f t="shared" si="16"/>
        <v>211</v>
      </c>
      <c r="AL50" s="111">
        <v>80038477</v>
      </c>
      <c r="AM50" s="101">
        <f t="shared" si="22"/>
        <v>0</v>
      </c>
    </row>
    <row r="51" spans="1:39" s="112" customFormat="1" ht="89.25">
      <c r="A51" s="261" t="s">
        <v>113</v>
      </c>
      <c r="B51" s="92">
        <f t="shared" si="15"/>
        <v>37333333</v>
      </c>
      <c r="C51" s="260" t="s">
        <v>78</v>
      </c>
      <c r="D51" s="260" t="s">
        <v>101</v>
      </c>
      <c r="E51" s="260" t="s">
        <v>114</v>
      </c>
      <c r="F51" s="260" t="s">
        <v>115</v>
      </c>
      <c r="G51" s="260" t="s">
        <v>116</v>
      </c>
      <c r="H51" s="85">
        <v>332</v>
      </c>
      <c r="I51" s="61">
        <v>305</v>
      </c>
      <c r="J51" s="62">
        <f>37500000-166667</f>
        <v>37333333</v>
      </c>
      <c r="K51" s="62">
        <v>494</v>
      </c>
      <c r="L51" s="62">
        <f>37500000-166667</f>
        <v>37333333</v>
      </c>
      <c r="M51" s="63">
        <v>226</v>
      </c>
      <c r="N51" s="76"/>
      <c r="O51" s="51"/>
      <c r="P51" s="51"/>
      <c r="Q51" s="51"/>
      <c r="R51" s="51"/>
      <c r="S51" s="51"/>
      <c r="T51" s="62">
        <v>7333333</v>
      </c>
      <c r="U51" s="62">
        <f>5000000</f>
        <v>5000000</v>
      </c>
      <c r="V51" s="62">
        <f>5000000</f>
        <v>5000000</v>
      </c>
      <c r="W51" s="62">
        <f>5000000</f>
        <v>5000000</v>
      </c>
      <c r="X51" s="62">
        <f>5000000</f>
        <v>5000000</v>
      </c>
      <c r="Y51" s="95">
        <f>5000000+5000000</f>
        <v>10000000</v>
      </c>
      <c r="Z51" s="75">
        <f t="shared" si="14"/>
        <v>37333333</v>
      </c>
      <c r="AA51" s="251">
        <f t="shared" si="17"/>
        <v>0</v>
      </c>
      <c r="AC51" s="83" t="s">
        <v>612</v>
      </c>
      <c r="AD51" s="111">
        <f t="shared" si="18"/>
        <v>305</v>
      </c>
      <c r="AE51" s="110">
        <f t="shared" si="19"/>
        <v>37333333</v>
      </c>
      <c r="AF51" s="198">
        <v>42865</v>
      </c>
      <c r="AG51" s="109">
        <f t="shared" si="20"/>
        <v>494</v>
      </c>
      <c r="AH51" s="111">
        <f t="shared" si="21"/>
        <v>37333333</v>
      </c>
      <c r="AI51" s="199">
        <v>42872</v>
      </c>
      <c r="AJ51" s="88" t="s">
        <v>618</v>
      </c>
      <c r="AK51" s="111">
        <f t="shared" si="16"/>
        <v>226</v>
      </c>
      <c r="AL51" s="111">
        <v>53121609</v>
      </c>
      <c r="AM51" s="101">
        <f t="shared" si="22"/>
        <v>0</v>
      </c>
    </row>
    <row r="52" spans="1:39" s="112" customFormat="1" ht="89.25">
      <c r="A52" s="261" t="s">
        <v>113</v>
      </c>
      <c r="B52" s="92">
        <f t="shared" ref="B52:B66" si="23">J52</f>
        <v>8400000</v>
      </c>
      <c r="C52" s="260" t="s">
        <v>78</v>
      </c>
      <c r="D52" s="260" t="s">
        <v>101</v>
      </c>
      <c r="E52" s="260" t="s">
        <v>114</v>
      </c>
      <c r="F52" s="260" t="s">
        <v>115</v>
      </c>
      <c r="G52" s="260" t="s">
        <v>116</v>
      </c>
      <c r="H52" s="85">
        <v>333</v>
      </c>
      <c r="I52" s="61">
        <v>306</v>
      </c>
      <c r="J52" s="62">
        <f>26250000-17850000</f>
        <v>8400000</v>
      </c>
      <c r="K52" s="62">
        <v>502</v>
      </c>
      <c r="L52" s="62">
        <f>25666667-17266667</f>
        <v>8400000</v>
      </c>
      <c r="M52" s="63">
        <v>230</v>
      </c>
      <c r="N52" s="76"/>
      <c r="O52" s="51"/>
      <c r="P52" s="51"/>
      <c r="Q52" s="51"/>
      <c r="R52" s="51"/>
      <c r="S52" s="51"/>
      <c r="T52" s="62">
        <f>4900000</f>
        <v>4900000</v>
      </c>
      <c r="U52" s="51"/>
      <c r="V52" s="51"/>
      <c r="W52" s="62">
        <f>3500000</f>
        <v>3500000</v>
      </c>
      <c r="X52" s="51"/>
      <c r="Y52" s="78"/>
      <c r="Z52" s="75">
        <f t="shared" si="14"/>
        <v>8400000</v>
      </c>
      <c r="AA52" s="251">
        <f t="shared" si="17"/>
        <v>0</v>
      </c>
      <c r="AC52" s="83" t="s">
        <v>613</v>
      </c>
      <c r="AD52" s="111">
        <f t="shared" si="18"/>
        <v>306</v>
      </c>
      <c r="AE52" s="110">
        <f t="shared" si="19"/>
        <v>8400000</v>
      </c>
      <c r="AF52" s="198">
        <v>42865</v>
      </c>
      <c r="AG52" s="109">
        <f t="shared" si="20"/>
        <v>502</v>
      </c>
      <c r="AH52" s="111">
        <f t="shared" si="21"/>
        <v>8400000</v>
      </c>
      <c r="AI52" s="199">
        <v>42874</v>
      </c>
      <c r="AJ52" s="88" t="s">
        <v>632</v>
      </c>
      <c r="AK52" s="111">
        <f t="shared" si="16"/>
        <v>230</v>
      </c>
      <c r="AL52" s="111">
        <v>1019018895</v>
      </c>
      <c r="AM52" s="101">
        <f t="shared" si="22"/>
        <v>0</v>
      </c>
    </row>
    <row r="53" spans="1:39" s="112" customFormat="1" ht="89.25">
      <c r="A53" s="261" t="s">
        <v>113</v>
      </c>
      <c r="B53" s="92">
        <f t="shared" si="23"/>
        <v>24060800</v>
      </c>
      <c r="C53" s="260" t="s">
        <v>78</v>
      </c>
      <c r="D53" s="260" t="s">
        <v>101</v>
      </c>
      <c r="E53" s="260" t="s">
        <v>114</v>
      </c>
      <c r="F53" s="260" t="s">
        <v>115</v>
      </c>
      <c r="G53" s="260" t="s">
        <v>116</v>
      </c>
      <c r="H53" s="85">
        <v>334</v>
      </c>
      <c r="I53" s="61" t="s">
        <v>780</v>
      </c>
      <c r="J53" s="62">
        <f>19776000+4284800</f>
        <v>24060800</v>
      </c>
      <c r="K53" s="62" t="s">
        <v>808</v>
      </c>
      <c r="L53" s="62">
        <f>19776000+4284800</f>
        <v>24060800</v>
      </c>
      <c r="M53" s="63">
        <v>232</v>
      </c>
      <c r="N53" s="76"/>
      <c r="O53" s="51"/>
      <c r="P53" s="51"/>
      <c r="Q53" s="51"/>
      <c r="R53" s="51"/>
      <c r="S53" s="51"/>
      <c r="T53" s="62">
        <v>4284800</v>
      </c>
      <c r="U53" s="62">
        <f t="shared" ref="U53:V55" si="24">3296000</f>
        <v>3296000</v>
      </c>
      <c r="V53" s="62">
        <f t="shared" si="24"/>
        <v>3296000</v>
      </c>
      <c r="W53" s="62">
        <f t="shared" ref="W53:X55" si="25">3296000</f>
        <v>3296000</v>
      </c>
      <c r="X53" s="62">
        <f t="shared" si="25"/>
        <v>3296000</v>
      </c>
      <c r="Y53" s="95">
        <f>2307200+988800+3296000</f>
        <v>6592000</v>
      </c>
      <c r="Z53" s="75">
        <f t="shared" si="14"/>
        <v>24060800</v>
      </c>
      <c r="AA53" s="251">
        <f t="shared" si="17"/>
        <v>0</v>
      </c>
      <c r="AC53" s="83" t="s">
        <v>614</v>
      </c>
      <c r="AD53" s="111" t="str">
        <f t="shared" si="18"/>
        <v>307 - 495</v>
      </c>
      <c r="AE53" s="110">
        <f t="shared" si="19"/>
        <v>24060800</v>
      </c>
      <c r="AF53" s="198">
        <v>42865</v>
      </c>
      <c r="AG53" s="109" t="str">
        <f t="shared" si="20"/>
        <v>506 - 821</v>
      </c>
      <c r="AH53" s="111">
        <f t="shared" si="21"/>
        <v>24060800</v>
      </c>
      <c r="AI53" s="199">
        <v>42877</v>
      </c>
      <c r="AJ53" s="88" t="s">
        <v>633</v>
      </c>
      <c r="AK53" s="111">
        <f t="shared" si="16"/>
        <v>232</v>
      </c>
      <c r="AL53" s="111">
        <v>1022358648</v>
      </c>
      <c r="AM53" s="101">
        <f t="shared" si="22"/>
        <v>0</v>
      </c>
    </row>
    <row r="54" spans="1:39" s="112" customFormat="1" ht="89.25">
      <c r="A54" s="261" t="s">
        <v>113</v>
      </c>
      <c r="B54" s="92">
        <f t="shared" si="23"/>
        <v>24060800</v>
      </c>
      <c r="C54" s="260" t="s">
        <v>78</v>
      </c>
      <c r="D54" s="260" t="s">
        <v>101</v>
      </c>
      <c r="E54" s="260" t="s">
        <v>114</v>
      </c>
      <c r="F54" s="260" t="s">
        <v>115</v>
      </c>
      <c r="G54" s="260" t="s">
        <v>116</v>
      </c>
      <c r="H54" s="85">
        <v>335</v>
      </c>
      <c r="I54" s="61" t="s">
        <v>779</v>
      </c>
      <c r="J54" s="62">
        <f>19776000+4284800</f>
        <v>24060800</v>
      </c>
      <c r="K54" s="62" t="s">
        <v>807</v>
      </c>
      <c r="L54" s="62">
        <f>19776000+4284800</f>
        <v>24060800</v>
      </c>
      <c r="M54" s="63">
        <v>231</v>
      </c>
      <c r="N54" s="76"/>
      <c r="O54" s="51"/>
      <c r="P54" s="51"/>
      <c r="Q54" s="51"/>
      <c r="R54" s="51"/>
      <c r="S54" s="51"/>
      <c r="T54" s="62">
        <v>4284800</v>
      </c>
      <c r="U54" s="62">
        <f t="shared" si="24"/>
        <v>3296000</v>
      </c>
      <c r="V54" s="62">
        <f t="shared" si="24"/>
        <v>3296000</v>
      </c>
      <c r="W54" s="62">
        <f t="shared" si="25"/>
        <v>3296000</v>
      </c>
      <c r="X54" s="62">
        <f t="shared" si="25"/>
        <v>3296000</v>
      </c>
      <c r="Y54" s="95">
        <f>2307200+988800+3296000</f>
        <v>6592000</v>
      </c>
      <c r="Z54" s="75">
        <f t="shared" si="14"/>
        <v>24060800</v>
      </c>
      <c r="AA54" s="251">
        <f t="shared" si="17"/>
        <v>0</v>
      </c>
      <c r="AC54" s="83" t="s">
        <v>614</v>
      </c>
      <c r="AD54" s="111" t="str">
        <f t="shared" si="18"/>
        <v>308 - 494</v>
      </c>
      <c r="AE54" s="110">
        <f t="shared" si="19"/>
        <v>24060800</v>
      </c>
      <c r="AF54" s="198">
        <v>42865</v>
      </c>
      <c r="AG54" s="109" t="str">
        <f t="shared" si="20"/>
        <v>507 - 820</v>
      </c>
      <c r="AH54" s="111">
        <f t="shared" si="21"/>
        <v>24060800</v>
      </c>
      <c r="AI54" s="199">
        <v>42877</v>
      </c>
      <c r="AJ54" s="88" t="s">
        <v>634</v>
      </c>
      <c r="AK54" s="111">
        <f t="shared" si="16"/>
        <v>231</v>
      </c>
      <c r="AL54" s="111">
        <v>1015395116</v>
      </c>
      <c r="AM54" s="101">
        <f t="shared" si="22"/>
        <v>0</v>
      </c>
    </row>
    <row r="55" spans="1:39" s="112" customFormat="1" ht="89.25">
      <c r="A55" s="261" t="s">
        <v>113</v>
      </c>
      <c r="B55" s="92">
        <f t="shared" si="23"/>
        <v>23072000</v>
      </c>
      <c r="C55" s="260" t="s">
        <v>78</v>
      </c>
      <c r="D55" s="260" t="s">
        <v>101</v>
      </c>
      <c r="E55" s="260" t="s">
        <v>114</v>
      </c>
      <c r="F55" s="260" t="s">
        <v>115</v>
      </c>
      <c r="G55" s="260" t="s">
        <v>116</v>
      </c>
      <c r="H55" s="85">
        <v>191</v>
      </c>
      <c r="I55" s="61" t="s">
        <v>773</v>
      </c>
      <c r="J55" s="62">
        <f>19776000+3296000</f>
        <v>23072000</v>
      </c>
      <c r="K55" s="62" t="s">
        <v>809</v>
      </c>
      <c r="L55" s="62">
        <f>19776000+3296000</f>
        <v>23072000</v>
      </c>
      <c r="M55" s="63">
        <v>241</v>
      </c>
      <c r="N55" s="76"/>
      <c r="O55" s="51"/>
      <c r="P55" s="51"/>
      <c r="Q55" s="51"/>
      <c r="R55" s="51"/>
      <c r="S55" s="51"/>
      <c r="T55" s="62">
        <v>3296000</v>
      </c>
      <c r="U55" s="62">
        <f t="shared" si="24"/>
        <v>3296000</v>
      </c>
      <c r="V55" s="62">
        <f t="shared" si="24"/>
        <v>3296000</v>
      </c>
      <c r="W55" s="62">
        <f t="shared" si="25"/>
        <v>3296000</v>
      </c>
      <c r="X55" s="62">
        <f t="shared" si="25"/>
        <v>3296000</v>
      </c>
      <c r="Y55" s="95">
        <f>3296000+3296000</f>
        <v>6592000</v>
      </c>
      <c r="Z55" s="75">
        <f t="shared" si="14"/>
        <v>23072000</v>
      </c>
      <c r="AA55" s="251">
        <f t="shared" si="17"/>
        <v>0</v>
      </c>
      <c r="AC55" s="83" t="s">
        <v>614</v>
      </c>
      <c r="AD55" s="111" t="str">
        <f t="shared" si="18"/>
        <v>324 - 483</v>
      </c>
      <c r="AE55" s="110">
        <f t="shared" si="19"/>
        <v>23072000</v>
      </c>
      <c r="AF55" s="198">
        <v>42999</v>
      </c>
      <c r="AG55" s="109" t="str">
        <f t="shared" si="20"/>
        <v>538 - 822</v>
      </c>
      <c r="AH55" s="111">
        <f t="shared" si="21"/>
        <v>23072000</v>
      </c>
      <c r="AI55" s="199">
        <v>42887</v>
      </c>
      <c r="AJ55" s="88" t="s">
        <v>656</v>
      </c>
      <c r="AK55" s="111">
        <f t="shared" si="16"/>
        <v>241</v>
      </c>
      <c r="AL55" s="111"/>
      <c r="AM55" s="101">
        <f t="shared" si="22"/>
        <v>0</v>
      </c>
    </row>
    <row r="56" spans="1:39" s="112" customFormat="1" ht="89.25">
      <c r="A56" s="261" t="s">
        <v>113</v>
      </c>
      <c r="B56" s="92">
        <f t="shared" si="23"/>
        <v>16552784</v>
      </c>
      <c r="C56" s="260" t="s">
        <v>78</v>
      </c>
      <c r="D56" s="260" t="s">
        <v>101</v>
      </c>
      <c r="E56" s="260" t="s">
        <v>114</v>
      </c>
      <c r="F56" s="260" t="s">
        <v>115</v>
      </c>
      <c r="G56" s="260" t="s">
        <v>116</v>
      </c>
      <c r="H56" s="85">
        <v>322</v>
      </c>
      <c r="I56" s="61" t="s">
        <v>957</v>
      </c>
      <c r="J56" s="62">
        <f>15179409+1445658-72283</f>
        <v>16552784</v>
      </c>
      <c r="K56" s="62" t="s">
        <v>1134</v>
      </c>
      <c r="L56" s="62">
        <f>15179409+1445658-72283</f>
        <v>16552784</v>
      </c>
      <c r="M56" s="63">
        <v>243</v>
      </c>
      <c r="N56" s="76"/>
      <c r="O56" s="51"/>
      <c r="P56" s="51"/>
      <c r="Q56" s="51"/>
      <c r="R56" s="51"/>
      <c r="S56" s="51"/>
      <c r="T56" s="62">
        <v>2096204</v>
      </c>
      <c r="U56" s="62">
        <f>2168487</f>
        <v>2168487</v>
      </c>
      <c r="V56" s="62">
        <f>2168487</f>
        <v>2168487</v>
      </c>
      <c r="W56" s="62">
        <f>2168487</f>
        <v>2168487</v>
      </c>
      <c r="X56" s="62">
        <f>2168487</f>
        <v>2168487</v>
      </c>
      <c r="Y56" s="95">
        <f>2168487+2168487</f>
        <v>4336974</v>
      </c>
      <c r="Z56" s="75">
        <f t="shared" si="14"/>
        <v>15107126</v>
      </c>
      <c r="AA56" s="251">
        <f>L56-Z56</f>
        <v>1445658</v>
      </c>
      <c r="AC56" s="83" t="s">
        <v>657</v>
      </c>
      <c r="AD56" s="111" t="str">
        <f t="shared" si="18"/>
        <v>337 - 687</v>
      </c>
      <c r="AE56" s="110">
        <f t="shared" si="19"/>
        <v>16552784</v>
      </c>
      <c r="AF56" s="198">
        <v>42881</v>
      </c>
      <c r="AG56" s="109" t="str">
        <f t="shared" si="20"/>
        <v>543 - 1061</v>
      </c>
      <c r="AH56" s="111">
        <f t="shared" si="21"/>
        <v>16552784</v>
      </c>
      <c r="AI56" s="199">
        <v>42888</v>
      </c>
      <c r="AJ56" s="88" t="s">
        <v>658</v>
      </c>
      <c r="AK56" s="111">
        <f t="shared" si="16"/>
        <v>243</v>
      </c>
      <c r="AL56" s="111"/>
      <c r="AM56" s="101">
        <f t="shared" si="22"/>
        <v>0</v>
      </c>
    </row>
    <row r="57" spans="1:39" s="112" customFormat="1" ht="89.25">
      <c r="A57" s="261" t="s">
        <v>113</v>
      </c>
      <c r="B57" s="92">
        <f t="shared" si="23"/>
        <v>30000000</v>
      </c>
      <c r="C57" s="260" t="s">
        <v>78</v>
      </c>
      <c r="D57" s="260" t="s">
        <v>101</v>
      </c>
      <c r="E57" s="260" t="s">
        <v>114</v>
      </c>
      <c r="F57" s="260" t="s">
        <v>115</v>
      </c>
      <c r="G57" s="260" t="s">
        <v>116</v>
      </c>
      <c r="H57" s="85">
        <v>184</v>
      </c>
      <c r="I57" s="61">
        <v>347</v>
      </c>
      <c r="J57" s="62">
        <f>30000000</f>
        <v>30000000</v>
      </c>
      <c r="K57" s="62">
        <v>575</v>
      </c>
      <c r="L57" s="62">
        <f>30000000</f>
        <v>30000000</v>
      </c>
      <c r="M57" s="63">
        <v>248</v>
      </c>
      <c r="N57" s="76"/>
      <c r="O57" s="51"/>
      <c r="P57" s="51"/>
      <c r="Q57" s="51"/>
      <c r="R57" s="51"/>
      <c r="S57" s="51"/>
      <c r="T57" s="51"/>
      <c r="U57" s="62">
        <f>6833333</f>
        <v>6833333</v>
      </c>
      <c r="V57" s="51"/>
      <c r="W57" s="62">
        <f>5000000</f>
        <v>5000000</v>
      </c>
      <c r="X57" s="62">
        <f>5000000</f>
        <v>5000000</v>
      </c>
      <c r="Y57" s="95">
        <f>5000000+5000000+3166667</f>
        <v>13166667</v>
      </c>
      <c r="Z57" s="75">
        <f t="shared" si="14"/>
        <v>30000000</v>
      </c>
      <c r="AA57" s="251">
        <f t="shared" si="17"/>
        <v>0</v>
      </c>
      <c r="AC57" s="83" t="s">
        <v>666</v>
      </c>
      <c r="AD57" s="111">
        <f t="shared" si="18"/>
        <v>347</v>
      </c>
      <c r="AE57" s="110">
        <f t="shared" si="19"/>
        <v>30000000</v>
      </c>
      <c r="AF57" s="198">
        <v>42893</v>
      </c>
      <c r="AG57" s="109">
        <f t="shared" si="20"/>
        <v>575</v>
      </c>
      <c r="AH57" s="111">
        <f t="shared" si="21"/>
        <v>30000000</v>
      </c>
      <c r="AI57" s="199">
        <v>42906</v>
      </c>
      <c r="AJ57" s="88" t="s">
        <v>667</v>
      </c>
      <c r="AK57" s="111">
        <f t="shared" si="16"/>
        <v>248</v>
      </c>
      <c r="AL57" s="111"/>
      <c r="AM57" s="101">
        <f t="shared" si="22"/>
        <v>0</v>
      </c>
    </row>
    <row r="58" spans="1:39" s="112" customFormat="1" ht="89.25">
      <c r="A58" s="261" t="s">
        <v>113</v>
      </c>
      <c r="B58" s="92">
        <f t="shared" si="23"/>
        <v>30000000</v>
      </c>
      <c r="C58" s="260" t="s">
        <v>78</v>
      </c>
      <c r="D58" s="260" t="s">
        <v>101</v>
      </c>
      <c r="E58" s="260" t="s">
        <v>114</v>
      </c>
      <c r="F58" s="260" t="s">
        <v>115</v>
      </c>
      <c r="G58" s="260" t="s">
        <v>116</v>
      </c>
      <c r="H58" s="85">
        <v>182</v>
      </c>
      <c r="I58" s="61">
        <v>351</v>
      </c>
      <c r="J58" s="62">
        <f>30000000</f>
        <v>30000000</v>
      </c>
      <c r="K58" s="62">
        <v>598</v>
      </c>
      <c r="L58" s="62">
        <f>30000000</f>
        <v>30000000</v>
      </c>
      <c r="M58" s="63">
        <v>254</v>
      </c>
      <c r="N58" s="76"/>
      <c r="O58" s="51"/>
      <c r="P58" s="51"/>
      <c r="Q58" s="51"/>
      <c r="R58" s="51"/>
      <c r="S58" s="51"/>
      <c r="T58" s="51"/>
      <c r="U58" s="62">
        <v>5333333</v>
      </c>
      <c r="V58" s="51"/>
      <c r="W58" s="62">
        <f>5000000</f>
        <v>5000000</v>
      </c>
      <c r="X58" s="62">
        <f>5000000</f>
        <v>5000000</v>
      </c>
      <c r="Y58" s="95">
        <f>5000000+5000000+4666667</f>
        <v>14666667</v>
      </c>
      <c r="Z58" s="75">
        <f t="shared" si="14"/>
        <v>30000000</v>
      </c>
      <c r="AA58" s="251">
        <f t="shared" si="17"/>
        <v>0</v>
      </c>
      <c r="AC58" s="83" t="s">
        <v>664</v>
      </c>
      <c r="AD58" s="111">
        <f t="shared" si="18"/>
        <v>351</v>
      </c>
      <c r="AE58" s="110">
        <f t="shared" si="19"/>
        <v>30000000</v>
      </c>
      <c r="AF58" s="198">
        <v>42895</v>
      </c>
      <c r="AG58" s="109">
        <f t="shared" si="20"/>
        <v>598</v>
      </c>
      <c r="AH58" s="111">
        <f t="shared" si="21"/>
        <v>30000000</v>
      </c>
      <c r="AI58" s="199">
        <v>42915</v>
      </c>
      <c r="AJ58" s="88" t="s">
        <v>665</v>
      </c>
      <c r="AK58" s="111">
        <f t="shared" si="16"/>
        <v>254</v>
      </c>
      <c r="AL58" s="111"/>
      <c r="AM58" s="101">
        <f t="shared" si="22"/>
        <v>0</v>
      </c>
    </row>
    <row r="59" spans="1:39" s="112" customFormat="1" ht="89.25">
      <c r="A59" s="261" t="s">
        <v>113</v>
      </c>
      <c r="B59" s="92">
        <f t="shared" si="23"/>
        <v>19446400</v>
      </c>
      <c r="C59" s="260" t="s">
        <v>78</v>
      </c>
      <c r="D59" s="260" t="s">
        <v>101</v>
      </c>
      <c r="E59" s="260" t="s">
        <v>114</v>
      </c>
      <c r="F59" s="260" t="s">
        <v>115</v>
      </c>
      <c r="G59" s="260" t="s">
        <v>116</v>
      </c>
      <c r="H59" s="85">
        <v>356</v>
      </c>
      <c r="I59" s="61">
        <v>362</v>
      </c>
      <c r="J59" s="62">
        <f>19776000-329600</f>
        <v>19446400</v>
      </c>
      <c r="K59" s="62">
        <v>604</v>
      </c>
      <c r="L59" s="62">
        <f>19776000-329600</f>
        <v>19446400</v>
      </c>
      <c r="M59" s="63">
        <v>255</v>
      </c>
      <c r="N59" s="76"/>
      <c r="O59" s="51"/>
      <c r="P59" s="51"/>
      <c r="Q59" s="51"/>
      <c r="R59" s="51"/>
      <c r="S59" s="51"/>
      <c r="T59" s="51"/>
      <c r="U59" s="62">
        <f>2966400</f>
        <v>2966400</v>
      </c>
      <c r="V59" s="62">
        <f>3296000</f>
        <v>3296000</v>
      </c>
      <c r="W59" s="62">
        <f>3296000</f>
        <v>3296000</v>
      </c>
      <c r="X59" s="62">
        <f>3296000</f>
        <v>3296000</v>
      </c>
      <c r="Y59" s="95">
        <f>3296000+3296000</f>
        <v>6592000</v>
      </c>
      <c r="Z59" s="75">
        <f t="shared" si="14"/>
        <v>19446400</v>
      </c>
      <c r="AA59" s="251">
        <f t="shared" si="17"/>
        <v>0</v>
      </c>
      <c r="AC59" s="83" t="s">
        <v>673</v>
      </c>
      <c r="AD59" s="111">
        <f t="shared" si="18"/>
        <v>362</v>
      </c>
      <c r="AE59" s="110">
        <f t="shared" si="19"/>
        <v>19446400</v>
      </c>
      <c r="AF59" s="198">
        <v>42906</v>
      </c>
      <c r="AG59" s="109">
        <f t="shared" si="20"/>
        <v>604</v>
      </c>
      <c r="AH59" s="111">
        <f t="shared" si="21"/>
        <v>19446400</v>
      </c>
      <c r="AI59" s="410">
        <v>42920</v>
      </c>
      <c r="AJ59" s="430" t="s">
        <v>896</v>
      </c>
      <c r="AK59" s="111">
        <f t="shared" si="16"/>
        <v>255</v>
      </c>
      <c r="AL59" s="111"/>
      <c r="AM59" s="101">
        <f t="shared" si="22"/>
        <v>0</v>
      </c>
    </row>
    <row r="60" spans="1:39" s="112" customFormat="1" ht="89.25">
      <c r="A60" s="261" t="s">
        <v>113</v>
      </c>
      <c r="B60" s="92">
        <f t="shared" si="23"/>
        <v>28500000</v>
      </c>
      <c r="C60" s="260" t="s">
        <v>78</v>
      </c>
      <c r="D60" s="260" t="s">
        <v>101</v>
      </c>
      <c r="E60" s="260" t="s">
        <v>114</v>
      </c>
      <c r="F60" s="260" t="s">
        <v>115</v>
      </c>
      <c r="G60" s="260" t="s">
        <v>116</v>
      </c>
      <c r="H60" s="85">
        <v>445</v>
      </c>
      <c r="I60" s="61">
        <v>464</v>
      </c>
      <c r="J60" s="62">
        <f>28500000</f>
        <v>28500000</v>
      </c>
      <c r="K60" s="62">
        <v>799</v>
      </c>
      <c r="L60" s="62">
        <f>28500000</f>
        <v>28500000</v>
      </c>
      <c r="M60" s="63">
        <v>311</v>
      </c>
      <c r="N60" s="76"/>
      <c r="O60" s="51"/>
      <c r="P60" s="51"/>
      <c r="Q60" s="51"/>
      <c r="R60" s="51"/>
      <c r="S60" s="51"/>
      <c r="T60" s="51"/>
      <c r="U60" s="51"/>
      <c r="V60" s="51"/>
      <c r="W60" s="51"/>
      <c r="X60" s="62">
        <f>10800000</f>
        <v>10800000</v>
      </c>
      <c r="Y60" s="95">
        <f>9000000+8700000</f>
        <v>17700000</v>
      </c>
      <c r="Z60" s="75">
        <f t="shared" si="14"/>
        <v>28500000</v>
      </c>
      <c r="AA60" s="251">
        <f t="shared" si="17"/>
        <v>0</v>
      </c>
      <c r="AC60" s="83" t="s">
        <v>764</v>
      </c>
      <c r="AD60" s="111">
        <f t="shared" si="18"/>
        <v>464</v>
      </c>
      <c r="AE60" s="110">
        <f t="shared" si="19"/>
        <v>28500000</v>
      </c>
      <c r="AF60" s="198">
        <v>42989</v>
      </c>
      <c r="AG60" s="109">
        <f t="shared" si="20"/>
        <v>799</v>
      </c>
      <c r="AH60" s="111">
        <f t="shared" si="21"/>
        <v>28500000</v>
      </c>
      <c r="AI60" s="199">
        <v>43000</v>
      </c>
      <c r="AJ60" s="88" t="s">
        <v>601</v>
      </c>
      <c r="AK60" s="111">
        <f t="shared" si="16"/>
        <v>311</v>
      </c>
      <c r="AL60" s="111"/>
      <c r="AM60" s="101">
        <f t="shared" si="22"/>
        <v>0</v>
      </c>
    </row>
    <row r="61" spans="1:39" s="112" customFormat="1" ht="89.25">
      <c r="A61" s="261" t="s">
        <v>113</v>
      </c>
      <c r="B61" s="92">
        <f t="shared" si="23"/>
        <v>6806800</v>
      </c>
      <c r="C61" s="260" t="s">
        <v>78</v>
      </c>
      <c r="D61" s="260" t="s">
        <v>101</v>
      </c>
      <c r="E61" s="260" t="s">
        <v>114</v>
      </c>
      <c r="F61" s="260" t="s">
        <v>115</v>
      </c>
      <c r="G61" s="260" t="s">
        <v>116</v>
      </c>
      <c r="H61" s="85">
        <v>543</v>
      </c>
      <c r="I61" s="61" t="s">
        <v>1053</v>
      </c>
      <c r="J61" s="62">
        <f>7854000-1767200+720000</f>
        <v>6806800</v>
      </c>
      <c r="K61" s="62" t="s">
        <v>1135</v>
      </c>
      <c r="L61" s="62">
        <f>7854000-1767200+720000</f>
        <v>6806800</v>
      </c>
      <c r="M61" s="63">
        <v>390</v>
      </c>
      <c r="N61" s="76"/>
      <c r="O61" s="51"/>
      <c r="P61" s="51"/>
      <c r="Q61" s="51"/>
      <c r="R61" s="51"/>
      <c r="S61" s="51"/>
      <c r="T61" s="51"/>
      <c r="U61" s="51"/>
      <c r="V61" s="51"/>
      <c r="W61" s="51"/>
      <c r="X61" s="51"/>
      <c r="Y61" s="95">
        <f>6086800+720000</f>
        <v>6806800</v>
      </c>
      <c r="Z61" s="75">
        <f t="shared" si="14"/>
        <v>6806800</v>
      </c>
      <c r="AA61" s="251">
        <f t="shared" si="17"/>
        <v>0</v>
      </c>
      <c r="AC61" s="83" t="s">
        <v>951</v>
      </c>
      <c r="AD61" s="111" t="str">
        <f t="shared" si="18"/>
        <v>659 - 825</v>
      </c>
      <c r="AE61" s="110">
        <f t="shared" si="19"/>
        <v>6806800</v>
      </c>
      <c r="AF61" s="198">
        <v>43063</v>
      </c>
      <c r="AG61" s="109" t="str">
        <f t="shared" si="20"/>
        <v>996 - 1210</v>
      </c>
      <c r="AH61" s="111">
        <f t="shared" si="21"/>
        <v>6806800</v>
      </c>
      <c r="AI61" s="88" t="s">
        <v>1138</v>
      </c>
      <c r="AJ61" s="88" t="s">
        <v>1137</v>
      </c>
      <c r="AK61" s="111">
        <f t="shared" si="16"/>
        <v>390</v>
      </c>
      <c r="AL61" s="111"/>
      <c r="AM61" s="101">
        <f t="shared" si="22"/>
        <v>0</v>
      </c>
    </row>
    <row r="62" spans="1:39" s="112" customFormat="1" ht="89.25">
      <c r="A62" s="261" t="s">
        <v>113</v>
      </c>
      <c r="B62" s="92">
        <f t="shared" si="23"/>
        <v>7854000</v>
      </c>
      <c r="C62" s="260" t="s">
        <v>78</v>
      </c>
      <c r="D62" s="260" t="s">
        <v>101</v>
      </c>
      <c r="E62" s="260" t="s">
        <v>114</v>
      </c>
      <c r="F62" s="260" t="s">
        <v>115</v>
      </c>
      <c r="G62" s="260" t="s">
        <v>116</v>
      </c>
      <c r="H62" s="85">
        <v>444</v>
      </c>
      <c r="I62" s="61">
        <v>662</v>
      </c>
      <c r="J62" s="62">
        <f>7854000</f>
        <v>7854000</v>
      </c>
      <c r="K62" s="62">
        <v>995</v>
      </c>
      <c r="L62" s="62">
        <f>7854000</f>
        <v>7854000</v>
      </c>
      <c r="M62" s="63">
        <v>391</v>
      </c>
      <c r="N62" s="76"/>
      <c r="O62" s="51"/>
      <c r="P62" s="51"/>
      <c r="Q62" s="51"/>
      <c r="R62" s="51"/>
      <c r="S62" s="51"/>
      <c r="T62" s="51"/>
      <c r="U62" s="51"/>
      <c r="V62" s="51"/>
      <c r="W62" s="51"/>
      <c r="X62" s="51"/>
      <c r="Y62" s="95">
        <f>7854000</f>
        <v>7854000</v>
      </c>
      <c r="Z62" s="75">
        <f t="shared" si="14"/>
        <v>7854000</v>
      </c>
      <c r="AA62" s="251">
        <f t="shared" si="17"/>
        <v>0</v>
      </c>
      <c r="AC62" s="83" t="s">
        <v>952</v>
      </c>
      <c r="AD62" s="111">
        <f t="shared" si="18"/>
        <v>662</v>
      </c>
      <c r="AE62" s="110">
        <f t="shared" si="19"/>
        <v>7854000</v>
      </c>
      <c r="AF62" s="198">
        <v>43063</v>
      </c>
      <c r="AG62" s="109">
        <f t="shared" si="20"/>
        <v>995</v>
      </c>
      <c r="AH62" s="111">
        <f t="shared" si="21"/>
        <v>7854000</v>
      </c>
      <c r="AI62" s="199">
        <v>43070</v>
      </c>
      <c r="AJ62" s="88" t="s">
        <v>1136</v>
      </c>
      <c r="AK62" s="111">
        <f t="shared" si="16"/>
        <v>391</v>
      </c>
      <c r="AL62" s="111"/>
      <c r="AM62" s="101">
        <f t="shared" si="22"/>
        <v>0</v>
      </c>
    </row>
    <row r="63" spans="1:39" s="112" customFormat="1" ht="89.25">
      <c r="A63" s="261" t="s">
        <v>113</v>
      </c>
      <c r="B63" s="92">
        <f t="shared" ref="B63:B65" si="26">J63</f>
        <v>0</v>
      </c>
      <c r="C63" s="260" t="s">
        <v>78</v>
      </c>
      <c r="D63" s="260" t="s">
        <v>101</v>
      </c>
      <c r="E63" s="260" t="s">
        <v>114</v>
      </c>
      <c r="F63" s="260" t="s">
        <v>115</v>
      </c>
      <c r="G63" s="260" t="s">
        <v>116</v>
      </c>
      <c r="H63" s="85"/>
      <c r="I63" s="61"/>
      <c r="J63" s="62"/>
      <c r="K63" s="51"/>
      <c r="L63" s="51"/>
      <c r="M63" s="48"/>
      <c r="N63" s="76"/>
      <c r="O63" s="51"/>
      <c r="P63" s="51"/>
      <c r="Q63" s="51"/>
      <c r="R63" s="51"/>
      <c r="S63" s="51"/>
      <c r="T63" s="51"/>
      <c r="U63" s="51"/>
      <c r="V63" s="51"/>
      <c r="W63" s="51"/>
      <c r="X63" s="51"/>
      <c r="Y63" s="78"/>
      <c r="Z63" s="75">
        <f t="shared" ref="Z63:Z65" si="27">SUM(N63:Y63)</f>
        <v>0</v>
      </c>
      <c r="AA63" s="251">
        <f t="shared" si="17"/>
        <v>0</v>
      </c>
      <c r="AC63" s="83"/>
      <c r="AD63" s="111">
        <f t="shared" si="18"/>
        <v>0</v>
      </c>
      <c r="AE63" s="110">
        <f t="shared" si="19"/>
        <v>0</v>
      </c>
      <c r="AF63" s="197"/>
      <c r="AG63" s="109">
        <f t="shared" si="20"/>
        <v>0</v>
      </c>
      <c r="AH63" s="111">
        <f t="shared" si="21"/>
        <v>0</v>
      </c>
      <c r="AI63" s="167"/>
      <c r="AJ63" s="88"/>
      <c r="AK63" s="111">
        <f t="shared" ref="AK63:AK65" si="28">M63</f>
        <v>0</v>
      </c>
      <c r="AL63" s="111"/>
      <c r="AM63" s="101">
        <f t="shared" ref="AM63:AM65" si="29">AE63-AH63</f>
        <v>0</v>
      </c>
    </row>
    <row r="64" spans="1:39" s="112" customFormat="1" ht="89.25">
      <c r="A64" s="261" t="s">
        <v>113</v>
      </c>
      <c r="B64" s="92">
        <f t="shared" si="26"/>
        <v>0</v>
      </c>
      <c r="C64" s="260" t="s">
        <v>78</v>
      </c>
      <c r="D64" s="260" t="s">
        <v>101</v>
      </c>
      <c r="E64" s="260" t="s">
        <v>114</v>
      </c>
      <c r="F64" s="260" t="s">
        <v>115</v>
      </c>
      <c r="G64" s="260" t="s">
        <v>116</v>
      </c>
      <c r="H64" s="85"/>
      <c r="I64" s="61"/>
      <c r="J64" s="62"/>
      <c r="K64" s="51"/>
      <c r="L64" s="51"/>
      <c r="M64" s="48"/>
      <c r="N64" s="76"/>
      <c r="O64" s="51"/>
      <c r="P64" s="51"/>
      <c r="Q64" s="51"/>
      <c r="R64" s="51"/>
      <c r="S64" s="51"/>
      <c r="T64" s="51"/>
      <c r="U64" s="51"/>
      <c r="V64" s="51"/>
      <c r="W64" s="51"/>
      <c r="X64" s="51"/>
      <c r="Y64" s="78"/>
      <c r="Z64" s="75">
        <f t="shared" si="27"/>
        <v>0</v>
      </c>
      <c r="AA64" s="251">
        <f t="shared" si="17"/>
        <v>0</v>
      </c>
      <c r="AC64" s="83"/>
      <c r="AD64" s="111">
        <f t="shared" si="18"/>
        <v>0</v>
      </c>
      <c r="AE64" s="110">
        <f t="shared" si="19"/>
        <v>0</v>
      </c>
      <c r="AF64" s="197"/>
      <c r="AG64" s="109">
        <f t="shared" si="20"/>
        <v>0</v>
      </c>
      <c r="AH64" s="111">
        <f t="shared" si="21"/>
        <v>0</v>
      </c>
      <c r="AI64" s="167"/>
      <c r="AJ64" s="88"/>
      <c r="AK64" s="111">
        <f t="shared" si="28"/>
        <v>0</v>
      </c>
      <c r="AL64" s="111"/>
      <c r="AM64" s="101">
        <f t="shared" si="29"/>
        <v>0</v>
      </c>
    </row>
    <row r="65" spans="1:39" s="112" customFormat="1" ht="89.25">
      <c r="A65" s="261" t="s">
        <v>113</v>
      </c>
      <c r="B65" s="92">
        <f t="shared" si="26"/>
        <v>0</v>
      </c>
      <c r="C65" s="260" t="s">
        <v>78</v>
      </c>
      <c r="D65" s="260" t="s">
        <v>101</v>
      </c>
      <c r="E65" s="260" t="s">
        <v>114</v>
      </c>
      <c r="F65" s="260" t="s">
        <v>115</v>
      </c>
      <c r="G65" s="260" t="s">
        <v>116</v>
      </c>
      <c r="H65" s="85"/>
      <c r="I65" s="61"/>
      <c r="J65" s="62"/>
      <c r="K65" s="51"/>
      <c r="L65" s="51"/>
      <c r="M65" s="48"/>
      <c r="N65" s="76"/>
      <c r="O65" s="51"/>
      <c r="P65" s="51"/>
      <c r="Q65" s="51"/>
      <c r="R65" s="51"/>
      <c r="S65" s="51"/>
      <c r="T65" s="51"/>
      <c r="U65" s="51"/>
      <c r="V65" s="51"/>
      <c r="W65" s="51"/>
      <c r="X65" s="51"/>
      <c r="Y65" s="78"/>
      <c r="Z65" s="75">
        <f t="shared" si="27"/>
        <v>0</v>
      </c>
      <c r="AA65" s="251">
        <f t="shared" si="17"/>
        <v>0</v>
      </c>
      <c r="AC65" s="83"/>
      <c r="AD65" s="111">
        <f t="shared" si="18"/>
        <v>0</v>
      </c>
      <c r="AE65" s="110">
        <f t="shared" si="19"/>
        <v>0</v>
      </c>
      <c r="AF65" s="197"/>
      <c r="AG65" s="109">
        <f t="shared" si="20"/>
        <v>0</v>
      </c>
      <c r="AH65" s="111">
        <f t="shared" si="21"/>
        <v>0</v>
      </c>
      <c r="AI65" s="167"/>
      <c r="AJ65" s="88"/>
      <c r="AK65" s="111">
        <f t="shared" si="28"/>
        <v>0</v>
      </c>
      <c r="AL65" s="111"/>
      <c r="AM65" s="101">
        <f t="shared" si="29"/>
        <v>0</v>
      </c>
    </row>
    <row r="66" spans="1:39" s="112" customFormat="1" ht="89.25">
      <c r="A66" s="261" t="s">
        <v>113</v>
      </c>
      <c r="B66" s="92">
        <f t="shared" si="23"/>
        <v>0</v>
      </c>
      <c r="C66" s="260" t="s">
        <v>78</v>
      </c>
      <c r="D66" s="260" t="s">
        <v>101</v>
      </c>
      <c r="E66" s="260" t="s">
        <v>114</v>
      </c>
      <c r="F66" s="260" t="s">
        <v>115</v>
      </c>
      <c r="G66" s="260" t="s">
        <v>116</v>
      </c>
      <c r="H66" s="85"/>
      <c r="I66" s="61"/>
      <c r="J66" s="62"/>
      <c r="K66" s="51"/>
      <c r="L66" s="51"/>
      <c r="M66" s="48"/>
      <c r="N66" s="76"/>
      <c r="O66" s="51"/>
      <c r="P66" s="51"/>
      <c r="Q66" s="51"/>
      <c r="R66" s="51"/>
      <c r="S66" s="51"/>
      <c r="T66" s="51"/>
      <c r="U66" s="51"/>
      <c r="V66" s="51"/>
      <c r="W66" s="51"/>
      <c r="X66" s="51"/>
      <c r="Y66" s="78"/>
      <c r="Z66" s="75">
        <f t="shared" si="14"/>
        <v>0</v>
      </c>
      <c r="AA66" s="251">
        <f t="shared" si="17"/>
        <v>0</v>
      </c>
      <c r="AC66" s="83"/>
      <c r="AD66" s="111">
        <f t="shared" si="18"/>
        <v>0</v>
      </c>
      <c r="AE66" s="110">
        <f t="shared" si="19"/>
        <v>0</v>
      </c>
      <c r="AF66" s="197"/>
      <c r="AG66" s="109">
        <f t="shared" si="20"/>
        <v>0</v>
      </c>
      <c r="AH66" s="111">
        <f t="shared" si="21"/>
        <v>0</v>
      </c>
      <c r="AI66" s="167"/>
      <c r="AJ66" s="88"/>
      <c r="AK66" s="111">
        <f t="shared" si="16"/>
        <v>0</v>
      </c>
      <c r="AL66" s="111"/>
      <c r="AM66" s="101">
        <f t="shared" si="22"/>
        <v>0</v>
      </c>
    </row>
    <row r="67" spans="1:39" s="116" customFormat="1">
      <c r="A67" s="255" t="s">
        <v>132</v>
      </c>
      <c r="B67" s="99">
        <f>B16-B17-B18-B19-B20-B21-B22-B23-B24-B25-B26-B27-B28-B29-B30-B31-B32-B33-B34-B35-B36-B37-B38-B39-B40-B41-B42-B43-B44-B45-B46-B47-B48-B49-B50-B51-B52-B53-B54-B55-B56-B57-B58-B59-B60-B61-B62-B63-B64-B65-B66</f>
        <v>2597184</v>
      </c>
      <c r="C67" s="99"/>
      <c r="D67" s="99"/>
      <c r="E67" s="99"/>
      <c r="F67" s="99"/>
      <c r="G67" s="164"/>
      <c r="H67" s="146"/>
      <c r="I67" s="62"/>
      <c r="J67" s="51">
        <f>SUM(J17:J66)</f>
        <v>1844491984</v>
      </c>
      <c r="K67" s="51"/>
      <c r="L67" s="51">
        <f>SUM(L17:L66)</f>
        <v>1844491984</v>
      </c>
      <c r="M67" s="51"/>
      <c r="N67" s="51">
        <f>SUM(N17:N51)</f>
        <v>0</v>
      </c>
      <c r="O67" s="51">
        <f>SUM(O17:O51)</f>
        <v>0</v>
      </c>
      <c r="P67" s="51">
        <f t="shared" ref="P67:AA67" si="30">SUM(P17:P66)</f>
        <v>80071534</v>
      </c>
      <c r="Q67" s="51">
        <f t="shared" si="30"/>
        <v>132089567</v>
      </c>
      <c r="R67" s="51">
        <f t="shared" si="30"/>
        <v>145759500</v>
      </c>
      <c r="S67" s="51">
        <f t="shared" si="30"/>
        <v>167588834</v>
      </c>
      <c r="T67" s="51">
        <f t="shared" si="30"/>
        <v>197631037</v>
      </c>
      <c r="U67" s="51">
        <f t="shared" si="30"/>
        <v>198131720</v>
      </c>
      <c r="V67" s="51">
        <f t="shared" si="30"/>
        <v>172012520</v>
      </c>
      <c r="W67" s="51">
        <f t="shared" si="30"/>
        <v>179168852</v>
      </c>
      <c r="X67" s="51">
        <f>SUM(X17:X66)</f>
        <v>172698254</v>
      </c>
      <c r="Y67" s="51">
        <f>SUM(Y17:Y66)</f>
        <v>378336374</v>
      </c>
      <c r="Z67" s="75">
        <f t="shared" si="14"/>
        <v>1823488192</v>
      </c>
      <c r="AA67" s="256">
        <f t="shared" si="30"/>
        <v>21003792</v>
      </c>
      <c r="AC67" s="100"/>
      <c r="AD67" s="101"/>
      <c r="AE67" s="51">
        <f>SUM(AE17:AE51)</f>
        <v>1625738400</v>
      </c>
      <c r="AF67" s="258"/>
      <c r="AG67" s="109"/>
      <c r="AH67" s="51">
        <f>SUM(AH17:AH51)</f>
        <v>1625738400</v>
      </c>
      <c r="AI67" s="101"/>
      <c r="AJ67" s="54"/>
      <c r="AK67" s="101">
        <f t="shared" si="5"/>
        <v>0</v>
      </c>
      <c r="AL67" s="101"/>
      <c r="AM67" s="51">
        <f>SUM(AM17:AM51)</f>
        <v>0</v>
      </c>
    </row>
    <row r="68" spans="1:39" s="112" customFormat="1" ht="89.25">
      <c r="A68" s="252" t="s">
        <v>117</v>
      </c>
      <c r="B68" s="52">
        <f>150000000-61437922-16039745-1233333</f>
        <v>71289000</v>
      </c>
      <c r="C68" s="88" t="s">
        <v>78</v>
      </c>
      <c r="D68" s="88" t="s">
        <v>101</v>
      </c>
      <c r="E68" s="88" t="s">
        <v>114</v>
      </c>
      <c r="F68" s="88" t="s">
        <v>136</v>
      </c>
      <c r="G68" s="88" t="s">
        <v>116</v>
      </c>
      <c r="H68" s="85"/>
      <c r="I68" s="61"/>
      <c r="J68" s="51"/>
      <c r="K68" s="51"/>
      <c r="L68" s="51"/>
      <c r="M68" s="48"/>
      <c r="N68" s="74"/>
      <c r="O68" s="47"/>
      <c r="P68" s="47"/>
      <c r="Q68" s="47"/>
      <c r="R68" s="47"/>
      <c r="S68" s="47"/>
      <c r="T68" s="47"/>
      <c r="U68" s="47"/>
      <c r="V68" s="47"/>
      <c r="W68" s="47"/>
      <c r="X68" s="47"/>
      <c r="Y68" s="48"/>
      <c r="Z68" s="75">
        <f t="shared" si="14"/>
        <v>0</v>
      </c>
      <c r="AA68" s="251">
        <f t="shared" ref="AA68:AA73" si="31">L68-Z68</f>
        <v>0</v>
      </c>
      <c r="AC68" s="83"/>
      <c r="AD68" s="111">
        <f t="shared" ref="AD68:AE73" si="32">I68</f>
        <v>0</v>
      </c>
      <c r="AE68" s="111">
        <f t="shared" si="32"/>
        <v>0</v>
      </c>
      <c r="AF68" s="197"/>
      <c r="AG68" s="109">
        <f t="shared" ref="AG68:AH73" si="33">K68</f>
        <v>0</v>
      </c>
      <c r="AH68" s="111">
        <f t="shared" si="33"/>
        <v>0</v>
      </c>
      <c r="AI68" s="167"/>
      <c r="AJ68" s="88"/>
      <c r="AK68" s="111">
        <f t="shared" si="5"/>
        <v>0</v>
      </c>
      <c r="AL68" s="111"/>
      <c r="AM68" s="101">
        <f t="shared" si="6"/>
        <v>0</v>
      </c>
    </row>
    <row r="69" spans="1:39" s="112" customFormat="1" ht="89.25">
      <c r="A69" s="254" t="s">
        <v>117</v>
      </c>
      <c r="B69" s="92">
        <f>J69</f>
        <v>33303333</v>
      </c>
      <c r="C69" s="88" t="s">
        <v>78</v>
      </c>
      <c r="D69" s="88" t="s">
        <v>101</v>
      </c>
      <c r="E69" s="88" t="s">
        <v>114</v>
      </c>
      <c r="F69" s="88" t="s">
        <v>136</v>
      </c>
      <c r="G69" s="88" t="s">
        <v>116</v>
      </c>
      <c r="H69" s="85">
        <v>163</v>
      </c>
      <c r="I69" s="61">
        <v>155</v>
      </c>
      <c r="J69" s="62">
        <f>55850824-22547491</f>
        <v>33303333</v>
      </c>
      <c r="K69" s="62">
        <v>289</v>
      </c>
      <c r="L69" s="62">
        <f>54075000-20771667</f>
        <v>33303333</v>
      </c>
      <c r="M69" s="63">
        <v>133</v>
      </c>
      <c r="N69" s="74"/>
      <c r="O69" s="47"/>
      <c r="P69" s="68">
        <v>2403333</v>
      </c>
      <c r="Q69" s="68">
        <v>5150000</v>
      </c>
      <c r="R69" s="68">
        <v>5150000</v>
      </c>
      <c r="S69" s="68">
        <f>5150000</f>
        <v>5150000</v>
      </c>
      <c r="T69" s="68">
        <v>5150000</v>
      </c>
      <c r="U69" s="68">
        <f>5150000</f>
        <v>5150000</v>
      </c>
      <c r="V69" s="68"/>
      <c r="W69" s="68"/>
      <c r="X69" s="68">
        <f>5150000</f>
        <v>5150000</v>
      </c>
      <c r="Y69" s="63"/>
      <c r="Z69" s="75">
        <f t="shared" si="14"/>
        <v>33303333</v>
      </c>
      <c r="AA69" s="251">
        <f t="shared" si="31"/>
        <v>0</v>
      </c>
      <c r="AC69" s="83" t="s">
        <v>374</v>
      </c>
      <c r="AD69" s="111">
        <f t="shared" si="32"/>
        <v>155</v>
      </c>
      <c r="AE69" s="111">
        <f t="shared" si="32"/>
        <v>33303333</v>
      </c>
      <c r="AF69" s="198">
        <v>42773</v>
      </c>
      <c r="AG69" s="109">
        <f t="shared" si="33"/>
        <v>289</v>
      </c>
      <c r="AH69" s="111">
        <f t="shared" si="33"/>
        <v>33303333</v>
      </c>
      <c r="AI69" s="199">
        <v>42783</v>
      </c>
      <c r="AJ69" s="88" t="s">
        <v>446</v>
      </c>
      <c r="AK69" s="111">
        <f t="shared" si="5"/>
        <v>133</v>
      </c>
      <c r="AL69" s="111">
        <v>16070268</v>
      </c>
      <c r="AM69" s="101">
        <f t="shared" si="6"/>
        <v>0</v>
      </c>
    </row>
    <row r="70" spans="1:39" s="112" customFormat="1" ht="89.25">
      <c r="A70" s="254" t="s">
        <v>117</v>
      </c>
      <c r="B70" s="92">
        <f>J70</f>
        <v>28119000</v>
      </c>
      <c r="C70" s="88" t="s">
        <v>78</v>
      </c>
      <c r="D70" s="88" t="s">
        <v>101</v>
      </c>
      <c r="E70" s="88" t="s">
        <v>114</v>
      </c>
      <c r="F70" s="88" t="s">
        <v>136</v>
      </c>
      <c r="G70" s="88" t="s">
        <v>116</v>
      </c>
      <c r="H70" s="85">
        <v>164</v>
      </c>
      <c r="I70" s="61">
        <v>156</v>
      </c>
      <c r="J70" s="62">
        <f>29721784-29721784+28119000+1602784-1602784</f>
        <v>28119000</v>
      </c>
      <c r="K70" s="62">
        <v>286</v>
      </c>
      <c r="L70" s="62">
        <v>28119000</v>
      </c>
      <c r="M70" s="63">
        <v>129</v>
      </c>
      <c r="N70" s="74"/>
      <c r="O70" s="47"/>
      <c r="P70" s="68">
        <v>1428267</v>
      </c>
      <c r="Q70" s="68">
        <v>2678000</v>
      </c>
      <c r="R70" s="68">
        <v>2678000</v>
      </c>
      <c r="S70" s="68">
        <f>2678000</f>
        <v>2678000</v>
      </c>
      <c r="T70" s="68">
        <v>2678000</v>
      </c>
      <c r="U70" s="68">
        <f>2678000</f>
        <v>2678000</v>
      </c>
      <c r="V70" s="68">
        <f>2678000</f>
        <v>2678000</v>
      </c>
      <c r="W70" s="68">
        <f>2678000</f>
        <v>2678000</v>
      </c>
      <c r="X70" s="68">
        <f>2678000</f>
        <v>2678000</v>
      </c>
      <c r="Y70" s="63">
        <f>2678000+2588733</f>
        <v>5266733</v>
      </c>
      <c r="Z70" s="75">
        <f t="shared" si="14"/>
        <v>28119000</v>
      </c>
      <c r="AA70" s="251">
        <f t="shared" si="31"/>
        <v>0</v>
      </c>
      <c r="AC70" s="83" t="s">
        <v>375</v>
      </c>
      <c r="AD70" s="111">
        <f t="shared" si="32"/>
        <v>156</v>
      </c>
      <c r="AE70" s="111">
        <f t="shared" si="32"/>
        <v>28119000</v>
      </c>
      <c r="AF70" s="198">
        <v>42773</v>
      </c>
      <c r="AG70" s="109">
        <f t="shared" si="33"/>
        <v>286</v>
      </c>
      <c r="AH70" s="111">
        <f t="shared" si="33"/>
        <v>28119000</v>
      </c>
      <c r="AI70" s="199">
        <v>42781</v>
      </c>
      <c r="AJ70" s="88" t="s">
        <v>447</v>
      </c>
      <c r="AK70" s="111">
        <f t="shared" si="5"/>
        <v>129</v>
      </c>
      <c r="AL70" s="111">
        <v>1026283833</v>
      </c>
      <c r="AM70" s="101">
        <f t="shared" si="6"/>
        <v>0</v>
      </c>
    </row>
    <row r="71" spans="1:39" s="112" customFormat="1" ht="89.25">
      <c r="A71" s="254" t="s">
        <v>117</v>
      </c>
      <c r="B71" s="92">
        <f>J71</f>
        <v>9866667</v>
      </c>
      <c r="C71" s="88" t="s">
        <v>78</v>
      </c>
      <c r="D71" s="88" t="s">
        <v>101</v>
      </c>
      <c r="E71" s="88" t="s">
        <v>114</v>
      </c>
      <c r="F71" s="88" t="s">
        <v>136</v>
      </c>
      <c r="G71" s="88" t="s">
        <v>116</v>
      </c>
      <c r="H71" s="85">
        <v>443</v>
      </c>
      <c r="I71" s="61">
        <v>496</v>
      </c>
      <c r="J71" s="62">
        <f>11100000-1233333</f>
        <v>9866667</v>
      </c>
      <c r="K71" s="62">
        <v>850</v>
      </c>
      <c r="L71" s="62">
        <v>9866667</v>
      </c>
      <c r="M71" s="63">
        <v>320</v>
      </c>
      <c r="N71" s="74"/>
      <c r="O71" s="47"/>
      <c r="P71" s="47"/>
      <c r="Q71" s="47"/>
      <c r="R71" s="47"/>
      <c r="S71" s="47"/>
      <c r="T71" s="47"/>
      <c r="U71" s="47"/>
      <c r="V71" s="47"/>
      <c r="W71" s="47"/>
      <c r="X71" s="68">
        <f>3083333</f>
        <v>3083333</v>
      </c>
      <c r="Y71" s="63">
        <f>3700000+3083334</f>
        <v>6783334</v>
      </c>
      <c r="Z71" s="75">
        <f t="shared" si="14"/>
        <v>9866667</v>
      </c>
      <c r="AA71" s="251">
        <f t="shared" si="31"/>
        <v>0</v>
      </c>
      <c r="AC71" s="83" t="s">
        <v>781</v>
      </c>
      <c r="AD71" s="111">
        <f t="shared" si="32"/>
        <v>496</v>
      </c>
      <c r="AE71" s="111">
        <f t="shared" si="32"/>
        <v>9866667</v>
      </c>
      <c r="AF71" s="198">
        <v>43003</v>
      </c>
      <c r="AG71" s="109">
        <f t="shared" si="33"/>
        <v>850</v>
      </c>
      <c r="AH71" s="111">
        <f t="shared" si="33"/>
        <v>9866667</v>
      </c>
      <c r="AI71" s="199">
        <v>43014</v>
      </c>
      <c r="AJ71" s="88" t="s">
        <v>840</v>
      </c>
      <c r="AK71" s="111">
        <f t="shared" si="5"/>
        <v>320</v>
      </c>
      <c r="AL71" s="111"/>
      <c r="AM71" s="101">
        <f t="shared" si="6"/>
        <v>0</v>
      </c>
    </row>
    <row r="72" spans="1:39" s="112" customFormat="1" ht="89.25">
      <c r="A72" s="254" t="s">
        <v>117</v>
      </c>
      <c r="B72" s="92">
        <f t="shared" ref="B72:B73" si="34">J72</f>
        <v>0</v>
      </c>
      <c r="C72" s="88" t="s">
        <v>78</v>
      </c>
      <c r="D72" s="88" t="s">
        <v>101</v>
      </c>
      <c r="E72" s="88" t="s">
        <v>114</v>
      </c>
      <c r="F72" s="88" t="s">
        <v>136</v>
      </c>
      <c r="G72" s="88" t="s">
        <v>116</v>
      </c>
      <c r="H72" s="85"/>
      <c r="I72" s="61"/>
      <c r="J72" s="51"/>
      <c r="K72" s="62"/>
      <c r="L72" s="62"/>
      <c r="M72" s="63"/>
      <c r="N72" s="74"/>
      <c r="O72" s="47"/>
      <c r="P72" s="47"/>
      <c r="Q72" s="47"/>
      <c r="R72" s="47"/>
      <c r="S72" s="47"/>
      <c r="T72" s="47"/>
      <c r="U72" s="47"/>
      <c r="V72" s="47"/>
      <c r="W72" s="47"/>
      <c r="X72" s="47"/>
      <c r="Y72" s="48"/>
      <c r="Z72" s="75">
        <f t="shared" si="14"/>
        <v>0</v>
      </c>
      <c r="AA72" s="251">
        <f t="shared" si="31"/>
        <v>0</v>
      </c>
      <c r="AC72" s="83"/>
      <c r="AD72" s="111">
        <f t="shared" si="32"/>
        <v>0</v>
      </c>
      <c r="AE72" s="111">
        <f t="shared" si="32"/>
        <v>0</v>
      </c>
      <c r="AF72" s="197"/>
      <c r="AG72" s="109">
        <f t="shared" si="33"/>
        <v>0</v>
      </c>
      <c r="AH72" s="111">
        <f t="shared" si="33"/>
        <v>0</v>
      </c>
      <c r="AI72" s="167"/>
      <c r="AJ72" s="88"/>
      <c r="AK72" s="111">
        <f t="shared" ref="AK72:AK73" si="35">M72</f>
        <v>0</v>
      </c>
      <c r="AL72" s="111"/>
      <c r="AM72" s="101">
        <f t="shared" ref="AM72:AM73" si="36">AE72-AH72</f>
        <v>0</v>
      </c>
    </row>
    <row r="73" spans="1:39" s="112" customFormat="1" ht="89.25">
      <c r="A73" s="254" t="s">
        <v>117</v>
      </c>
      <c r="B73" s="92">
        <f t="shared" si="34"/>
        <v>0</v>
      </c>
      <c r="C73" s="88" t="s">
        <v>78</v>
      </c>
      <c r="D73" s="88" t="s">
        <v>101</v>
      </c>
      <c r="E73" s="88" t="s">
        <v>114</v>
      </c>
      <c r="F73" s="88" t="s">
        <v>136</v>
      </c>
      <c r="G73" s="88" t="s">
        <v>116</v>
      </c>
      <c r="H73" s="85"/>
      <c r="I73" s="61"/>
      <c r="J73" s="51"/>
      <c r="K73" s="62"/>
      <c r="L73" s="62"/>
      <c r="M73" s="63"/>
      <c r="N73" s="74"/>
      <c r="O73" s="47"/>
      <c r="P73" s="47"/>
      <c r="Q73" s="47"/>
      <c r="R73" s="47"/>
      <c r="S73" s="47"/>
      <c r="T73" s="47"/>
      <c r="U73" s="47"/>
      <c r="V73" s="47"/>
      <c r="W73" s="47"/>
      <c r="X73" s="47"/>
      <c r="Y73" s="48"/>
      <c r="Z73" s="75">
        <f t="shared" si="14"/>
        <v>0</v>
      </c>
      <c r="AA73" s="251">
        <f t="shared" si="31"/>
        <v>0</v>
      </c>
      <c r="AC73" s="83"/>
      <c r="AD73" s="111">
        <f t="shared" si="32"/>
        <v>0</v>
      </c>
      <c r="AE73" s="111">
        <f t="shared" si="32"/>
        <v>0</v>
      </c>
      <c r="AF73" s="197"/>
      <c r="AG73" s="109">
        <f t="shared" si="33"/>
        <v>0</v>
      </c>
      <c r="AH73" s="111">
        <f t="shared" si="33"/>
        <v>0</v>
      </c>
      <c r="AI73" s="167"/>
      <c r="AJ73" s="88"/>
      <c r="AK73" s="111">
        <f t="shared" si="35"/>
        <v>0</v>
      </c>
      <c r="AL73" s="111"/>
      <c r="AM73" s="101">
        <f t="shared" si="36"/>
        <v>0</v>
      </c>
    </row>
    <row r="74" spans="1:39" s="112" customFormat="1">
      <c r="A74" s="370" t="s">
        <v>132</v>
      </c>
      <c r="B74" s="55">
        <f>B68-B69-B70-B71-B72-B73</f>
        <v>0</v>
      </c>
      <c r="C74" s="134"/>
      <c r="D74" s="134"/>
      <c r="E74" s="134"/>
      <c r="F74" s="134"/>
      <c r="G74" s="431"/>
      <c r="H74" s="85"/>
      <c r="I74" s="61"/>
      <c r="J74" s="51">
        <f>SUM(J68:J73)</f>
        <v>71289000</v>
      </c>
      <c r="K74" s="432"/>
      <c r="L74" s="51">
        <f>SUM(L68:L73)</f>
        <v>71289000</v>
      </c>
      <c r="M74" s="433"/>
      <c r="N74" s="76">
        <f>SUM(N68:N71)</f>
        <v>0</v>
      </c>
      <c r="O74" s="51">
        <f>SUM(O68:O71)</f>
        <v>0</v>
      </c>
      <c r="P74" s="51">
        <f>SUM(P68:P73)</f>
        <v>3831600</v>
      </c>
      <c r="Q74" s="51">
        <f t="shared" ref="Q74:W74" si="37">SUM(Q68:Q73)</f>
        <v>7828000</v>
      </c>
      <c r="R74" s="51">
        <f t="shared" si="37"/>
        <v>7828000</v>
      </c>
      <c r="S74" s="51">
        <f t="shared" si="37"/>
        <v>7828000</v>
      </c>
      <c r="T74" s="51">
        <f t="shared" si="37"/>
        <v>7828000</v>
      </c>
      <c r="U74" s="51">
        <f t="shared" si="37"/>
        <v>7828000</v>
      </c>
      <c r="V74" s="51">
        <f t="shared" si="37"/>
        <v>2678000</v>
      </c>
      <c r="W74" s="51">
        <f t="shared" si="37"/>
        <v>2678000</v>
      </c>
      <c r="X74" s="51">
        <f>SUM(X68:X73)</f>
        <v>10911333</v>
      </c>
      <c r="Y74" s="51">
        <f>SUM(Y68:Y73)</f>
        <v>12050067</v>
      </c>
      <c r="Z74" s="75">
        <f t="shared" si="14"/>
        <v>71289000</v>
      </c>
      <c r="AA74" s="453">
        <f>SUM(AA68:AA73)</f>
        <v>0</v>
      </c>
      <c r="AC74" s="434"/>
      <c r="AD74" s="111"/>
      <c r="AE74" s="101">
        <f>J74</f>
        <v>71289000</v>
      </c>
      <c r="AF74" s="435"/>
      <c r="AG74" s="109"/>
      <c r="AH74" s="101">
        <f>L74</f>
        <v>71289000</v>
      </c>
      <c r="AI74" s="200"/>
      <c r="AJ74" s="44"/>
      <c r="AK74" s="101">
        <f t="shared" si="5"/>
        <v>0</v>
      </c>
      <c r="AL74" s="101"/>
      <c r="AM74" s="101">
        <f t="shared" si="6"/>
        <v>0</v>
      </c>
    </row>
    <row r="75" spans="1:39" s="112" customFormat="1" ht="89.25">
      <c r="A75" s="252" t="s">
        <v>118</v>
      </c>
      <c r="B75" s="52">
        <f>100000000-28005000-995000</f>
        <v>71000000</v>
      </c>
      <c r="C75" s="88" t="s">
        <v>78</v>
      </c>
      <c r="D75" s="88" t="s">
        <v>101</v>
      </c>
      <c r="E75" s="88" t="s">
        <v>114</v>
      </c>
      <c r="F75" s="88" t="s">
        <v>137</v>
      </c>
      <c r="G75" s="88" t="s">
        <v>116</v>
      </c>
      <c r="H75" s="85"/>
      <c r="I75" s="61"/>
      <c r="J75" s="51"/>
      <c r="K75" s="51"/>
      <c r="L75" s="51"/>
      <c r="M75" s="48"/>
      <c r="N75" s="74"/>
      <c r="O75" s="47"/>
      <c r="P75" s="47"/>
      <c r="Q75" s="47"/>
      <c r="R75" s="47"/>
      <c r="S75" s="47"/>
      <c r="T75" s="47"/>
      <c r="U75" s="47"/>
      <c r="V75" s="47"/>
      <c r="W75" s="47"/>
      <c r="X75" s="47"/>
      <c r="Y75" s="48"/>
      <c r="Z75" s="75">
        <f t="shared" si="14"/>
        <v>0</v>
      </c>
      <c r="AA75" s="251">
        <f>L75-Z75</f>
        <v>0</v>
      </c>
      <c r="AC75" s="83"/>
      <c r="AD75" s="111">
        <f>I75</f>
        <v>0</v>
      </c>
      <c r="AE75" s="111">
        <f>J75</f>
        <v>0</v>
      </c>
      <c r="AF75" s="197"/>
      <c r="AG75" s="109">
        <f>K75</f>
        <v>0</v>
      </c>
      <c r="AH75" s="111">
        <f>L75</f>
        <v>0</v>
      </c>
      <c r="AI75" s="167"/>
      <c r="AJ75" s="88"/>
      <c r="AK75" s="111">
        <f t="shared" si="5"/>
        <v>0</v>
      </c>
      <c r="AL75" s="111"/>
      <c r="AM75" s="101">
        <f t="shared" si="6"/>
        <v>0</v>
      </c>
    </row>
    <row r="76" spans="1:39" s="112" customFormat="1" ht="104.25" customHeight="1">
      <c r="A76" s="254" t="s">
        <v>118</v>
      </c>
      <c r="B76" s="92">
        <f>J76</f>
        <v>46000000</v>
      </c>
      <c r="C76" s="88" t="s">
        <v>78</v>
      </c>
      <c r="D76" s="88" t="s">
        <v>101</v>
      </c>
      <c r="E76" s="88" t="s">
        <v>114</v>
      </c>
      <c r="F76" s="88" t="s">
        <v>137</v>
      </c>
      <c r="G76" s="88" t="s">
        <v>116</v>
      </c>
      <c r="H76" s="85">
        <v>202</v>
      </c>
      <c r="I76" s="61">
        <v>184</v>
      </c>
      <c r="J76" s="62">
        <v>46000000</v>
      </c>
      <c r="K76" s="62">
        <v>304</v>
      </c>
      <c r="L76" s="62">
        <v>46000000</v>
      </c>
      <c r="M76" s="63">
        <v>138</v>
      </c>
      <c r="N76" s="74"/>
      <c r="O76" s="47"/>
      <c r="P76" s="47"/>
      <c r="Q76" s="68">
        <v>5826667</v>
      </c>
      <c r="R76" s="68">
        <v>4600000</v>
      </c>
      <c r="S76" s="68">
        <f>4600000</f>
        <v>4600000</v>
      </c>
      <c r="T76" s="68">
        <v>4600000</v>
      </c>
      <c r="U76" s="68">
        <f>4600000</f>
        <v>4600000</v>
      </c>
      <c r="V76" s="68"/>
      <c r="W76" s="68">
        <f>4600000+4600000</f>
        <v>9200000</v>
      </c>
      <c r="X76" s="68">
        <f>4600000</f>
        <v>4600000</v>
      </c>
      <c r="Y76" s="63">
        <f>4600000+3373333</f>
        <v>7973333</v>
      </c>
      <c r="Z76" s="75">
        <f t="shared" si="14"/>
        <v>46000000</v>
      </c>
      <c r="AA76" s="251">
        <f>L76-Z76</f>
        <v>0</v>
      </c>
      <c r="AC76" s="83" t="s">
        <v>436</v>
      </c>
      <c r="AD76" s="111">
        <f>I76</f>
        <v>184</v>
      </c>
      <c r="AE76" s="111">
        <f>J76</f>
        <v>46000000</v>
      </c>
      <c r="AF76" s="198">
        <v>42783</v>
      </c>
      <c r="AG76" s="109">
        <f>K76</f>
        <v>304</v>
      </c>
      <c r="AH76" s="111">
        <f>L76</f>
        <v>46000000</v>
      </c>
      <c r="AI76" s="199">
        <v>42789</v>
      </c>
      <c r="AJ76" s="88" t="s">
        <v>469</v>
      </c>
      <c r="AK76" s="111">
        <f t="shared" si="5"/>
        <v>138</v>
      </c>
      <c r="AL76" s="111">
        <v>86086216</v>
      </c>
      <c r="AM76" s="101">
        <f t="shared" si="6"/>
        <v>0</v>
      </c>
    </row>
    <row r="77" spans="1:39" s="112" customFormat="1" ht="89.25">
      <c r="A77" s="254" t="s">
        <v>118</v>
      </c>
      <c r="B77" s="92">
        <f>J77</f>
        <v>24833333</v>
      </c>
      <c r="C77" s="88" t="s">
        <v>78</v>
      </c>
      <c r="D77" s="88" t="s">
        <v>101</v>
      </c>
      <c r="E77" s="88" t="s">
        <v>114</v>
      </c>
      <c r="F77" s="88" t="s">
        <v>137</v>
      </c>
      <c r="G77" s="88" t="s">
        <v>116</v>
      </c>
      <c r="H77" s="85">
        <v>203</v>
      </c>
      <c r="I77" s="61">
        <v>185</v>
      </c>
      <c r="J77" s="62">
        <f>25000000-166667</f>
        <v>24833333</v>
      </c>
      <c r="K77" s="62">
        <v>335</v>
      </c>
      <c r="L77" s="62">
        <f>25000000-166667</f>
        <v>24833333</v>
      </c>
      <c r="M77" s="63">
        <v>148</v>
      </c>
      <c r="N77" s="76"/>
      <c r="O77" s="51"/>
      <c r="P77" s="51"/>
      <c r="Q77" s="62">
        <v>2333333</v>
      </c>
      <c r="R77" s="62">
        <v>2500000</v>
      </c>
      <c r="S77" s="62">
        <f>2500000</f>
        <v>2500000</v>
      </c>
      <c r="T77" s="62">
        <v>2500000</v>
      </c>
      <c r="U77" s="62">
        <f>2500000</f>
        <v>2500000</v>
      </c>
      <c r="V77" s="62">
        <f>2500000</f>
        <v>2500000</v>
      </c>
      <c r="W77" s="62">
        <f>833333+1666667</f>
        <v>2500000</v>
      </c>
      <c r="X77" s="62">
        <f>2500000</f>
        <v>2500000</v>
      </c>
      <c r="Y77" s="79">
        <f>2500000+2500000</f>
        <v>5000000</v>
      </c>
      <c r="Z77" s="75">
        <f t="shared" si="14"/>
        <v>24833333</v>
      </c>
      <c r="AA77" s="251">
        <f>L77-Z77</f>
        <v>0</v>
      </c>
      <c r="AC77" s="83" t="s">
        <v>437</v>
      </c>
      <c r="AD77" s="111">
        <f>I77</f>
        <v>185</v>
      </c>
      <c r="AE77" s="111">
        <f>J77</f>
        <v>24833333</v>
      </c>
      <c r="AF77" s="198">
        <v>42783</v>
      </c>
      <c r="AG77" s="109">
        <f>K77</f>
        <v>335</v>
      </c>
      <c r="AH77" s="111">
        <f>L77</f>
        <v>24833333</v>
      </c>
      <c r="AI77" s="199">
        <v>42797</v>
      </c>
      <c r="AJ77" s="88" t="s">
        <v>515</v>
      </c>
      <c r="AK77" s="111">
        <f>M77</f>
        <v>148</v>
      </c>
      <c r="AL77" s="111">
        <v>1020761273</v>
      </c>
      <c r="AM77" s="101">
        <f t="shared" si="6"/>
        <v>0</v>
      </c>
    </row>
    <row r="78" spans="1:39" s="112" customFormat="1" ht="89.25">
      <c r="A78" s="254" t="s">
        <v>118</v>
      </c>
      <c r="B78" s="92">
        <f>J78</f>
        <v>0</v>
      </c>
      <c r="C78" s="88" t="s">
        <v>78</v>
      </c>
      <c r="D78" s="88" t="s">
        <v>101</v>
      </c>
      <c r="E78" s="88" t="s">
        <v>114</v>
      </c>
      <c r="F78" s="88" t="s">
        <v>137</v>
      </c>
      <c r="G78" s="88" t="s">
        <v>116</v>
      </c>
      <c r="H78" s="85"/>
      <c r="I78" s="61"/>
      <c r="J78" s="51"/>
      <c r="K78" s="62"/>
      <c r="L78" s="62"/>
      <c r="M78" s="63"/>
      <c r="N78" s="76"/>
      <c r="O78" s="51"/>
      <c r="P78" s="51"/>
      <c r="Q78" s="62"/>
      <c r="R78" s="62"/>
      <c r="S78" s="62"/>
      <c r="T78" s="62"/>
      <c r="U78" s="62"/>
      <c r="V78" s="62"/>
      <c r="W78" s="62"/>
      <c r="X78" s="62"/>
      <c r="Y78" s="79"/>
      <c r="Z78" s="75">
        <f t="shared" si="14"/>
        <v>0</v>
      </c>
      <c r="AA78" s="251">
        <f>L78-Z78</f>
        <v>0</v>
      </c>
      <c r="AC78" s="83"/>
      <c r="AD78" s="111">
        <f>I78</f>
        <v>0</v>
      </c>
      <c r="AE78" s="111">
        <f>J78</f>
        <v>0</v>
      </c>
      <c r="AF78" s="197"/>
      <c r="AG78" s="109">
        <f>K78</f>
        <v>0</v>
      </c>
      <c r="AH78" s="111">
        <f>L78</f>
        <v>0</v>
      </c>
      <c r="AI78" s="167"/>
      <c r="AJ78" s="88"/>
      <c r="AK78" s="111">
        <f>M78</f>
        <v>0</v>
      </c>
      <c r="AL78" s="111"/>
      <c r="AM78" s="101">
        <f t="shared" si="6"/>
        <v>0</v>
      </c>
    </row>
    <row r="79" spans="1:39" s="112" customFormat="1">
      <c r="A79" s="370" t="s">
        <v>132</v>
      </c>
      <c r="B79" s="55">
        <f>B75-B76-B77-B78</f>
        <v>166667</v>
      </c>
      <c r="C79" s="134"/>
      <c r="D79" s="134"/>
      <c r="E79" s="134"/>
      <c r="F79" s="134"/>
      <c r="G79" s="431"/>
      <c r="H79" s="85"/>
      <c r="I79" s="61"/>
      <c r="J79" s="51">
        <f>SUM(J75:J78)</f>
        <v>70833333</v>
      </c>
      <c r="K79" s="432"/>
      <c r="L79" s="51">
        <f>SUM(L75:L78)</f>
        <v>70833333</v>
      </c>
      <c r="M79" s="433"/>
      <c r="N79" s="51">
        <f>SUM(N75:N78)</f>
        <v>0</v>
      </c>
      <c r="O79" s="51">
        <f>SUM(O75:O78)</f>
        <v>0</v>
      </c>
      <c r="P79" s="51">
        <f>SUM(P75:P78)</f>
        <v>0</v>
      </c>
      <c r="Q79" s="51">
        <f t="shared" ref="Q79:W79" si="38">SUM(Q75:Q78)</f>
        <v>8160000</v>
      </c>
      <c r="R79" s="51">
        <f t="shared" si="38"/>
        <v>7100000</v>
      </c>
      <c r="S79" s="51">
        <f t="shared" si="38"/>
        <v>7100000</v>
      </c>
      <c r="T79" s="51">
        <f t="shared" si="38"/>
        <v>7100000</v>
      </c>
      <c r="U79" s="51">
        <f>SUM(U75:U78)</f>
        <v>7100000</v>
      </c>
      <c r="V79" s="51">
        <f t="shared" si="38"/>
        <v>2500000</v>
      </c>
      <c r="W79" s="51">
        <f t="shared" si="38"/>
        <v>11700000</v>
      </c>
      <c r="X79" s="51">
        <f>SUM(X75:X78)</f>
        <v>7100000</v>
      </c>
      <c r="Y79" s="51">
        <f>SUM(Y75:Y78)</f>
        <v>12973333</v>
      </c>
      <c r="Z79" s="51">
        <f>SUM(Z75:Z78)</f>
        <v>70833333</v>
      </c>
      <c r="AA79" s="256">
        <f>SUM(AA75:AA78)</f>
        <v>0</v>
      </c>
      <c r="AC79" s="434"/>
      <c r="AD79" s="101"/>
      <c r="AE79" s="51">
        <f>SUM(AE75:AE78)</f>
        <v>70833333</v>
      </c>
      <c r="AF79" s="435"/>
      <c r="AG79" s="436"/>
      <c r="AH79" s="51">
        <f>SUM(AH75:AH78)</f>
        <v>70833333</v>
      </c>
      <c r="AI79" s="200"/>
      <c r="AJ79" s="44"/>
      <c r="AK79" s="200"/>
      <c r="AL79" s="101"/>
      <c r="AM79" s="51">
        <f>SUM(AM75:AM78)</f>
        <v>0</v>
      </c>
    </row>
    <row r="80" spans="1:39" s="112" customFormat="1">
      <c r="A80" s="252"/>
      <c r="B80" s="45"/>
      <c r="C80" s="44"/>
      <c r="D80" s="44"/>
      <c r="E80" s="44"/>
      <c r="F80" s="44"/>
      <c r="G80" s="49"/>
      <c r="H80" s="86"/>
      <c r="I80" s="67"/>
      <c r="J80" s="47"/>
      <c r="K80" s="47"/>
      <c r="L80" s="47"/>
      <c r="M80" s="48"/>
      <c r="N80" s="74"/>
      <c r="O80" s="47"/>
      <c r="P80" s="47"/>
      <c r="Q80" s="47"/>
      <c r="R80" s="47"/>
      <c r="S80" s="47"/>
      <c r="T80" s="47"/>
      <c r="U80" s="47"/>
      <c r="V80" s="47"/>
      <c r="W80" s="47"/>
      <c r="X80" s="47"/>
      <c r="Y80" s="48"/>
      <c r="Z80" s="75"/>
      <c r="AA80" s="251"/>
      <c r="AC80" s="83"/>
      <c r="AD80" s="111"/>
      <c r="AE80" s="111"/>
      <c r="AF80" s="197"/>
      <c r="AG80" s="166"/>
      <c r="AH80" s="111"/>
      <c r="AI80" s="167"/>
      <c r="AJ80" s="88"/>
      <c r="AK80" s="167"/>
      <c r="AL80" s="111"/>
      <c r="AM80" s="101">
        <f t="shared" si="6"/>
        <v>0</v>
      </c>
    </row>
    <row r="81" spans="1:39" s="112" customFormat="1">
      <c r="A81" s="454" t="s">
        <v>135</v>
      </c>
      <c r="B81" s="437">
        <f>B16+B68+B75</f>
        <v>1989378168</v>
      </c>
      <c r="C81" s="438"/>
      <c r="D81" s="439"/>
      <c r="E81" s="438"/>
      <c r="F81" s="438"/>
      <c r="G81" s="440"/>
      <c r="H81" s="441"/>
      <c r="I81" s="442"/>
      <c r="J81" s="384">
        <f>J67+J74+J79</f>
        <v>1986614317</v>
      </c>
      <c r="K81" s="443"/>
      <c r="L81" s="384">
        <f>L67+L74+L79</f>
        <v>1986614317</v>
      </c>
      <c r="M81" s="444"/>
      <c r="N81" s="387">
        <f t="shared" ref="N81:AA81" si="39">N67+N74+N79</f>
        <v>0</v>
      </c>
      <c r="O81" s="384">
        <f t="shared" si="39"/>
        <v>0</v>
      </c>
      <c r="P81" s="384">
        <f t="shared" si="39"/>
        <v>83903134</v>
      </c>
      <c r="Q81" s="384">
        <f t="shared" si="39"/>
        <v>148077567</v>
      </c>
      <c r="R81" s="384">
        <f t="shared" si="39"/>
        <v>160687500</v>
      </c>
      <c r="S81" s="384">
        <f t="shared" si="39"/>
        <v>182516834</v>
      </c>
      <c r="T81" s="384">
        <f t="shared" si="39"/>
        <v>212559037</v>
      </c>
      <c r="U81" s="384">
        <f t="shared" si="39"/>
        <v>213059720</v>
      </c>
      <c r="V81" s="384">
        <f t="shared" si="39"/>
        <v>177190520</v>
      </c>
      <c r="W81" s="384">
        <f t="shared" si="39"/>
        <v>193546852</v>
      </c>
      <c r="X81" s="384">
        <f t="shared" si="39"/>
        <v>190709587</v>
      </c>
      <c r="Y81" s="445">
        <f t="shared" si="39"/>
        <v>403359774</v>
      </c>
      <c r="Z81" s="446">
        <f t="shared" si="39"/>
        <v>1965610525</v>
      </c>
      <c r="AA81" s="455">
        <f t="shared" si="39"/>
        <v>21003792</v>
      </c>
      <c r="AC81" s="434"/>
      <c r="AD81" s="101"/>
      <c r="AE81" s="101">
        <f>J81</f>
        <v>1986614317</v>
      </c>
      <c r="AF81" s="435"/>
      <c r="AG81" s="436"/>
      <c r="AH81" s="101">
        <f>L81</f>
        <v>1986614317</v>
      </c>
      <c r="AI81" s="200"/>
      <c r="AJ81" s="44"/>
      <c r="AK81" s="200"/>
      <c r="AL81" s="101"/>
      <c r="AM81" s="101">
        <f t="shared" si="6"/>
        <v>0</v>
      </c>
    </row>
    <row r="82" spans="1:39" s="112" customFormat="1" hidden="1">
      <c r="A82" s="273"/>
      <c r="B82" s="59"/>
      <c r="C82" s="59"/>
      <c r="D82" s="59"/>
      <c r="E82" s="59"/>
      <c r="F82" s="59"/>
      <c r="G82" s="59"/>
      <c r="H82" s="447"/>
      <c r="I82" s="447"/>
      <c r="J82" s="274"/>
      <c r="K82" s="275"/>
      <c r="L82" s="274"/>
      <c r="M82" s="275"/>
      <c r="N82" s="276"/>
      <c r="O82" s="276"/>
      <c r="P82" s="276"/>
      <c r="Q82" s="276"/>
      <c r="R82" s="276"/>
      <c r="S82" s="276"/>
      <c r="T82" s="276"/>
      <c r="U82" s="276"/>
      <c r="V82" s="276"/>
      <c r="W82" s="276"/>
      <c r="X82" s="276"/>
      <c r="Y82" s="276"/>
      <c r="Z82" s="276"/>
      <c r="AA82" s="278"/>
      <c r="AC82" s="129"/>
      <c r="AD82" s="131"/>
      <c r="AE82" s="131"/>
      <c r="AF82" s="131"/>
      <c r="AG82" s="131"/>
      <c r="AH82" s="131"/>
      <c r="AI82" s="131"/>
      <c r="AJ82" s="130"/>
      <c r="AK82" s="131"/>
      <c r="AL82" s="133"/>
      <c r="AM82" s="195"/>
    </row>
    <row r="83" spans="1:39" s="112" customFormat="1" hidden="1">
      <c r="A83" s="273"/>
      <c r="B83" s="59"/>
      <c r="C83" s="59"/>
      <c r="D83" s="59"/>
      <c r="E83" s="59"/>
      <c r="F83" s="59"/>
      <c r="G83" s="59"/>
      <c r="H83" s="447"/>
      <c r="I83" s="447"/>
      <c r="J83" s="274"/>
      <c r="K83" s="275"/>
      <c r="L83" s="274"/>
      <c r="M83" s="275"/>
      <c r="N83" s="276"/>
      <c r="O83" s="276"/>
      <c r="P83" s="276"/>
      <c r="Q83" s="276"/>
      <c r="R83" s="276"/>
      <c r="S83" s="276"/>
      <c r="T83" s="276"/>
      <c r="U83" s="276"/>
      <c r="V83" s="276"/>
      <c r="W83" s="276"/>
      <c r="X83" s="276"/>
      <c r="Y83" s="276"/>
      <c r="Z83" s="276"/>
      <c r="AA83" s="278"/>
      <c r="AC83" s="129"/>
      <c r="AD83" s="131"/>
      <c r="AE83" s="131"/>
      <c r="AF83" s="131"/>
      <c r="AG83" s="131"/>
      <c r="AH83" s="131"/>
      <c r="AI83" s="131"/>
      <c r="AJ83" s="130"/>
      <c r="AK83" s="131"/>
      <c r="AL83" s="133"/>
      <c r="AM83" s="195"/>
    </row>
    <row r="84" spans="1:39" s="112" customFormat="1">
      <c r="A84" s="273"/>
      <c r="B84" s="59"/>
      <c r="C84" s="59"/>
      <c r="D84" s="59"/>
      <c r="E84" s="59"/>
      <c r="F84" s="59"/>
      <c r="G84" s="59"/>
      <c r="H84" s="447"/>
      <c r="I84" s="447"/>
      <c r="J84" s="274"/>
      <c r="K84" s="275"/>
      <c r="L84" s="274"/>
      <c r="M84" s="275"/>
      <c r="N84" s="276"/>
      <c r="O84" s="276"/>
      <c r="P84" s="276"/>
      <c r="Q84" s="276"/>
      <c r="R84" s="276"/>
      <c r="S84" s="276"/>
      <c r="T84" s="276"/>
      <c r="U84" s="276"/>
      <c r="V84" s="276"/>
      <c r="W84" s="276"/>
      <c r="X84" s="276">
        <f>X81-X86</f>
        <v>0</v>
      </c>
      <c r="Y84" s="276"/>
      <c r="Z84" s="276"/>
      <c r="AA84" s="278"/>
      <c r="AC84" s="129"/>
      <c r="AD84" s="131"/>
      <c r="AE84" s="131"/>
      <c r="AF84" s="131"/>
      <c r="AG84" s="131"/>
      <c r="AH84" s="131"/>
      <c r="AI84" s="131"/>
      <c r="AJ84" s="130"/>
      <c r="AK84" s="131"/>
      <c r="AL84" s="133"/>
      <c r="AM84" s="195"/>
    </row>
    <row r="85" spans="1:39" s="112" customFormat="1" ht="18">
      <c r="A85" s="273"/>
      <c r="B85" s="59"/>
      <c r="C85" s="59"/>
      <c r="D85" s="59"/>
      <c r="E85" s="59"/>
      <c r="F85" s="59"/>
      <c r="G85" s="59"/>
      <c r="H85" s="447"/>
      <c r="I85" s="448" t="s">
        <v>266</v>
      </c>
      <c r="J85" s="449"/>
      <c r="K85" s="275"/>
      <c r="L85" s="274"/>
      <c r="M85" s="275"/>
      <c r="N85" s="276"/>
      <c r="O85" s="276"/>
      <c r="P85" s="276"/>
      <c r="Q85" s="276"/>
      <c r="R85" s="276">
        <f>R86-R81</f>
        <v>0</v>
      </c>
      <c r="S85" s="276"/>
      <c r="T85" s="276"/>
      <c r="U85" s="276"/>
      <c r="V85" s="276">
        <f>V86-V81</f>
        <v>0</v>
      </c>
      <c r="W85" s="276"/>
      <c r="X85" s="276"/>
      <c r="Y85" s="276"/>
      <c r="Z85" s="276"/>
      <c r="AA85" s="278"/>
      <c r="AC85" s="129"/>
      <c r="AD85" s="131"/>
      <c r="AE85" s="131"/>
      <c r="AF85" s="131"/>
      <c r="AG85" s="131"/>
      <c r="AH85" s="131"/>
      <c r="AI85" s="131"/>
      <c r="AJ85" s="130"/>
      <c r="AK85" s="131"/>
      <c r="AL85" s="133"/>
      <c r="AM85" s="195"/>
    </row>
    <row r="86" spans="1:39" s="291" customFormat="1" ht="14.25" customHeight="1">
      <c r="A86" s="280" t="s">
        <v>58</v>
      </c>
      <c r="B86" s="81">
        <v>1989378168</v>
      </c>
      <c r="C86" s="282"/>
      <c r="D86" s="282"/>
      <c r="E86" s="282"/>
      <c r="F86" s="282"/>
      <c r="G86" s="282"/>
      <c r="H86" s="94" t="s">
        <v>199</v>
      </c>
      <c r="I86" s="94"/>
      <c r="J86" s="90">
        <f>1986614317</f>
        <v>1986614317</v>
      </c>
      <c r="K86" s="81"/>
      <c r="L86" s="90">
        <f>1986614317</f>
        <v>1986614317</v>
      </c>
      <c r="M86" s="82"/>
      <c r="N86" s="422">
        <v>0</v>
      </c>
      <c r="O86" s="450">
        <v>0</v>
      </c>
      <c r="P86" s="286">
        <v>83903134</v>
      </c>
      <c r="Q86" s="287">
        <v>148077567</v>
      </c>
      <c r="R86" s="287">
        <v>160687500</v>
      </c>
      <c r="S86" s="287">
        <v>182516834</v>
      </c>
      <c r="T86" s="287">
        <v>212559037</v>
      </c>
      <c r="U86" s="287">
        <v>213059720</v>
      </c>
      <c r="V86" s="287">
        <f>177190520</f>
        <v>177190520</v>
      </c>
      <c r="W86" s="287">
        <v>193546852</v>
      </c>
      <c r="X86" s="287">
        <v>190709587</v>
      </c>
      <c r="Y86" s="288">
        <f>403359774</f>
        <v>403359774</v>
      </c>
      <c r="Z86" s="289">
        <f>SUM(N86:Y86)</f>
        <v>1965610525</v>
      </c>
      <c r="AA86" s="390">
        <f>L86-Z86</f>
        <v>21003792</v>
      </c>
      <c r="AC86" s="424"/>
      <c r="AD86" s="293"/>
      <c r="AE86" s="293"/>
      <c r="AF86" s="293"/>
      <c r="AG86" s="293"/>
      <c r="AH86" s="293"/>
      <c r="AI86" s="293"/>
      <c r="AJ86" s="294"/>
      <c r="AK86" s="293"/>
      <c r="AL86" s="295"/>
      <c r="AM86" s="296"/>
    </row>
    <row r="87" spans="1:39" s="112" customFormat="1">
      <c r="A87" s="273"/>
      <c r="B87" s="59"/>
      <c r="C87" s="59"/>
      <c r="D87" s="59"/>
      <c r="E87" s="59"/>
      <c r="F87" s="59"/>
      <c r="G87" s="59"/>
      <c r="H87" s="447"/>
      <c r="I87" s="448" t="s">
        <v>267</v>
      </c>
      <c r="J87" s="449">
        <f>J81-J86</f>
        <v>0</v>
      </c>
      <c r="K87" s="275"/>
      <c r="L87" s="274">
        <f>L86-L81</f>
        <v>0</v>
      </c>
      <c r="M87" s="275"/>
      <c r="N87" s="276"/>
      <c r="O87" s="276"/>
      <c r="P87" s="276">
        <f>P86-P81</f>
        <v>0</v>
      </c>
      <c r="Q87" s="276"/>
      <c r="R87" s="276"/>
      <c r="S87" s="276"/>
      <c r="T87" s="276"/>
      <c r="U87" s="276"/>
      <c r="V87" s="276"/>
      <c r="W87" s="276"/>
      <c r="X87" s="276"/>
      <c r="Y87" s="276">
        <f>Y86-Y81</f>
        <v>0</v>
      </c>
      <c r="Z87" s="276"/>
      <c r="AA87" s="278"/>
      <c r="AC87" s="129"/>
      <c r="AD87" s="131"/>
      <c r="AE87" s="131"/>
      <c r="AF87" s="131"/>
      <c r="AG87" s="131"/>
      <c r="AH87" s="131"/>
      <c r="AI87" s="131"/>
      <c r="AJ87" s="130"/>
      <c r="AK87" s="131"/>
      <c r="AL87" s="133"/>
      <c r="AM87" s="195"/>
    </row>
    <row r="88" spans="1:39" s="307" customFormat="1" ht="58.5" customHeight="1" thickBot="1">
      <c r="A88" s="297" t="s">
        <v>116</v>
      </c>
      <c r="B88" s="298">
        <f>B16+B68+B75</f>
        <v>1989378168</v>
      </c>
      <c r="C88" s="299"/>
      <c r="D88" s="299"/>
      <c r="E88" s="299"/>
      <c r="F88" s="299"/>
      <c r="G88" s="300" t="s">
        <v>116</v>
      </c>
      <c r="H88" s="456"/>
      <c r="I88" s="456"/>
      <c r="J88" s="302">
        <f>J67+J74+J79</f>
        <v>1986614317</v>
      </c>
      <c r="K88" s="303"/>
      <c r="L88" s="302">
        <f>L67+L74+L79</f>
        <v>1986614317</v>
      </c>
      <c r="M88" s="253"/>
      <c r="N88" s="302">
        <f t="shared" ref="N88:AA88" si="40">N67+N74+N79</f>
        <v>0</v>
      </c>
      <c r="O88" s="302">
        <f t="shared" si="40"/>
        <v>0</v>
      </c>
      <c r="P88" s="302">
        <f t="shared" si="40"/>
        <v>83903134</v>
      </c>
      <c r="Q88" s="302">
        <f t="shared" si="40"/>
        <v>148077567</v>
      </c>
      <c r="R88" s="302">
        <f t="shared" si="40"/>
        <v>160687500</v>
      </c>
      <c r="S88" s="302">
        <f t="shared" si="40"/>
        <v>182516834</v>
      </c>
      <c r="T88" s="302">
        <f t="shared" si="40"/>
        <v>212559037</v>
      </c>
      <c r="U88" s="302">
        <f t="shared" si="40"/>
        <v>213059720</v>
      </c>
      <c r="V88" s="302">
        <f t="shared" si="40"/>
        <v>177190520</v>
      </c>
      <c r="W88" s="302">
        <f t="shared" si="40"/>
        <v>193546852</v>
      </c>
      <c r="X88" s="302">
        <f t="shared" si="40"/>
        <v>190709587</v>
      </c>
      <c r="Y88" s="304">
        <f t="shared" si="40"/>
        <v>403359774</v>
      </c>
      <c r="Z88" s="305">
        <f t="shared" si="40"/>
        <v>1965610525</v>
      </c>
      <c r="AA88" s="457">
        <f t="shared" si="40"/>
        <v>21003792</v>
      </c>
      <c r="AC88" s="424"/>
      <c r="AD88" s="293"/>
      <c r="AE88" s="293"/>
      <c r="AF88" s="293"/>
      <c r="AG88" s="293"/>
      <c r="AH88" s="293"/>
      <c r="AI88" s="293"/>
      <c r="AJ88" s="294"/>
      <c r="AK88" s="293"/>
      <c r="AL88" s="295"/>
      <c r="AM88" s="296"/>
    </row>
    <row r="89" spans="1:39" s="112" customFormat="1">
      <c r="A89" s="308"/>
      <c r="B89" s="59"/>
      <c r="C89" s="59"/>
      <c r="D89" s="59"/>
      <c r="E89" s="59"/>
      <c r="F89" s="59"/>
      <c r="G89" s="308"/>
      <c r="H89" s="447"/>
      <c r="I89" s="447"/>
      <c r="J89" s="274"/>
      <c r="K89" s="275"/>
      <c r="L89" s="274"/>
      <c r="M89" s="275"/>
      <c r="N89" s="116"/>
      <c r="O89" s="116"/>
      <c r="P89" s="116"/>
      <c r="Q89" s="116"/>
      <c r="R89" s="116"/>
      <c r="S89" s="116"/>
      <c r="T89" s="116"/>
      <c r="U89" s="116"/>
      <c r="V89" s="116"/>
      <c r="W89" s="116"/>
      <c r="X89" s="116"/>
      <c r="Y89" s="116"/>
      <c r="Z89" s="116"/>
      <c r="AA89" s="116"/>
      <c r="AC89" s="129"/>
      <c r="AD89" s="131"/>
      <c r="AE89" s="131"/>
      <c r="AF89" s="131"/>
      <c r="AG89" s="131"/>
      <c r="AH89" s="131"/>
      <c r="AI89" s="131"/>
      <c r="AJ89" s="130"/>
      <c r="AK89" s="131"/>
      <c r="AL89" s="133"/>
      <c r="AM89" s="195"/>
    </row>
    <row r="90" spans="1:39" s="112" customFormat="1">
      <c r="J90" s="116"/>
      <c r="L90" s="116"/>
      <c r="N90" s="116"/>
      <c r="O90" s="116"/>
      <c r="P90" s="116"/>
      <c r="Q90" s="116"/>
      <c r="R90" s="116"/>
      <c r="S90" s="116"/>
      <c r="T90" s="116">
        <f>T86-T88</f>
        <v>0</v>
      </c>
      <c r="U90" s="116"/>
      <c r="V90" s="116"/>
      <c r="W90" s="116"/>
      <c r="X90" s="116"/>
      <c r="Y90" s="116"/>
      <c r="Z90" s="116"/>
      <c r="AA90" s="116"/>
      <c r="AC90" s="129"/>
      <c r="AD90" s="131"/>
      <c r="AE90" s="131"/>
      <c r="AF90" s="131"/>
      <c r="AG90" s="131"/>
      <c r="AH90" s="131"/>
      <c r="AI90" s="131"/>
      <c r="AJ90" s="130"/>
      <c r="AK90" s="131"/>
      <c r="AL90" s="133"/>
      <c r="AM90" s="195"/>
    </row>
    <row r="91" spans="1:39" s="112" customFormat="1">
      <c r="J91" s="116"/>
      <c r="L91" s="116"/>
      <c r="N91" s="116"/>
      <c r="O91" s="116"/>
      <c r="P91" s="116"/>
      <c r="Q91" s="116"/>
      <c r="R91" s="116"/>
      <c r="S91" s="116"/>
      <c r="T91" s="116">
        <f>T90/2</f>
        <v>0</v>
      </c>
      <c r="U91" s="116"/>
      <c r="V91" s="116"/>
      <c r="W91" s="116"/>
      <c r="X91" s="116"/>
      <c r="Y91" s="116"/>
      <c r="Z91" s="116"/>
      <c r="AA91" s="116"/>
      <c r="AC91" s="129"/>
      <c r="AD91" s="131"/>
      <c r="AE91" s="131"/>
      <c r="AF91" s="131"/>
      <c r="AG91" s="131"/>
      <c r="AH91" s="131"/>
      <c r="AI91" s="131"/>
      <c r="AJ91" s="130"/>
      <c r="AK91" s="131"/>
      <c r="AL91" s="133"/>
      <c r="AM91" s="195"/>
    </row>
    <row r="92" spans="1:39" s="112" customFormat="1" ht="14.25" customHeight="1">
      <c r="A92" s="310"/>
      <c r="D92" s="311"/>
      <c r="E92" s="312"/>
      <c r="F92" s="313"/>
      <c r="G92" s="313"/>
      <c r="J92" s="116"/>
      <c r="L92" s="314"/>
      <c r="M92" s="315"/>
      <c r="N92" s="116"/>
      <c r="O92" s="116"/>
      <c r="P92" s="116"/>
      <c r="Q92" s="116"/>
      <c r="R92" s="116"/>
      <c r="S92" s="276"/>
      <c r="T92" s="276"/>
      <c r="U92" s="276"/>
      <c r="V92" s="276"/>
      <c r="W92" s="276"/>
      <c r="X92" s="276"/>
      <c r="Y92" s="276"/>
      <c r="Z92" s="276"/>
      <c r="AA92" s="276"/>
      <c r="AC92" s="129"/>
      <c r="AD92" s="131"/>
      <c r="AE92" s="131"/>
      <c r="AF92" s="131"/>
      <c r="AG92" s="131"/>
      <c r="AH92" s="131"/>
      <c r="AI92" s="131"/>
      <c r="AJ92" s="130"/>
      <c r="AK92" s="131"/>
      <c r="AL92" s="133"/>
      <c r="AM92" s="195"/>
    </row>
    <row r="93" spans="1:39" s="112" customFormat="1" ht="15.75">
      <c r="A93" s="317" t="s">
        <v>1370</v>
      </c>
      <c r="C93" s="318" t="s">
        <v>1372</v>
      </c>
      <c r="E93" s="318" t="s">
        <v>1372</v>
      </c>
      <c r="J93" s="116"/>
      <c r="L93" s="116"/>
      <c r="N93" s="116"/>
      <c r="O93" s="116"/>
      <c r="P93" s="116"/>
      <c r="Q93" s="116"/>
      <c r="R93" s="116"/>
      <c r="S93" s="276"/>
      <c r="T93" s="276"/>
      <c r="U93" s="276"/>
      <c r="V93" s="276"/>
      <c r="W93" s="276"/>
      <c r="X93" s="276"/>
      <c r="Y93" s="276"/>
      <c r="Z93" s="276"/>
      <c r="AA93" s="316"/>
      <c r="AC93" s="129"/>
      <c r="AD93" s="131"/>
      <c r="AE93" s="131"/>
      <c r="AF93" s="131"/>
      <c r="AG93" s="131"/>
      <c r="AH93" s="131"/>
      <c r="AI93" s="131"/>
      <c r="AJ93" s="130"/>
      <c r="AK93" s="131"/>
      <c r="AL93" s="133"/>
      <c r="AM93" s="195"/>
    </row>
    <row r="94" spans="1:39" s="112" customFormat="1" ht="15">
      <c r="C94" s="451" t="s">
        <v>1374</v>
      </c>
      <c r="E94" s="319" t="s">
        <v>1373</v>
      </c>
      <c r="J94" s="116"/>
      <c r="L94" s="116"/>
      <c r="N94" s="116"/>
      <c r="O94" s="116"/>
      <c r="P94" s="116"/>
      <c r="Q94" s="116"/>
      <c r="R94" s="116"/>
      <c r="S94" s="276"/>
      <c r="T94" s="276"/>
      <c r="U94" s="276"/>
      <c r="V94" s="276"/>
      <c r="W94" s="276"/>
      <c r="X94" s="276"/>
      <c r="Y94" s="276"/>
      <c r="Z94" s="276"/>
      <c r="AA94" s="276"/>
      <c r="AC94" s="129"/>
      <c r="AD94" s="131"/>
      <c r="AE94" s="131"/>
      <c r="AF94" s="131"/>
      <c r="AG94" s="131"/>
      <c r="AH94" s="131"/>
      <c r="AI94" s="131"/>
      <c r="AJ94" s="130"/>
      <c r="AK94" s="131"/>
      <c r="AL94" s="133"/>
      <c r="AM94" s="195"/>
    </row>
    <row r="95" spans="1:39" s="112" customFormat="1">
      <c r="J95" s="116"/>
      <c r="L95" s="116"/>
      <c r="N95" s="116"/>
      <c r="O95" s="116"/>
      <c r="P95" s="116"/>
      <c r="Q95" s="116"/>
      <c r="R95" s="116"/>
      <c r="S95" s="116"/>
      <c r="T95" s="116"/>
      <c r="U95" s="116"/>
      <c r="V95" s="116"/>
      <c r="W95" s="116"/>
      <c r="X95" s="116"/>
      <c r="Y95" s="116"/>
      <c r="Z95" s="116"/>
      <c r="AA95" s="116"/>
      <c r="AC95" s="129"/>
      <c r="AD95" s="131"/>
      <c r="AE95" s="131"/>
      <c r="AF95" s="131"/>
      <c r="AG95" s="131"/>
      <c r="AH95" s="131"/>
      <c r="AI95" s="131"/>
      <c r="AJ95" s="130"/>
      <c r="AK95" s="131"/>
      <c r="AL95" s="133"/>
      <c r="AM95" s="195"/>
    </row>
    <row r="96" spans="1:39" s="112" customFormat="1">
      <c r="J96" s="116"/>
      <c r="L96" s="116"/>
      <c r="N96" s="116"/>
      <c r="O96" s="116"/>
      <c r="P96" s="116"/>
      <c r="Q96" s="116"/>
      <c r="R96" s="116"/>
      <c r="S96" s="116"/>
      <c r="T96" s="116"/>
      <c r="U96" s="116"/>
      <c r="V96" s="116"/>
      <c r="W96" s="116"/>
      <c r="X96" s="116"/>
      <c r="Y96" s="116"/>
      <c r="Z96" s="116"/>
      <c r="AA96" s="116"/>
      <c r="AC96" s="129"/>
      <c r="AD96" s="131"/>
      <c r="AE96" s="131"/>
      <c r="AF96" s="131"/>
      <c r="AG96" s="131"/>
      <c r="AH96" s="131"/>
      <c r="AI96" s="131"/>
      <c r="AJ96" s="130"/>
      <c r="AK96" s="131"/>
      <c r="AL96" s="133"/>
      <c r="AM96" s="195"/>
    </row>
    <row r="97" spans="1:39" s="112" customFormat="1">
      <c r="A97" s="320"/>
      <c r="B97" s="321"/>
      <c r="C97" s="322"/>
      <c r="D97" s="323"/>
      <c r="J97" s="116"/>
      <c r="L97" s="116"/>
      <c r="N97" s="116"/>
      <c r="O97" s="116"/>
      <c r="P97" s="116"/>
      <c r="Q97" s="116"/>
      <c r="R97" s="116"/>
      <c r="S97" s="116"/>
      <c r="T97" s="116"/>
      <c r="U97" s="116"/>
      <c r="V97" s="116"/>
      <c r="W97" s="116"/>
      <c r="X97" s="116"/>
      <c r="Y97" s="116"/>
      <c r="Z97" s="116"/>
      <c r="AA97" s="116"/>
      <c r="AC97" s="129"/>
      <c r="AD97" s="131"/>
      <c r="AE97" s="131"/>
      <c r="AF97" s="131"/>
      <c r="AG97" s="131"/>
      <c r="AH97" s="131"/>
      <c r="AI97" s="131"/>
      <c r="AJ97" s="130"/>
      <c r="AK97" s="131"/>
      <c r="AL97" s="133"/>
      <c r="AM97" s="195"/>
    </row>
    <row r="98" spans="1:39" s="112" customFormat="1">
      <c r="A98" s="312"/>
      <c r="B98" s="315"/>
      <c r="C98" s="324"/>
      <c r="D98" s="325"/>
      <c r="J98" s="116"/>
      <c r="L98" s="116"/>
      <c r="N98" s="116"/>
      <c r="O98" s="116"/>
      <c r="P98" s="116"/>
      <c r="Q98" s="116"/>
      <c r="R98" s="116"/>
      <c r="S98" s="116"/>
      <c r="T98" s="116"/>
      <c r="U98" s="116"/>
      <c r="V98" s="116"/>
      <c r="W98" s="116"/>
      <c r="X98" s="116"/>
      <c r="Y98" s="116"/>
      <c r="Z98" s="116"/>
      <c r="AA98" s="116"/>
      <c r="AC98" s="129"/>
      <c r="AD98" s="131"/>
      <c r="AE98" s="131"/>
      <c r="AF98" s="131"/>
      <c r="AG98" s="131"/>
      <c r="AH98" s="131"/>
      <c r="AI98" s="131"/>
      <c r="AJ98" s="130"/>
      <c r="AK98" s="131"/>
      <c r="AL98" s="133"/>
      <c r="AM98" s="195"/>
    </row>
    <row r="99" spans="1:39" s="112" customFormat="1">
      <c r="A99" s="312"/>
      <c r="B99" s="315"/>
      <c r="C99" s="324"/>
      <c r="D99" s="325"/>
      <c r="J99" s="116"/>
      <c r="L99" s="116"/>
      <c r="N99" s="116"/>
      <c r="O99" s="116"/>
      <c r="P99" s="116"/>
      <c r="Q99" s="116"/>
      <c r="R99" s="116"/>
      <c r="S99" s="116"/>
      <c r="T99" s="116"/>
      <c r="U99" s="116"/>
      <c r="V99" s="116"/>
      <c r="W99" s="116"/>
      <c r="X99" s="116"/>
      <c r="Y99" s="116"/>
      <c r="Z99" s="116"/>
      <c r="AA99" s="116"/>
      <c r="AC99" s="129"/>
      <c r="AD99" s="131"/>
      <c r="AE99" s="131"/>
      <c r="AF99" s="131"/>
      <c r="AG99" s="131"/>
      <c r="AH99" s="131"/>
      <c r="AI99" s="131"/>
      <c r="AJ99" s="130"/>
      <c r="AK99" s="131"/>
      <c r="AL99" s="133"/>
      <c r="AM99" s="195"/>
    </row>
    <row r="100" spans="1:39" s="112" customFormat="1">
      <c r="A100" s="312"/>
      <c r="B100" s="315"/>
      <c r="C100" s="324"/>
      <c r="D100" s="325"/>
      <c r="J100" s="116"/>
      <c r="L100" s="116"/>
      <c r="N100" s="116"/>
      <c r="O100" s="116"/>
      <c r="P100" s="116"/>
      <c r="Q100" s="116"/>
      <c r="R100" s="116"/>
      <c r="S100" s="116"/>
      <c r="T100" s="116"/>
      <c r="U100" s="116"/>
      <c r="V100" s="116"/>
      <c r="W100" s="116"/>
      <c r="X100" s="116"/>
      <c r="Y100" s="116"/>
      <c r="Z100" s="116"/>
      <c r="AA100" s="116"/>
      <c r="AC100" s="129"/>
      <c r="AD100" s="131"/>
      <c r="AE100" s="131"/>
      <c r="AF100" s="131"/>
      <c r="AG100" s="131"/>
      <c r="AH100" s="131"/>
      <c r="AI100" s="131"/>
      <c r="AJ100" s="130"/>
      <c r="AK100" s="131"/>
      <c r="AL100" s="133"/>
      <c r="AM100" s="195"/>
    </row>
    <row r="101" spans="1:39" s="112" customFormat="1">
      <c r="J101" s="116"/>
      <c r="L101" s="116"/>
      <c r="N101" s="116"/>
      <c r="O101" s="116"/>
      <c r="P101" s="116"/>
      <c r="Q101" s="116"/>
      <c r="R101" s="116"/>
      <c r="S101" s="116"/>
      <c r="T101" s="116"/>
      <c r="U101" s="116"/>
      <c r="V101" s="116"/>
      <c r="W101" s="116"/>
      <c r="X101" s="116"/>
      <c r="Y101" s="116"/>
      <c r="Z101" s="116"/>
      <c r="AA101" s="116"/>
      <c r="AC101" s="129"/>
      <c r="AD101" s="131"/>
      <c r="AE101" s="131"/>
      <c r="AF101" s="131"/>
      <c r="AG101" s="131"/>
      <c r="AH101" s="131"/>
      <c r="AI101" s="131"/>
      <c r="AJ101" s="130"/>
      <c r="AK101" s="131"/>
      <c r="AL101" s="133"/>
      <c r="AM101" s="195"/>
    </row>
    <row r="102" spans="1:39" s="112" customFormat="1">
      <c r="A102" s="312"/>
      <c r="B102" s="315"/>
      <c r="J102" s="116"/>
      <c r="L102" s="116"/>
      <c r="N102" s="116"/>
      <c r="O102" s="116"/>
      <c r="P102" s="116"/>
      <c r="Q102" s="116"/>
      <c r="R102" s="116"/>
      <c r="S102" s="116"/>
      <c r="T102" s="116"/>
      <c r="U102" s="116"/>
      <c r="V102" s="116"/>
      <c r="W102" s="116"/>
      <c r="X102" s="116"/>
      <c r="Y102" s="116"/>
      <c r="Z102" s="116"/>
      <c r="AA102" s="116"/>
      <c r="AC102" s="129"/>
      <c r="AD102" s="131"/>
      <c r="AE102" s="131"/>
      <c r="AF102" s="131"/>
      <c r="AG102" s="131"/>
      <c r="AH102" s="131"/>
      <c r="AI102" s="131"/>
      <c r="AJ102" s="130"/>
      <c r="AK102" s="131"/>
      <c r="AL102" s="133"/>
      <c r="AM102" s="195"/>
    </row>
    <row r="103" spans="1:39" s="112" customFormat="1">
      <c r="A103" s="312"/>
      <c r="B103" s="315"/>
      <c r="J103" s="116"/>
      <c r="L103" s="116"/>
      <c r="N103" s="116"/>
      <c r="O103" s="116"/>
      <c r="P103" s="116"/>
      <c r="Q103" s="116"/>
      <c r="R103" s="116"/>
      <c r="S103" s="116"/>
      <c r="T103" s="116"/>
      <c r="U103" s="116"/>
      <c r="V103" s="116"/>
      <c r="W103" s="116"/>
      <c r="X103" s="116"/>
      <c r="Y103" s="116"/>
      <c r="Z103" s="116"/>
      <c r="AA103" s="116"/>
      <c r="AC103" s="129"/>
      <c r="AD103" s="131"/>
      <c r="AE103" s="131"/>
      <c r="AF103" s="131"/>
      <c r="AG103" s="131"/>
      <c r="AH103" s="131"/>
      <c r="AI103" s="131"/>
      <c r="AJ103" s="130"/>
      <c r="AK103" s="131"/>
      <c r="AL103" s="133"/>
      <c r="AM103" s="195"/>
    </row>
    <row r="104" spans="1:39">
      <c r="A104" s="1"/>
      <c r="B104" s="4"/>
    </row>
    <row r="105" spans="1:39">
      <c r="A105" s="1"/>
      <c r="B105" s="4"/>
    </row>
    <row r="106" spans="1:39">
      <c r="A106" s="1"/>
      <c r="B106" s="4"/>
    </row>
    <row r="107" spans="1:39">
      <c r="A107" s="1"/>
      <c r="B107" s="4"/>
    </row>
    <row r="108" spans="1:39">
      <c r="A108" s="1"/>
      <c r="B108" s="4"/>
    </row>
    <row r="109" spans="1:39">
      <c r="A109" s="1"/>
      <c r="B109" s="4"/>
    </row>
    <row r="110" spans="1:39">
      <c r="A110" s="1"/>
      <c r="B110" s="4"/>
    </row>
    <row r="111" spans="1:39">
      <c r="A111" s="1"/>
      <c r="B111" s="4"/>
    </row>
    <row r="112" spans="1:39">
      <c r="A112" s="1"/>
      <c r="B112" s="4"/>
    </row>
    <row r="113" spans="1:2">
      <c r="A113" s="1"/>
      <c r="B113" s="4"/>
    </row>
    <row r="114" spans="1:2">
      <c r="A114" s="1"/>
      <c r="B114" s="4"/>
    </row>
    <row r="115" spans="1:2">
      <c r="A115" s="1"/>
      <c r="B115" s="4"/>
    </row>
    <row r="116" spans="1:2">
      <c r="A116" s="1"/>
      <c r="B116" s="4"/>
    </row>
    <row r="117" spans="1:2">
      <c r="A117" s="1"/>
      <c r="B117" s="4"/>
    </row>
    <row r="118" spans="1:2">
      <c r="A118" s="1"/>
      <c r="B118" s="4"/>
    </row>
    <row r="119" spans="1:2">
      <c r="A119" s="1"/>
      <c r="B119" s="4"/>
    </row>
  </sheetData>
  <autoFilter ref="A15:AM79"/>
  <mergeCells count="18">
    <mergeCell ref="A1:A2"/>
    <mergeCell ref="B1:C1"/>
    <mergeCell ref="D1:R1"/>
    <mergeCell ref="S1:V1"/>
    <mergeCell ref="W1:AA1"/>
    <mergeCell ref="B2:C2"/>
    <mergeCell ref="D2:R2"/>
    <mergeCell ref="S2:V2"/>
    <mergeCell ref="W2:AA2"/>
    <mergeCell ref="B9:D9"/>
    <mergeCell ref="B10:G10"/>
    <mergeCell ref="B11:G11"/>
    <mergeCell ref="A3:G3"/>
    <mergeCell ref="A4:G4"/>
    <mergeCell ref="A5:G5"/>
    <mergeCell ref="A6:G6"/>
    <mergeCell ref="A7:G7"/>
    <mergeCell ref="A8:G8"/>
  </mergeCells>
  <printOptions horizontalCentered="1" verticalCentered="1"/>
  <pageMargins left="1.0236220472440944" right="0.39370078740157483" top="0" bottom="0" header="0" footer="0"/>
  <pageSetup scale="2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C412"/>
  <sheetViews>
    <sheetView zoomScale="90" zoomScaleNormal="90" zoomScaleSheetLayoutView="40" workbookViewId="0">
      <selection sqref="A1:A2"/>
    </sheetView>
  </sheetViews>
  <sheetFormatPr baseColWidth="10" defaultRowHeight="12.75"/>
  <cols>
    <col min="1" max="1" width="27.28515625" style="87" customWidth="1"/>
    <col min="2" max="2" width="22.85546875" style="87" customWidth="1"/>
    <col min="3" max="3" width="22.5703125" style="87" customWidth="1"/>
    <col min="4" max="4" width="31.7109375" style="87" customWidth="1"/>
    <col min="5" max="5" width="19.85546875" style="87" customWidth="1"/>
    <col min="6" max="6" width="36.42578125" style="87" customWidth="1"/>
    <col min="7" max="7" width="32.85546875" style="87" customWidth="1"/>
    <col min="8" max="8" width="13.42578125" style="172" customWidth="1"/>
    <col min="9" max="9" width="13.28515625" style="87" customWidth="1"/>
    <col min="10" max="10" width="19.7109375" style="173" bestFit="1" customWidth="1"/>
    <col min="11" max="11" width="17.7109375" style="87" customWidth="1"/>
    <col min="12" max="12" width="14.5703125" style="97" bestFit="1" customWidth="1"/>
    <col min="13" max="13" width="12" style="87" bestFit="1" customWidth="1"/>
    <col min="14" max="14" width="9.85546875" style="97" customWidth="1"/>
    <col min="15" max="15" width="11" style="97" customWidth="1"/>
    <col min="16" max="20" width="12" style="97" customWidth="1"/>
    <col min="21" max="23" width="13.5703125" style="97" customWidth="1"/>
    <col min="24" max="24" width="12" style="97" bestFit="1" customWidth="1"/>
    <col min="25" max="26" width="14.28515625" style="97" customWidth="1"/>
    <col min="27" max="27" width="14.7109375" style="97" bestFit="1" customWidth="1"/>
    <col min="28" max="28" width="4.85546875" style="87" customWidth="1"/>
    <col min="29" max="29" width="54.28515625" style="124" customWidth="1"/>
    <col min="30" max="30" width="8.85546875" style="125" customWidth="1"/>
    <col min="31" max="31" width="14.5703125" style="126" bestFit="1" customWidth="1"/>
    <col min="32" max="32" width="13.140625" style="127" bestFit="1" customWidth="1"/>
    <col min="33" max="33" width="11.42578125" style="126"/>
    <col min="34" max="34" width="18" style="126" customWidth="1"/>
    <col min="35" max="35" width="11.42578125" style="125"/>
    <col min="36" max="36" width="14.5703125" style="125" customWidth="1"/>
    <col min="37" max="37" width="13.85546875" style="126" bestFit="1" customWidth="1"/>
    <col min="38" max="38" width="15.28515625" style="128" customWidth="1"/>
    <col min="39" max="39" width="17.7109375" style="193" bestFit="1" customWidth="1"/>
    <col min="40" max="107" width="11.42578125" style="112"/>
    <col min="108" max="16384" width="11.42578125" style="87"/>
  </cols>
  <sheetData>
    <row r="1" spans="1:39" ht="39" customHeight="1">
      <c r="A1" s="574"/>
      <c r="B1" s="589" t="s">
        <v>65</v>
      </c>
      <c r="C1" s="589"/>
      <c r="D1" s="590" t="s">
        <v>68</v>
      </c>
      <c r="E1" s="590"/>
      <c r="F1" s="590"/>
      <c r="G1" s="590"/>
      <c r="H1" s="590"/>
      <c r="I1" s="590"/>
      <c r="J1" s="590"/>
      <c r="K1" s="590"/>
      <c r="L1" s="590"/>
      <c r="M1" s="590"/>
      <c r="N1" s="590"/>
      <c r="O1" s="590"/>
      <c r="P1" s="590"/>
      <c r="Q1" s="590"/>
      <c r="R1" s="590"/>
      <c r="S1" s="597" t="s">
        <v>66</v>
      </c>
      <c r="T1" s="597"/>
      <c r="U1" s="597"/>
      <c r="V1" s="597"/>
      <c r="W1" s="592" t="s">
        <v>64</v>
      </c>
      <c r="X1" s="592"/>
      <c r="Y1" s="592"/>
      <c r="Z1" s="592"/>
      <c r="AA1" s="592"/>
    </row>
    <row r="2" spans="1:39" ht="54.75" customHeight="1" thickBot="1">
      <c r="A2" s="575"/>
      <c r="B2" s="593" t="s">
        <v>69</v>
      </c>
      <c r="C2" s="593"/>
      <c r="D2" s="594" t="s">
        <v>60</v>
      </c>
      <c r="E2" s="594"/>
      <c r="F2" s="594"/>
      <c r="G2" s="594"/>
      <c r="H2" s="594"/>
      <c r="I2" s="594"/>
      <c r="J2" s="594"/>
      <c r="K2" s="594"/>
      <c r="L2" s="594"/>
      <c r="M2" s="594"/>
      <c r="N2" s="594"/>
      <c r="O2" s="594"/>
      <c r="P2" s="594"/>
      <c r="Q2" s="594"/>
      <c r="R2" s="594"/>
      <c r="S2" s="595" t="s">
        <v>67</v>
      </c>
      <c r="T2" s="595"/>
      <c r="U2" s="595"/>
      <c r="V2" s="595"/>
      <c r="W2" s="596">
        <v>1</v>
      </c>
      <c r="X2" s="596"/>
      <c r="Y2" s="596"/>
      <c r="Z2" s="596"/>
      <c r="AA2" s="596"/>
    </row>
    <row r="3" spans="1:39" s="112" customFormat="1">
      <c r="A3" s="566" t="s">
        <v>145</v>
      </c>
      <c r="B3" s="567"/>
      <c r="C3" s="567"/>
      <c r="D3" s="567"/>
      <c r="E3" s="567"/>
      <c r="F3" s="567"/>
      <c r="G3" s="567"/>
      <c r="H3" s="427"/>
      <c r="I3" s="364"/>
      <c r="J3" s="517"/>
      <c r="K3" s="364"/>
      <c r="L3" s="365"/>
      <c r="M3" s="364"/>
      <c r="N3" s="238"/>
      <c r="O3" s="238"/>
      <c r="P3" s="238"/>
      <c r="Q3" s="238"/>
      <c r="R3" s="238"/>
      <c r="S3" s="238"/>
      <c r="T3" s="238"/>
      <c r="U3" s="238"/>
      <c r="V3" s="238"/>
      <c r="W3" s="238"/>
      <c r="X3" s="238"/>
      <c r="Y3" s="238"/>
      <c r="Z3" s="238"/>
      <c r="AA3" s="240"/>
      <c r="AC3" s="129"/>
      <c r="AD3" s="130"/>
      <c r="AE3" s="131"/>
      <c r="AF3" s="132"/>
      <c r="AG3" s="131"/>
      <c r="AH3" s="131"/>
      <c r="AI3" s="130"/>
      <c r="AJ3" s="130"/>
      <c r="AK3" s="131"/>
      <c r="AL3" s="133"/>
      <c r="AM3" s="195"/>
    </row>
    <row r="4" spans="1:39" s="112" customFormat="1">
      <c r="A4" s="579" t="s">
        <v>170</v>
      </c>
      <c r="B4" s="580"/>
      <c r="C4" s="580"/>
      <c r="D4" s="580"/>
      <c r="E4" s="580"/>
      <c r="F4" s="580"/>
      <c r="G4" s="580"/>
      <c r="H4" s="428"/>
      <c r="I4" s="347"/>
      <c r="J4" s="459"/>
      <c r="K4" s="347"/>
      <c r="L4" s="348"/>
      <c r="M4" s="347"/>
      <c r="N4" s="201"/>
      <c r="O4" s="201"/>
      <c r="P4" s="201"/>
      <c r="Q4" s="201"/>
      <c r="R4" s="201"/>
      <c r="S4" s="201"/>
      <c r="T4" s="201"/>
      <c r="U4" s="201"/>
      <c r="V4" s="201"/>
      <c r="W4" s="201"/>
      <c r="X4" s="201"/>
      <c r="Y4" s="201"/>
      <c r="Z4" s="201"/>
      <c r="AA4" s="241"/>
      <c r="AC4" s="129"/>
      <c r="AD4" s="130"/>
      <c r="AE4" s="131"/>
      <c r="AF4" s="132"/>
      <c r="AG4" s="131"/>
      <c r="AH4" s="131"/>
      <c r="AI4" s="130"/>
      <c r="AJ4" s="130"/>
      <c r="AK4" s="131"/>
      <c r="AL4" s="133"/>
      <c r="AM4" s="195"/>
    </row>
    <row r="5" spans="1:39" s="112" customFormat="1">
      <c r="A5" s="579" t="s">
        <v>138</v>
      </c>
      <c r="B5" s="580"/>
      <c r="C5" s="580"/>
      <c r="D5" s="580"/>
      <c r="E5" s="580"/>
      <c r="F5" s="580"/>
      <c r="G5" s="580"/>
      <c r="H5" s="428"/>
      <c r="I5" s="347"/>
      <c r="J5" s="459"/>
      <c r="K5" s="347"/>
      <c r="L5" s="348"/>
      <c r="M5" s="347"/>
      <c r="N5" s="201"/>
      <c r="O5" s="201"/>
      <c r="P5" s="201"/>
      <c r="Q5" s="201"/>
      <c r="R5" s="201"/>
      <c r="S5" s="201"/>
      <c r="T5" s="201"/>
      <c r="U5" s="201"/>
      <c r="V5" s="201"/>
      <c r="W5" s="201"/>
      <c r="X5" s="201"/>
      <c r="Y5" s="201"/>
      <c r="Z5" s="201"/>
      <c r="AA5" s="241"/>
      <c r="AC5" s="129"/>
      <c r="AD5" s="130"/>
      <c r="AE5" s="131"/>
      <c r="AF5" s="132"/>
      <c r="AG5" s="131"/>
      <c r="AH5" s="131"/>
      <c r="AI5" s="130"/>
      <c r="AJ5" s="130"/>
      <c r="AK5" s="131"/>
      <c r="AL5" s="133"/>
      <c r="AM5" s="195"/>
    </row>
    <row r="6" spans="1:39" s="112" customFormat="1">
      <c r="A6" s="579" t="s">
        <v>139</v>
      </c>
      <c r="B6" s="580"/>
      <c r="C6" s="580"/>
      <c r="D6" s="580"/>
      <c r="E6" s="580"/>
      <c r="F6" s="580"/>
      <c r="G6" s="580"/>
      <c r="H6" s="428"/>
      <c r="I6" s="347"/>
      <c r="J6" s="459"/>
      <c r="K6" s="347"/>
      <c r="L6" s="348"/>
      <c r="M6" s="347"/>
      <c r="N6" s="201"/>
      <c r="O6" s="201"/>
      <c r="P6" s="201"/>
      <c r="Q6" s="201"/>
      <c r="R6" s="201"/>
      <c r="S6" s="201"/>
      <c r="T6" s="201"/>
      <c r="U6" s="201"/>
      <c r="V6" s="201"/>
      <c r="W6" s="201"/>
      <c r="X6" s="201"/>
      <c r="Y6" s="201"/>
      <c r="Z6" s="201"/>
      <c r="AA6" s="241"/>
      <c r="AC6" s="129"/>
      <c r="AD6" s="130"/>
      <c r="AE6" s="131"/>
      <c r="AF6" s="132"/>
      <c r="AG6" s="131"/>
      <c r="AH6" s="131"/>
      <c r="AI6" s="130"/>
      <c r="AJ6" s="130"/>
      <c r="AK6" s="131"/>
      <c r="AL6" s="133"/>
      <c r="AM6" s="195"/>
    </row>
    <row r="7" spans="1:39" s="112" customFormat="1">
      <c r="A7" s="579" t="s">
        <v>140</v>
      </c>
      <c r="B7" s="580"/>
      <c r="C7" s="580"/>
      <c r="D7" s="580"/>
      <c r="E7" s="580"/>
      <c r="F7" s="580"/>
      <c r="G7" s="580"/>
      <c r="H7" s="428"/>
      <c r="I7" s="347"/>
      <c r="J7" s="459"/>
      <c r="K7" s="347"/>
      <c r="L7" s="348"/>
      <c r="M7" s="347"/>
      <c r="N7" s="201"/>
      <c r="O7" s="201"/>
      <c r="P7" s="201"/>
      <c r="Q7" s="201"/>
      <c r="R7" s="201"/>
      <c r="S7" s="201"/>
      <c r="T7" s="201"/>
      <c r="U7" s="201"/>
      <c r="V7" s="201"/>
      <c r="W7" s="201"/>
      <c r="X7" s="201"/>
      <c r="Y7" s="201"/>
      <c r="Z7" s="201"/>
      <c r="AA7" s="241"/>
      <c r="AC7" s="129"/>
      <c r="AD7" s="130"/>
      <c r="AE7" s="131"/>
      <c r="AF7" s="132"/>
      <c r="AG7" s="131"/>
      <c r="AH7" s="131"/>
      <c r="AI7" s="130"/>
      <c r="AJ7" s="130"/>
      <c r="AK7" s="131"/>
      <c r="AL7" s="133"/>
      <c r="AM7" s="195"/>
    </row>
    <row r="8" spans="1:39" s="112" customFormat="1">
      <c r="A8" s="587" t="s">
        <v>146</v>
      </c>
      <c r="B8" s="588"/>
      <c r="C8" s="588"/>
      <c r="D8" s="588"/>
      <c r="E8" s="588"/>
      <c r="F8" s="588"/>
      <c r="G8" s="588"/>
      <c r="H8" s="428"/>
      <c r="I8" s="347"/>
      <c r="J8" s="459"/>
      <c r="K8" s="347"/>
      <c r="L8" s="348"/>
      <c r="M8" s="347"/>
      <c r="N8" s="201"/>
      <c r="O8" s="201"/>
      <c r="P8" s="201"/>
      <c r="Q8" s="201"/>
      <c r="R8" s="201"/>
      <c r="S8" s="201"/>
      <c r="T8" s="201"/>
      <c r="U8" s="201"/>
      <c r="V8" s="201"/>
      <c r="W8" s="201"/>
      <c r="X8" s="201"/>
      <c r="Y8" s="201"/>
      <c r="Z8" s="201"/>
      <c r="AA8" s="241"/>
      <c r="AC8" s="129"/>
      <c r="AD8" s="130"/>
      <c r="AE8" s="131"/>
      <c r="AF8" s="132"/>
      <c r="AG8" s="131"/>
      <c r="AH8" s="131"/>
      <c r="AI8" s="130"/>
      <c r="AJ8" s="130"/>
      <c r="AK8" s="131"/>
      <c r="AL8" s="133"/>
      <c r="AM8" s="195"/>
    </row>
    <row r="9" spans="1:39" ht="26.25" customHeight="1">
      <c r="A9" s="408" t="s">
        <v>54</v>
      </c>
      <c r="B9" s="591" t="s">
        <v>184</v>
      </c>
      <c r="C9" s="591"/>
      <c r="D9" s="591"/>
      <c r="E9" s="460"/>
      <c r="F9" s="460"/>
      <c r="G9" s="460"/>
      <c r="H9" s="349"/>
      <c r="I9" s="205"/>
      <c r="J9" s="461"/>
      <c r="K9" s="205"/>
      <c r="L9" s="201"/>
      <c r="M9" s="205"/>
      <c r="N9" s="201"/>
      <c r="O9" s="201"/>
      <c r="P9" s="201"/>
      <c r="Q9" s="201"/>
      <c r="R9" s="201"/>
      <c r="S9" s="201"/>
      <c r="T9" s="201"/>
      <c r="U9" s="201"/>
      <c r="V9" s="201"/>
      <c r="W9" s="201"/>
      <c r="X9" s="201"/>
      <c r="Y9" s="201"/>
      <c r="Z9" s="201"/>
      <c r="AA9" s="241"/>
    </row>
    <row r="10" spans="1:39" ht="29.25" customHeight="1">
      <c r="A10" s="408" t="s">
        <v>53</v>
      </c>
      <c r="B10" s="585" t="s">
        <v>147</v>
      </c>
      <c r="C10" s="585"/>
      <c r="D10" s="585"/>
      <c r="E10" s="585"/>
      <c r="F10" s="585"/>
      <c r="G10" s="585"/>
      <c r="H10" s="349"/>
      <c r="I10" s="205"/>
      <c r="J10" s="461"/>
      <c r="K10" s="205"/>
      <c r="L10" s="201"/>
      <c r="M10" s="205"/>
      <c r="N10" s="201"/>
      <c r="O10" s="201"/>
      <c r="P10" s="201"/>
      <c r="Q10" s="201"/>
      <c r="R10" s="201"/>
      <c r="S10" s="201"/>
      <c r="T10" s="201"/>
      <c r="U10" s="201"/>
      <c r="V10" s="201"/>
      <c r="W10" s="201"/>
      <c r="X10" s="201"/>
      <c r="Y10" s="201"/>
      <c r="Z10" s="201"/>
      <c r="AA10" s="241"/>
    </row>
    <row r="11" spans="1:39" ht="30.75" customHeight="1">
      <c r="A11" s="409" t="s">
        <v>55</v>
      </c>
      <c r="B11" s="586" t="s">
        <v>166</v>
      </c>
      <c r="C11" s="586"/>
      <c r="D11" s="586"/>
      <c r="E11" s="586"/>
      <c r="F11" s="586"/>
      <c r="G11" s="586"/>
      <c r="H11" s="349"/>
      <c r="I11" s="205"/>
      <c r="J11" s="461"/>
      <c r="K11" s="205"/>
      <c r="L11" s="201"/>
      <c r="M11" s="205"/>
      <c r="N11" s="201"/>
      <c r="O11" s="201"/>
      <c r="P11" s="201"/>
      <c r="Q11" s="201"/>
      <c r="R11" s="201"/>
      <c r="S11" s="201"/>
      <c r="T11" s="201"/>
      <c r="U11" s="201"/>
      <c r="V11" s="201"/>
      <c r="W11" s="201"/>
      <c r="X11" s="201"/>
      <c r="Y11" s="201"/>
      <c r="Z11" s="201"/>
      <c r="AA11" s="241"/>
    </row>
    <row r="12" spans="1:39" ht="13.5" customHeight="1">
      <c r="A12" s="243" t="s">
        <v>59</v>
      </c>
      <c r="B12" s="206">
        <v>43104</v>
      </c>
      <c r="C12" s="207"/>
      <c r="D12" s="207"/>
      <c r="E12" s="207"/>
      <c r="F12" s="207"/>
      <c r="G12" s="207"/>
      <c r="H12" s="349"/>
      <c r="I12" s="205"/>
      <c r="J12" s="461"/>
      <c r="K12" s="205"/>
      <c r="L12" s="201"/>
      <c r="M12" s="205"/>
      <c r="N12" s="201"/>
      <c r="O12" s="201"/>
      <c r="P12" s="201"/>
      <c r="Q12" s="201"/>
      <c r="R12" s="201"/>
      <c r="S12" s="201"/>
      <c r="T12" s="201"/>
      <c r="U12" s="201"/>
      <c r="V12" s="201"/>
      <c r="W12" s="201"/>
      <c r="X12" s="201"/>
      <c r="Y12" s="201"/>
      <c r="Z12" s="201"/>
      <c r="AA12" s="241"/>
    </row>
    <row r="13" spans="1:39" ht="13.5" customHeight="1">
      <c r="A13" s="245" t="s">
        <v>56</v>
      </c>
      <c r="B13" s="462"/>
      <c r="C13" s="463"/>
      <c r="D13" s="207"/>
      <c r="E13" s="207"/>
      <c r="F13" s="207"/>
      <c r="G13" s="207"/>
      <c r="H13" s="349"/>
      <c r="I13" s="205"/>
      <c r="J13" s="461"/>
      <c r="K13" s="205"/>
      <c r="L13" s="201"/>
      <c r="M13" s="205"/>
      <c r="N13" s="212"/>
      <c r="O13" s="212"/>
      <c r="P13" s="212"/>
      <c r="Q13" s="212"/>
      <c r="R13" s="212"/>
      <c r="S13" s="212"/>
      <c r="T13" s="212"/>
      <c r="U13" s="212"/>
      <c r="V13" s="212"/>
      <c r="W13" s="212"/>
      <c r="X13" s="212"/>
      <c r="Y13" s="212"/>
      <c r="Z13" s="212"/>
      <c r="AA13" s="246"/>
    </row>
    <row r="14" spans="1:39" ht="28.5" customHeight="1">
      <c r="A14" s="247" t="s">
        <v>148</v>
      </c>
      <c r="B14" s="215">
        <f>B307</f>
        <v>14663709983</v>
      </c>
      <c r="C14" s="216"/>
      <c r="D14" s="211"/>
      <c r="E14" s="211"/>
      <c r="F14" s="211"/>
      <c r="G14" s="211"/>
      <c r="H14" s="350"/>
      <c r="I14" s="351">
        <v>1</v>
      </c>
      <c r="J14" s="464"/>
      <c r="K14" s="347"/>
      <c r="L14" s="348"/>
      <c r="M14" s="353"/>
      <c r="N14" s="465" t="s">
        <v>57</v>
      </c>
      <c r="O14" s="466" t="s">
        <v>21</v>
      </c>
      <c r="P14" s="466" t="s">
        <v>20</v>
      </c>
      <c r="Q14" s="466" t="s">
        <v>19</v>
      </c>
      <c r="R14" s="466" t="s">
        <v>18</v>
      </c>
      <c r="S14" s="466" t="s">
        <v>10</v>
      </c>
      <c r="T14" s="466" t="s">
        <v>11</v>
      </c>
      <c r="U14" s="466" t="s">
        <v>12</v>
      </c>
      <c r="V14" s="466" t="s">
        <v>13</v>
      </c>
      <c r="W14" s="466" t="s">
        <v>14</v>
      </c>
      <c r="X14" s="466" t="s">
        <v>15</v>
      </c>
      <c r="Y14" s="467" t="s">
        <v>16</v>
      </c>
      <c r="Z14" s="468" t="s">
        <v>17</v>
      </c>
      <c r="AA14" s="518" t="s">
        <v>9</v>
      </c>
    </row>
    <row r="15" spans="1:39" ht="43.5" customHeight="1">
      <c r="A15" s="249" t="s">
        <v>22</v>
      </c>
      <c r="B15" s="331" t="s">
        <v>0</v>
      </c>
      <c r="C15" s="227" t="s">
        <v>2</v>
      </c>
      <c r="D15" s="227" t="s">
        <v>1</v>
      </c>
      <c r="E15" s="227" t="s">
        <v>61</v>
      </c>
      <c r="F15" s="227" t="s">
        <v>172</v>
      </c>
      <c r="G15" s="227" t="s">
        <v>3</v>
      </c>
      <c r="H15" s="332" t="s">
        <v>63</v>
      </c>
      <c r="I15" s="429" t="s">
        <v>4</v>
      </c>
      <c r="J15" s="469" t="s">
        <v>5</v>
      </c>
      <c r="K15" s="470" t="s">
        <v>6</v>
      </c>
      <c r="L15" s="470" t="s">
        <v>5</v>
      </c>
      <c r="M15" s="467" t="s">
        <v>62</v>
      </c>
      <c r="N15" s="471" t="s">
        <v>7</v>
      </c>
      <c r="O15" s="472" t="s">
        <v>7</v>
      </c>
      <c r="P15" s="472" t="s">
        <v>7</v>
      </c>
      <c r="Q15" s="472" t="s">
        <v>7</v>
      </c>
      <c r="R15" s="472" t="s">
        <v>7</v>
      </c>
      <c r="S15" s="472" t="s">
        <v>7</v>
      </c>
      <c r="T15" s="472" t="s">
        <v>7</v>
      </c>
      <c r="U15" s="472" t="s">
        <v>7</v>
      </c>
      <c r="V15" s="472" t="s">
        <v>7</v>
      </c>
      <c r="W15" s="472" t="s">
        <v>7</v>
      </c>
      <c r="X15" s="472" t="s">
        <v>7</v>
      </c>
      <c r="Y15" s="473" t="s">
        <v>7</v>
      </c>
      <c r="Z15" s="474" t="s">
        <v>8</v>
      </c>
      <c r="AA15" s="519"/>
      <c r="AC15" s="470" t="s">
        <v>188</v>
      </c>
      <c r="AD15" s="470" t="s">
        <v>189</v>
      </c>
      <c r="AE15" s="470" t="s">
        <v>167</v>
      </c>
      <c r="AF15" s="545" t="s">
        <v>190</v>
      </c>
      <c r="AG15" s="546" t="s">
        <v>200</v>
      </c>
      <c r="AH15" s="470" t="s">
        <v>167</v>
      </c>
      <c r="AI15" s="470" t="s">
        <v>190</v>
      </c>
      <c r="AJ15" s="470" t="s">
        <v>191</v>
      </c>
      <c r="AK15" s="470" t="s">
        <v>192</v>
      </c>
      <c r="AL15" s="470" t="s">
        <v>193</v>
      </c>
      <c r="AM15" s="470" t="s">
        <v>194</v>
      </c>
    </row>
    <row r="16" spans="1:39" s="112" customFormat="1" ht="54" customHeight="1">
      <c r="A16" s="252"/>
      <c r="B16" s="52">
        <f>B17++B23+B27+B30+B33+B36+B43+B46+B52+B57+B67+B73+B79+B83+B87+B90</f>
        <v>9142158284</v>
      </c>
      <c r="C16" s="89"/>
      <c r="D16" s="108"/>
      <c r="E16" s="89"/>
      <c r="F16" s="108"/>
      <c r="G16" s="89"/>
      <c r="H16" s="65">
        <v>0</v>
      </c>
      <c r="I16" s="134">
        <v>0</v>
      </c>
      <c r="J16" s="135">
        <v>0</v>
      </c>
      <c r="K16" s="99">
        <v>0</v>
      </c>
      <c r="L16" s="99">
        <v>0</v>
      </c>
      <c r="M16" s="136">
        <v>0</v>
      </c>
      <c r="N16" s="137"/>
      <c r="O16" s="54"/>
      <c r="P16" s="54"/>
      <c r="Q16" s="54"/>
      <c r="R16" s="54"/>
      <c r="S16" s="54"/>
      <c r="T16" s="54"/>
      <c r="U16" s="54"/>
      <c r="V16" s="54"/>
      <c r="W16" s="54"/>
      <c r="X16" s="54">
        <v>0</v>
      </c>
      <c r="Y16" s="136"/>
      <c r="Z16" s="138">
        <f>SUM(N16:Y16)</f>
        <v>0</v>
      </c>
      <c r="AA16" s="520">
        <f>L16-Z16</f>
        <v>0</v>
      </c>
      <c r="AC16" s="83"/>
      <c r="AD16" s="88">
        <f t="shared" ref="AD16:AE21" si="0">I16</f>
        <v>0</v>
      </c>
      <c r="AE16" s="111">
        <f t="shared" si="0"/>
        <v>0</v>
      </c>
      <c r="AF16" s="117"/>
      <c r="AG16" s="109">
        <f t="shared" ref="AG16:AH21" si="1">K16</f>
        <v>0</v>
      </c>
      <c r="AH16" s="111">
        <f t="shared" si="1"/>
        <v>0</v>
      </c>
      <c r="AI16" s="88"/>
      <c r="AJ16" s="88"/>
      <c r="AK16" s="111">
        <f t="shared" ref="AK16:AK21" si="2">M16</f>
        <v>0</v>
      </c>
      <c r="AL16" s="111"/>
      <c r="AM16" s="101">
        <f t="shared" ref="AM16:AM21" si="3">AE16-AH16</f>
        <v>0</v>
      </c>
    </row>
    <row r="17" spans="1:39" s="112" customFormat="1" ht="82.5" customHeight="1">
      <c r="A17" s="521" t="s">
        <v>176</v>
      </c>
      <c r="B17" s="55">
        <f>498103000-2000000-10242809</f>
        <v>485860191</v>
      </c>
      <c r="C17" s="89" t="s">
        <v>78</v>
      </c>
      <c r="D17" s="108" t="s">
        <v>120</v>
      </c>
      <c r="E17" s="89" t="s">
        <v>121</v>
      </c>
      <c r="F17" s="108" t="s">
        <v>734</v>
      </c>
      <c r="G17" s="89" t="s">
        <v>122</v>
      </c>
      <c r="H17" s="65">
        <v>0</v>
      </c>
      <c r="I17" s="134">
        <v>0</v>
      </c>
      <c r="J17" s="135">
        <v>0</v>
      </c>
      <c r="K17" s="99">
        <v>0</v>
      </c>
      <c r="L17" s="99">
        <v>0</v>
      </c>
      <c r="M17" s="136">
        <v>0</v>
      </c>
      <c r="N17" s="137"/>
      <c r="O17" s="89"/>
      <c r="P17" s="89"/>
      <c r="Q17" s="89"/>
      <c r="R17" s="89"/>
      <c r="S17" s="89"/>
      <c r="T17" s="89"/>
      <c r="U17" s="89"/>
      <c r="V17" s="89"/>
      <c r="W17" s="89"/>
      <c r="X17" s="54"/>
      <c r="Y17" s="136"/>
      <c r="Z17" s="138">
        <f t="shared" ref="Z17:Z21" si="4">SUM(N17:Y17)</f>
        <v>0</v>
      </c>
      <c r="AA17" s="520">
        <f t="shared" ref="AA17:AA21" si="5">L17-Z17</f>
        <v>0</v>
      </c>
      <c r="AC17" s="83"/>
      <c r="AD17" s="88">
        <f t="shared" si="0"/>
        <v>0</v>
      </c>
      <c r="AE17" s="111">
        <f t="shared" si="0"/>
        <v>0</v>
      </c>
      <c r="AF17" s="117"/>
      <c r="AG17" s="109">
        <f t="shared" si="1"/>
        <v>0</v>
      </c>
      <c r="AH17" s="111">
        <f t="shared" si="1"/>
        <v>0</v>
      </c>
      <c r="AI17" s="88"/>
      <c r="AJ17" s="88"/>
      <c r="AK17" s="111">
        <f t="shared" si="2"/>
        <v>0</v>
      </c>
      <c r="AL17" s="111"/>
      <c r="AM17" s="101">
        <f t="shared" si="3"/>
        <v>0</v>
      </c>
    </row>
    <row r="18" spans="1:39" s="112" customFormat="1" ht="63.75">
      <c r="A18" s="522" t="s">
        <v>176</v>
      </c>
      <c r="B18" s="92">
        <f t="shared" ref="B18:B21" si="6">J18</f>
        <v>877883</v>
      </c>
      <c r="C18" s="89" t="s">
        <v>78</v>
      </c>
      <c r="D18" s="108" t="s">
        <v>120</v>
      </c>
      <c r="E18" s="89" t="s">
        <v>121</v>
      </c>
      <c r="F18" s="108" t="s">
        <v>734</v>
      </c>
      <c r="G18" s="89" t="s">
        <v>122</v>
      </c>
      <c r="H18" s="64">
        <v>1</v>
      </c>
      <c r="I18" s="140">
        <v>100</v>
      </c>
      <c r="J18" s="141">
        <v>877883</v>
      </c>
      <c r="K18" s="108">
        <v>160</v>
      </c>
      <c r="L18" s="108">
        <v>877883</v>
      </c>
      <c r="M18" s="142" t="s">
        <v>402</v>
      </c>
      <c r="N18" s="137"/>
      <c r="O18" s="89">
        <v>877883</v>
      </c>
      <c r="P18" s="89"/>
      <c r="Q18" s="89"/>
      <c r="R18" s="89"/>
      <c r="S18" s="89"/>
      <c r="T18" s="89"/>
      <c r="U18" s="89"/>
      <c r="V18" s="89"/>
      <c r="W18" s="89"/>
      <c r="X18" s="54"/>
      <c r="Y18" s="136"/>
      <c r="Z18" s="138">
        <f t="shared" si="4"/>
        <v>877883</v>
      </c>
      <c r="AA18" s="520">
        <f t="shared" si="5"/>
        <v>0</v>
      </c>
      <c r="AC18" s="83" t="s">
        <v>290</v>
      </c>
      <c r="AD18" s="88">
        <f t="shared" si="0"/>
        <v>100</v>
      </c>
      <c r="AE18" s="111">
        <f t="shared" si="0"/>
        <v>877883</v>
      </c>
      <c r="AF18" s="117">
        <v>42760</v>
      </c>
      <c r="AG18" s="109">
        <f t="shared" si="1"/>
        <v>160</v>
      </c>
      <c r="AH18" s="111">
        <f t="shared" si="1"/>
        <v>877883</v>
      </c>
      <c r="AI18" s="121">
        <v>42767</v>
      </c>
      <c r="AJ18" s="88" t="s">
        <v>403</v>
      </c>
      <c r="AK18" s="111" t="str">
        <f t="shared" si="2"/>
        <v>FV</v>
      </c>
      <c r="AL18" s="111">
        <v>51657132</v>
      </c>
      <c r="AM18" s="101">
        <f t="shared" si="3"/>
        <v>0</v>
      </c>
    </row>
    <row r="19" spans="1:39" s="112" customFormat="1" ht="63.75">
      <c r="A19" s="522" t="s">
        <v>119</v>
      </c>
      <c r="B19" s="92">
        <f t="shared" si="6"/>
        <v>877883</v>
      </c>
      <c r="C19" s="89" t="s">
        <v>78</v>
      </c>
      <c r="D19" s="108" t="s">
        <v>120</v>
      </c>
      <c r="E19" s="89" t="s">
        <v>121</v>
      </c>
      <c r="F19" s="108" t="s">
        <v>734</v>
      </c>
      <c r="G19" s="89" t="s">
        <v>122</v>
      </c>
      <c r="H19" s="64">
        <v>0</v>
      </c>
      <c r="I19" s="140">
        <v>101</v>
      </c>
      <c r="J19" s="141">
        <v>877883</v>
      </c>
      <c r="K19" s="108">
        <v>166</v>
      </c>
      <c r="L19" s="108">
        <v>877883</v>
      </c>
      <c r="M19" s="142" t="s">
        <v>402</v>
      </c>
      <c r="N19" s="137"/>
      <c r="O19" s="108">
        <v>877883</v>
      </c>
      <c r="P19" s="108"/>
      <c r="Q19" s="108"/>
      <c r="R19" s="108"/>
      <c r="S19" s="108"/>
      <c r="T19" s="108"/>
      <c r="U19" s="108"/>
      <c r="V19" s="108"/>
      <c r="W19" s="108"/>
      <c r="X19" s="99"/>
      <c r="Y19" s="143"/>
      <c r="Z19" s="138">
        <f t="shared" si="4"/>
        <v>877883</v>
      </c>
      <c r="AA19" s="520">
        <f t="shared" si="5"/>
        <v>0</v>
      </c>
      <c r="AC19" s="83" t="s">
        <v>291</v>
      </c>
      <c r="AD19" s="88">
        <f t="shared" si="0"/>
        <v>101</v>
      </c>
      <c r="AE19" s="111">
        <f t="shared" si="0"/>
        <v>877883</v>
      </c>
      <c r="AF19" s="117">
        <v>42760</v>
      </c>
      <c r="AG19" s="109">
        <f t="shared" si="1"/>
        <v>166</v>
      </c>
      <c r="AH19" s="111">
        <f t="shared" si="1"/>
        <v>877883</v>
      </c>
      <c r="AI19" s="121">
        <v>42767</v>
      </c>
      <c r="AJ19" s="88" t="s">
        <v>403</v>
      </c>
      <c r="AK19" s="111" t="str">
        <f t="shared" si="2"/>
        <v>FV</v>
      </c>
      <c r="AL19" s="111">
        <v>51657132</v>
      </c>
      <c r="AM19" s="101">
        <f t="shared" si="3"/>
        <v>0</v>
      </c>
    </row>
    <row r="20" spans="1:39" s="112" customFormat="1" ht="63.75">
      <c r="A20" s="522" t="s">
        <v>176</v>
      </c>
      <c r="B20" s="92">
        <f t="shared" si="6"/>
        <v>232614034</v>
      </c>
      <c r="C20" s="89" t="s">
        <v>78</v>
      </c>
      <c r="D20" s="108" t="s">
        <v>120</v>
      </c>
      <c r="E20" s="89" t="s">
        <v>121</v>
      </c>
      <c r="F20" s="108" t="s">
        <v>734</v>
      </c>
      <c r="G20" s="89" t="s">
        <v>122</v>
      </c>
      <c r="H20" s="64">
        <v>267</v>
      </c>
      <c r="I20" s="140">
        <v>453</v>
      </c>
      <c r="J20" s="141">
        <f>279138895-46524861</f>
        <v>232614034</v>
      </c>
      <c r="K20" s="108">
        <v>1183</v>
      </c>
      <c r="L20" s="108">
        <f>232614034</f>
        <v>232614034</v>
      </c>
      <c r="M20" s="142">
        <v>394</v>
      </c>
      <c r="N20" s="144"/>
      <c r="O20" s="108"/>
      <c r="P20" s="108"/>
      <c r="Q20" s="108"/>
      <c r="R20" s="108"/>
      <c r="S20" s="108"/>
      <c r="T20" s="108"/>
      <c r="U20" s="108"/>
      <c r="V20" s="108"/>
      <c r="W20" s="108"/>
      <c r="X20" s="99"/>
      <c r="Y20" s="143"/>
      <c r="Z20" s="138">
        <f t="shared" si="4"/>
        <v>0</v>
      </c>
      <c r="AA20" s="520">
        <f t="shared" si="5"/>
        <v>232614034</v>
      </c>
      <c r="AC20" s="83" t="s">
        <v>783</v>
      </c>
      <c r="AD20" s="88">
        <f t="shared" si="0"/>
        <v>453</v>
      </c>
      <c r="AE20" s="111">
        <f t="shared" si="0"/>
        <v>232614034</v>
      </c>
      <c r="AF20" s="117">
        <v>42982</v>
      </c>
      <c r="AG20" s="109">
        <f t="shared" si="1"/>
        <v>1183</v>
      </c>
      <c r="AH20" s="111">
        <f t="shared" si="1"/>
        <v>232614034</v>
      </c>
      <c r="AI20" s="88" t="s">
        <v>1139</v>
      </c>
      <c r="AJ20" s="88" t="s">
        <v>1141</v>
      </c>
      <c r="AK20" s="111">
        <f t="shared" si="2"/>
        <v>394</v>
      </c>
      <c r="AL20" s="111"/>
      <c r="AM20" s="101">
        <f t="shared" si="3"/>
        <v>0</v>
      </c>
    </row>
    <row r="21" spans="1:39" s="112" customFormat="1" ht="89.25">
      <c r="A21" s="522" t="s">
        <v>176</v>
      </c>
      <c r="B21" s="92">
        <f t="shared" si="6"/>
        <v>204955200</v>
      </c>
      <c r="C21" s="89" t="s">
        <v>78</v>
      </c>
      <c r="D21" s="108" t="s">
        <v>120</v>
      </c>
      <c r="E21" s="89" t="s">
        <v>121</v>
      </c>
      <c r="F21" s="108" t="s">
        <v>734</v>
      </c>
      <c r="G21" s="89" t="s">
        <v>122</v>
      </c>
      <c r="H21" s="64">
        <v>268</v>
      </c>
      <c r="I21" s="140">
        <v>560</v>
      </c>
      <c r="J21" s="141">
        <f>204965530-10330</f>
        <v>204955200</v>
      </c>
      <c r="K21" s="108">
        <v>1175</v>
      </c>
      <c r="L21" s="108">
        <f>204955200</f>
        <v>204955200</v>
      </c>
      <c r="M21" s="142">
        <v>401</v>
      </c>
      <c r="N21" s="144"/>
      <c r="O21" s="108"/>
      <c r="P21" s="108"/>
      <c r="Q21" s="108"/>
      <c r="R21" s="108"/>
      <c r="S21" s="108"/>
      <c r="T21" s="108"/>
      <c r="U21" s="108"/>
      <c r="V21" s="108"/>
      <c r="W21" s="108"/>
      <c r="X21" s="99"/>
      <c r="Y21" s="143"/>
      <c r="Z21" s="138">
        <f t="shared" si="4"/>
        <v>0</v>
      </c>
      <c r="AA21" s="520">
        <f t="shared" si="5"/>
        <v>204955200</v>
      </c>
      <c r="AC21" s="83" t="s">
        <v>854</v>
      </c>
      <c r="AD21" s="88">
        <f t="shared" si="0"/>
        <v>560</v>
      </c>
      <c r="AE21" s="111">
        <f t="shared" si="0"/>
        <v>204955200</v>
      </c>
      <c r="AF21" s="117">
        <v>43000</v>
      </c>
      <c r="AG21" s="109">
        <f t="shared" si="1"/>
        <v>1175</v>
      </c>
      <c r="AH21" s="111">
        <f t="shared" si="1"/>
        <v>204955200</v>
      </c>
      <c r="AI21" s="121">
        <v>43091</v>
      </c>
      <c r="AJ21" s="88" t="s">
        <v>685</v>
      </c>
      <c r="AK21" s="111">
        <f t="shared" si="2"/>
        <v>401</v>
      </c>
      <c r="AL21" s="111"/>
      <c r="AM21" s="101">
        <f t="shared" si="3"/>
        <v>0</v>
      </c>
    </row>
    <row r="22" spans="1:39" s="116" customFormat="1" ht="15.75" customHeight="1">
      <c r="A22" s="255" t="s">
        <v>132</v>
      </c>
      <c r="B22" s="99">
        <f>B17-B18-B19-B20-B21</f>
        <v>46535191</v>
      </c>
      <c r="C22" s="99"/>
      <c r="D22" s="99"/>
      <c r="E22" s="99"/>
      <c r="F22" s="99"/>
      <c r="G22" s="164"/>
      <c r="H22" s="144"/>
      <c r="I22" s="99"/>
      <c r="J22" s="135">
        <f>SUM(J16:J21)</f>
        <v>439325000</v>
      </c>
      <c r="K22" s="99"/>
      <c r="L22" s="99">
        <f>SUM(L16:L21)</f>
        <v>439325000</v>
      </c>
      <c r="M22" s="136"/>
      <c r="N22" s="99">
        <f t="shared" ref="N22:W22" si="7">SUM(N16:N21)</f>
        <v>0</v>
      </c>
      <c r="O22" s="99">
        <f t="shared" si="7"/>
        <v>1755766</v>
      </c>
      <c r="P22" s="99">
        <f t="shared" si="7"/>
        <v>0</v>
      </c>
      <c r="Q22" s="99">
        <f t="shared" si="7"/>
        <v>0</v>
      </c>
      <c r="R22" s="99">
        <f t="shared" si="7"/>
        <v>0</v>
      </c>
      <c r="S22" s="99">
        <f t="shared" si="7"/>
        <v>0</v>
      </c>
      <c r="T22" s="99">
        <f t="shared" si="7"/>
        <v>0</v>
      </c>
      <c r="U22" s="99">
        <f t="shared" si="7"/>
        <v>0</v>
      </c>
      <c r="V22" s="99">
        <f t="shared" si="7"/>
        <v>0</v>
      </c>
      <c r="W22" s="99">
        <f t="shared" si="7"/>
        <v>0</v>
      </c>
      <c r="X22" s="99">
        <f>SUM(X16:X21)</f>
        <v>0</v>
      </c>
      <c r="Y22" s="99">
        <f>SUM(Y16:Y21)</f>
        <v>0</v>
      </c>
      <c r="Z22" s="99">
        <f>SUM(Z16:Z21)</f>
        <v>1755766</v>
      </c>
      <c r="AA22" s="523">
        <f>SUM(AA16:AA21)</f>
        <v>437569234</v>
      </c>
      <c r="AC22" s="100"/>
      <c r="AD22" s="44"/>
      <c r="AE22" s="99">
        <f>SUM(AE16:AE21)</f>
        <v>439325000</v>
      </c>
      <c r="AF22" s="118"/>
      <c r="AG22" s="109"/>
      <c r="AH22" s="99">
        <f>SUM(AH16:AH21)</f>
        <v>439325000</v>
      </c>
      <c r="AI22" s="54"/>
      <c r="AJ22" s="54"/>
      <c r="AK22" s="101"/>
      <c r="AL22" s="101"/>
      <c r="AM22" s="99">
        <f>SUM(AM16:AM21)</f>
        <v>0</v>
      </c>
    </row>
    <row r="23" spans="1:39" s="112" customFormat="1" ht="63.75">
      <c r="A23" s="521" t="s">
        <v>176</v>
      </c>
      <c r="B23" s="55">
        <f>1796637000-359003365</f>
        <v>1437633635</v>
      </c>
      <c r="C23" s="108" t="s">
        <v>151</v>
      </c>
      <c r="D23" s="108" t="s">
        <v>120</v>
      </c>
      <c r="E23" s="89" t="s">
        <v>121</v>
      </c>
      <c r="F23" s="108" t="s">
        <v>734</v>
      </c>
      <c r="G23" s="89" t="s">
        <v>122</v>
      </c>
      <c r="H23" s="65"/>
      <c r="I23" s="134"/>
      <c r="J23" s="135"/>
      <c r="K23" s="99"/>
      <c r="L23" s="99"/>
      <c r="M23" s="142"/>
      <c r="N23" s="137"/>
      <c r="O23" s="54"/>
      <c r="P23" s="54"/>
      <c r="Q23" s="54"/>
      <c r="R23" s="54"/>
      <c r="S23" s="54"/>
      <c r="T23" s="54"/>
      <c r="U23" s="54"/>
      <c r="V23" s="54"/>
      <c r="W23" s="54"/>
      <c r="X23" s="54"/>
      <c r="Y23" s="136"/>
      <c r="Z23" s="138">
        <f>SUM(N23:Y23)</f>
        <v>0</v>
      </c>
      <c r="AA23" s="520">
        <f>L23-Z23</f>
        <v>0</v>
      </c>
      <c r="AC23" s="83"/>
      <c r="AD23" s="88">
        <f>I23</f>
        <v>0</v>
      </c>
      <c r="AE23" s="111">
        <f>J23</f>
        <v>0</v>
      </c>
      <c r="AF23" s="117"/>
      <c r="AG23" s="109">
        <f>K23</f>
        <v>0</v>
      </c>
      <c r="AH23" s="111">
        <f>L23</f>
        <v>0</v>
      </c>
      <c r="AI23" s="88"/>
      <c r="AJ23" s="88"/>
      <c r="AK23" s="111">
        <f>M23</f>
        <v>0</v>
      </c>
      <c r="AL23" s="111"/>
      <c r="AM23" s="101">
        <f>AE23-AH23</f>
        <v>0</v>
      </c>
    </row>
    <row r="24" spans="1:39" s="112" customFormat="1" ht="63.75">
      <c r="A24" s="522" t="s">
        <v>176</v>
      </c>
      <c r="B24" s="92">
        <f>J24</f>
        <v>1437633365</v>
      </c>
      <c r="C24" s="108" t="s">
        <v>151</v>
      </c>
      <c r="D24" s="108" t="s">
        <v>120</v>
      </c>
      <c r="E24" s="89" t="s">
        <v>121</v>
      </c>
      <c r="F24" s="108" t="s">
        <v>734</v>
      </c>
      <c r="G24" s="89" t="s">
        <v>122</v>
      </c>
      <c r="H24" s="64">
        <v>267</v>
      </c>
      <c r="I24" s="140">
        <v>453</v>
      </c>
      <c r="J24" s="141">
        <f>1437633365</f>
        <v>1437633365</v>
      </c>
      <c r="K24" s="108">
        <v>1183</v>
      </c>
      <c r="L24" s="108">
        <f>1437633365</f>
        <v>1437633365</v>
      </c>
      <c r="M24" s="142">
        <v>394</v>
      </c>
      <c r="N24" s="137"/>
      <c r="O24" s="54"/>
      <c r="P24" s="54"/>
      <c r="Q24" s="54"/>
      <c r="R24" s="54"/>
      <c r="S24" s="54"/>
      <c r="T24" s="54"/>
      <c r="U24" s="54"/>
      <c r="V24" s="54"/>
      <c r="W24" s="54"/>
      <c r="X24" s="54"/>
      <c r="Y24" s="136"/>
      <c r="Z24" s="138">
        <f t="shared" ref="Z24:Z25" si="8">SUM(N24:Y24)</f>
        <v>0</v>
      </c>
      <c r="AA24" s="520">
        <f>L24-Z24</f>
        <v>1437633365</v>
      </c>
      <c r="AC24" s="83" t="s">
        <v>783</v>
      </c>
      <c r="AD24" s="88">
        <f>I24</f>
        <v>453</v>
      </c>
      <c r="AE24" s="111">
        <f>J24</f>
        <v>1437633365</v>
      </c>
      <c r="AF24" s="117">
        <v>42982</v>
      </c>
      <c r="AG24" s="109">
        <f>K24</f>
        <v>1183</v>
      </c>
      <c r="AH24" s="111">
        <f>L24</f>
        <v>1437633365</v>
      </c>
      <c r="AI24" s="88" t="s">
        <v>1140</v>
      </c>
      <c r="AJ24" s="88" t="s">
        <v>1141</v>
      </c>
      <c r="AK24" s="111">
        <f>M24</f>
        <v>394</v>
      </c>
      <c r="AL24" s="111"/>
      <c r="AM24" s="101">
        <f>AE24-AH24</f>
        <v>0</v>
      </c>
    </row>
    <row r="25" spans="1:39" s="112" customFormat="1" ht="102">
      <c r="A25" s="522" t="s">
        <v>176</v>
      </c>
      <c r="B25" s="92">
        <f>J25</f>
        <v>0</v>
      </c>
      <c r="C25" s="108" t="s">
        <v>151</v>
      </c>
      <c r="D25" s="108" t="s">
        <v>120</v>
      </c>
      <c r="E25" s="89" t="s">
        <v>121</v>
      </c>
      <c r="F25" s="108" t="s">
        <v>734</v>
      </c>
      <c r="G25" s="89" t="s">
        <v>122</v>
      </c>
      <c r="H25" s="64"/>
      <c r="I25" s="140">
        <v>665</v>
      </c>
      <c r="J25" s="141">
        <f>359003365-359003365</f>
        <v>0</v>
      </c>
      <c r="K25" s="108"/>
      <c r="L25" s="99"/>
      <c r="M25" s="142"/>
      <c r="N25" s="144"/>
      <c r="O25" s="99"/>
      <c r="P25" s="99"/>
      <c r="Q25" s="99"/>
      <c r="R25" s="99"/>
      <c r="S25" s="99"/>
      <c r="T25" s="99"/>
      <c r="U25" s="99"/>
      <c r="V25" s="99"/>
      <c r="W25" s="99"/>
      <c r="X25" s="99"/>
      <c r="Y25" s="143"/>
      <c r="Z25" s="138">
        <f t="shared" si="8"/>
        <v>0</v>
      </c>
      <c r="AA25" s="520">
        <f>L25-Z25</f>
        <v>0</v>
      </c>
      <c r="AC25" s="83" t="s">
        <v>958</v>
      </c>
      <c r="AD25" s="88">
        <f>+I25</f>
        <v>665</v>
      </c>
      <c r="AE25" s="111">
        <f>+J25</f>
        <v>0</v>
      </c>
      <c r="AF25" s="117">
        <v>43066</v>
      </c>
      <c r="AG25" s="109"/>
      <c r="AH25" s="111"/>
      <c r="AI25" s="88"/>
      <c r="AJ25" s="88"/>
      <c r="AK25" s="111"/>
      <c r="AL25" s="111"/>
      <c r="AM25" s="101"/>
    </row>
    <row r="26" spans="1:39" s="116" customFormat="1" ht="10.5" customHeight="1">
      <c r="A26" s="255" t="s">
        <v>132</v>
      </c>
      <c r="B26" s="99">
        <f>B23-B24-B25</f>
        <v>270</v>
      </c>
      <c r="C26" s="99"/>
      <c r="D26" s="99"/>
      <c r="E26" s="99"/>
      <c r="F26" s="99"/>
      <c r="G26" s="164"/>
      <c r="H26" s="144"/>
      <c r="I26" s="99"/>
      <c r="J26" s="135">
        <f>SUM(J23:J25)</f>
        <v>1437633365</v>
      </c>
      <c r="K26" s="99"/>
      <c r="L26" s="99">
        <f>SUM(L23:L25)</f>
        <v>1437633365</v>
      </c>
      <c r="M26" s="136"/>
      <c r="N26" s="144">
        <f>SUM(N23:N25)</f>
        <v>0</v>
      </c>
      <c r="O26" s="144">
        <f t="shared" ref="O26:X26" si="9">SUM(O23:O25)</f>
        <v>0</v>
      </c>
      <c r="P26" s="144">
        <f t="shared" si="9"/>
        <v>0</v>
      </c>
      <c r="Q26" s="144">
        <f t="shared" si="9"/>
        <v>0</v>
      </c>
      <c r="R26" s="144">
        <f t="shared" si="9"/>
        <v>0</v>
      </c>
      <c r="S26" s="144">
        <f t="shared" si="9"/>
        <v>0</v>
      </c>
      <c r="T26" s="144">
        <f t="shared" si="9"/>
        <v>0</v>
      </c>
      <c r="U26" s="144">
        <f t="shared" si="9"/>
        <v>0</v>
      </c>
      <c r="V26" s="144">
        <f t="shared" si="9"/>
        <v>0</v>
      </c>
      <c r="W26" s="144">
        <f t="shared" si="9"/>
        <v>0</v>
      </c>
      <c r="X26" s="144">
        <f t="shared" si="9"/>
        <v>0</v>
      </c>
      <c r="Y26" s="144">
        <f>SUM(Y23:Y25)</f>
        <v>0</v>
      </c>
      <c r="Z26" s="144">
        <f>SUM(Z23:Z25)</f>
        <v>0</v>
      </c>
      <c r="AA26" s="524">
        <f>SUM(AA23:AA25)</f>
        <v>1437633365</v>
      </c>
      <c r="AC26" s="100"/>
      <c r="AD26" s="44"/>
      <c r="AE26" s="101">
        <f>SUM(AE23:AE24)</f>
        <v>1437633365</v>
      </c>
      <c r="AF26" s="118"/>
      <c r="AG26" s="109"/>
      <c r="AH26" s="101">
        <f>SUM(AH23:AH24)</f>
        <v>1437633365</v>
      </c>
      <c r="AI26" s="54"/>
      <c r="AJ26" s="54"/>
      <c r="AK26" s="101"/>
      <c r="AL26" s="101"/>
      <c r="AM26" s="101">
        <f>SUM(AM23:AM24)</f>
        <v>0</v>
      </c>
    </row>
    <row r="27" spans="1:39" s="112" customFormat="1" ht="63.75">
      <c r="A27" s="521" t="s">
        <v>492</v>
      </c>
      <c r="B27" s="55">
        <v>144260000</v>
      </c>
      <c r="C27" s="89" t="s">
        <v>153</v>
      </c>
      <c r="D27" s="108" t="s">
        <v>120</v>
      </c>
      <c r="E27" s="89" t="s">
        <v>121</v>
      </c>
      <c r="F27" s="108" t="s">
        <v>734</v>
      </c>
      <c r="G27" s="89" t="s">
        <v>122</v>
      </c>
      <c r="H27" s="65"/>
      <c r="I27" s="134"/>
      <c r="J27" s="135"/>
      <c r="K27" s="99"/>
      <c r="L27" s="99"/>
      <c r="M27" s="142"/>
      <c r="N27" s="137"/>
      <c r="O27" s="54"/>
      <c r="P27" s="54"/>
      <c r="Q27" s="54"/>
      <c r="R27" s="54"/>
      <c r="S27" s="54"/>
      <c r="T27" s="54"/>
      <c r="U27" s="54"/>
      <c r="V27" s="54"/>
      <c r="W27" s="54"/>
      <c r="X27" s="54"/>
      <c r="Y27" s="136"/>
      <c r="Z27" s="138">
        <f>SUM(N27:Y27)</f>
        <v>0</v>
      </c>
      <c r="AA27" s="520">
        <f>L27-Z27</f>
        <v>0</v>
      </c>
      <c r="AC27" s="83"/>
      <c r="AD27" s="88">
        <f>I27</f>
        <v>0</v>
      </c>
      <c r="AE27" s="111">
        <f>J27</f>
        <v>0</v>
      </c>
      <c r="AF27" s="117"/>
      <c r="AG27" s="109">
        <f>K27</f>
        <v>0</v>
      </c>
      <c r="AH27" s="111">
        <f>L27</f>
        <v>0</v>
      </c>
      <c r="AI27" s="88"/>
      <c r="AJ27" s="88"/>
      <c r="AK27" s="111">
        <f>M27</f>
        <v>0</v>
      </c>
      <c r="AL27" s="111"/>
      <c r="AM27" s="101">
        <f>AE27-AH27</f>
        <v>0</v>
      </c>
    </row>
    <row r="28" spans="1:39" s="112" customFormat="1" ht="63.75">
      <c r="A28" s="522" t="s">
        <v>176</v>
      </c>
      <c r="B28" s="92">
        <f>J28</f>
        <v>144260000</v>
      </c>
      <c r="C28" s="89" t="s">
        <v>153</v>
      </c>
      <c r="D28" s="108" t="s">
        <v>120</v>
      </c>
      <c r="E28" s="89" t="s">
        <v>121</v>
      </c>
      <c r="F28" s="108" t="s">
        <v>734</v>
      </c>
      <c r="G28" s="89" t="s">
        <v>122</v>
      </c>
      <c r="H28" s="64">
        <v>267</v>
      </c>
      <c r="I28" s="140">
        <v>453</v>
      </c>
      <c r="J28" s="141">
        <f>144260000</f>
        <v>144260000</v>
      </c>
      <c r="K28" s="99">
        <v>1183</v>
      </c>
      <c r="L28" s="108">
        <f>144260000</f>
        <v>144260000</v>
      </c>
      <c r="M28" s="142">
        <v>394</v>
      </c>
      <c r="N28" s="137"/>
      <c r="O28" s="54"/>
      <c r="P28" s="54"/>
      <c r="Q28" s="54"/>
      <c r="R28" s="54"/>
      <c r="S28" s="54"/>
      <c r="T28" s="54"/>
      <c r="U28" s="54"/>
      <c r="V28" s="54"/>
      <c r="W28" s="54"/>
      <c r="X28" s="54"/>
      <c r="Y28" s="136"/>
      <c r="Z28" s="138">
        <f>SUM(N28:Y28)</f>
        <v>0</v>
      </c>
      <c r="AA28" s="520">
        <f>L28-Z28</f>
        <v>144260000</v>
      </c>
      <c r="AC28" s="83" t="s">
        <v>783</v>
      </c>
      <c r="AD28" s="88">
        <f>I28</f>
        <v>453</v>
      </c>
      <c r="AE28" s="111">
        <f>J28</f>
        <v>144260000</v>
      </c>
      <c r="AF28" s="117">
        <v>42982</v>
      </c>
      <c r="AG28" s="109">
        <f>K28</f>
        <v>1183</v>
      </c>
      <c r="AH28" s="111">
        <f>L28</f>
        <v>144260000</v>
      </c>
      <c r="AI28" s="121">
        <v>43095</v>
      </c>
      <c r="AJ28" s="88" t="s">
        <v>1141</v>
      </c>
      <c r="AK28" s="111">
        <f>M28</f>
        <v>394</v>
      </c>
      <c r="AL28" s="111"/>
      <c r="AM28" s="101">
        <f>AE28-AH28</f>
        <v>0</v>
      </c>
    </row>
    <row r="29" spans="1:39" s="116" customFormat="1">
      <c r="A29" s="255" t="s">
        <v>132</v>
      </c>
      <c r="B29" s="99">
        <f>B27-B28</f>
        <v>0</v>
      </c>
      <c r="C29" s="99"/>
      <c r="D29" s="99"/>
      <c r="E29" s="99"/>
      <c r="F29" s="99"/>
      <c r="G29" s="164"/>
      <c r="H29" s="144"/>
      <c r="I29" s="99"/>
      <c r="J29" s="135">
        <f>SUM(J27:J28)</f>
        <v>144260000</v>
      </c>
      <c r="K29" s="99"/>
      <c r="L29" s="99">
        <f>SUM(L27:L28)</f>
        <v>144260000</v>
      </c>
      <c r="M29" s="136"/>
      <c r="N29" s="144">
        <f t="shared" ref="N29:X29" si="10">SUM(N27:N28)</f>
        <v>0</v>
      </c>
      <c r="O29" s="99">
        <f t="shared" si="10"/>
        <v>0</v>
      </c>
      <c r="P29" s="99">
        <f t="shared" si="10"/>
        <v>0</v>
      </c>
      <c r="Q29" s="99">
        <f t="shared" si="10"/>
        <v>0</v>
      </c>
      <c r="R29" s="99">
        <f t="shared" si="10"/>
        <v>0</v>
      </c>
      <c r="S29" s="99">
        <f t="shared" si="10"/>
        <v>0</v>
      </c>
      <c r="T29" s="99">
        <f>SUM(T27:T28)</f>
        <v>0</v>
      </c>
      <c r="U29" s="99">
        <f>SUM(U27:U28)</f>
        <v>0</v>
      </c>
      <c r="V29" s="99">
        <f>SUM(V27:V28)</f>
        <v>0</v>
      </c>
      <c r="W29" s="99">
        <f>SUM(W27:W28)</f>
        <v>0</v>
      </c>
      <c r="X29" s="99">
        <f t="shared" si="10"/>
        <v>0</v>
      </c>
      <c r="Y29" s="143">
        <f>SUM(Y27:Y28)</f>
        <v>0</v>
      </c>
      <c r="Z29" s="149">
        <f>SUM(Z27:Z28)</f>
        <v>0</v>
      </c>
      <c r="AA29" s="525">
        <f>SUM(AA27:AA28)</f>
        <v>144260000</v>
      </c>
      <c r="AC29" s="100"/>
      <c r="AD29" s="44"/>
      <c r="AE29" s="101">
        <f>SUM(AE27:AE28)</f>
        <v>144260000</v>
      </c>
      <c r="AF29" s="118"/>
      <c r="AG29" s="109"/>
      <c r="AH29" s="101">
        <f>SUM(AH27:AH28)</f>
        <v>144260000</v>
      </c>
      <c r="AI29" s="54"/>
      <c r="AJ29" s="54"/>
      <c r="AK29" s="101"/>
      <c r="AL29" s="101"/>
      <c r="AM29" s="101">
        <f>SUM(AM27:AM28)</f>
        <v>0</v>
      </c>
    </row>
    <row r="30" spans="1:39" s="112" customFormat="1" ht="63.75">
      <c r="A30" s="521" t="s">
        <v>493</v>
      </c>
      <c r="B30" s="55">
        <f>695111000-520839026-14116148-52480771-107675055</f>
        <v>0</v>
      </c>
      <c r="C30" s="89" t="s">
        <v>78</v>
      </c>
      <c r="D30" s="108" t="s">
        <v>120</v>
      </c>
      <c r="E30" s="89" t="s">
        <v>121</v>
      </c>
      <c r="F30" s="108" t="s">
        <v>734</v>
      </c>
      <c r="G30" s="89" t="s">
        <v>122</v>
      </c>
      <c r="H30" s="65"/>
      <c r="I30" s="134"/>
      <c r="J30" s="135"/>
      <c r="K30" s="99"/>
      <c r="L30" s="99"/>
      <c r="M30" s="142"/>
      <c r="N30" s="137"/>
      <c r="O30" s="54"/>
      <c r="P30" s="54"/>
      <c r="Q30" s="54"/>
      <c r="R30" s="54"/>
      <c r="S30" s="54"/>
      <c r="T30" s="54"/>
      <c r="U30" s="54"/>
      <c r="V30" s="54"/>
      <c r="W30" s="54"/>
      <c r="X30" s="54"/>
      <c r="Y30" s="136"/>
      <c r="Z30" s="138">
        <f>SUM(N30:Y30)</f>
        <v>0</v>
      </c>
      <c r="AA30" s="520">
        <f>L30-Z30</f>
        <v>0</v>
      </c>
      <c r="AC30" s="83"/>
      <c r="AD30" s="88">
        <f>I30</f>
        <v>0</v>
      </c>
      <c r="AE30" s="111">
        <f>J30</f>
        <v>0</v>
      </c>
      <c r="AF30" s="117"/>
      <c r="AG30" s="109">
        <f>K30</f>
        <v>0</v>
      </c>
      <c r="AH30" s="111">
        <f>L30</f>
        <v>0</v>
      </c>
      <c r="AI30" s="88"/>
      <c r="AJ30" s="88"/>
      <c r="AK30" s="111">
        <f>M30</f>
        <v>0</v>
      </c>
      <c r="AL30" s="111"/>
      <c r="AM30" s="101">
        <f>AE30-AH30</f>
        <v>0</v>
      </c>
    </row>
    <row r="31" spans="1:39" s="112" customFormat="1" ht="63.75">
      <c r="A31" s="522" t="s">
        <v>177</v>
      </c>
      <c r="B31" s="92">
        <f>J31</f>
        <v>0</v>
      </c>
      <c r="C31" s="89" t="s">
        <v>78</v>
      </c>
      <c r="D31" s="108" t="s">
        <v>120</v>
      </c>
      <c r="E31" s="89" t="s">
        <v>121</v>
      </c>
      <c r="F31" s="108" t="s">
        <v>734</v>
      </c>
      <c r="G31" s="89" t="s">
        <v>122</v>
      </c>
      <c r="H31" s="64"/>
      <c r="I31" s="134"/>
      <c r="J31" s="135"/>
      <c r="K31" s="99"/>
      <c r="L31" s="99"/>
      <c r="M31" s="142"/>
      <c r="N31" s="137"/>
      <c r="O31" s="54"/>
      <c r="P31" s="54"/>
      <c r="Q31" s="54"/>
      <c r="R31" s="54"/>
      <c r="S31" s="54"/>
      <c r="T31" s="54"/>
      <c r="U31" s="54"/>
      <c r="V31" s="54"/>
      <c r="W31" s="54"/>
      <c r="X31" s="54"/>
      <c r="Y31" s="136"/>
      <c r="Z31" s="138">
        <f>SUM(N31:Y31)</f>
        <v>0</v>
      </c>
      <c r="AA31" s="520">
        <f>L31-Z31</f>
        <v>0</v>
      </c>
      <c r="AC31" s="83"/>
      <c r="AD31" s="88">
        <f>I31</f>
        <v>0</v>
      </c>
      <c r="AE31" s="111">
        <f>J31</f>
        <v>0</v>
      </c>
      <c r="AF31" s="117"/>
      <c r="AG31" s="109">
        <f>K31</f>
        <v>0</v>
      </c>
      <c r="AH31" s="111">
        <f>L31</f>
        <v>0</v>
      </c>
      <c r="AI31" s="88"/>
      <c r="AJ31" s="88"/>
      <c r="AK31" s="111">
        <f>M31</f>
        <v>0</v>
      </c>
      <c r="AL31" s="111"/>
      <c r="AM31" s="101">
        <f>AE31-AH31</f>
        <v>0</v>
      </c>
    </row>
    <row r="32" spans="1:39" s="116" customFormat="1" ht="12.75" customHeight="1">
      <c r="A32" s="255" t="s">
        <v>132</v>
      </c>
      <c r="B32" s="99">
        <f>B30-B31</f>
        <v>0</v>
      </c>
      <c r="C32" s="99"/>
      <c r="D32" s="99"/>
      <c r="E32" s="99"/>
      <c r="F32" s="99"/>
      <c r="G32" s="164"/>
      <c r="H32" s="144"/>
      <c r="I32" s="99"/>
      <c r="J32" s="135">
        <f>SUM(J30:J31)</f>
        <v>0</v>
      </c>
      <c r="K32" s="99"/>
      <c r="L32" s="99">
        <f>SUM(L30:L31)</f>
        <v>0</v>
      </c>
      <c r="M32" s="136"/>
      <c r="N32" s="144">
        <f t="shared" ref="N32:X32" si="11">SUM(N30:N31)</f>
        <v>0</v>
      </c>
      <c r="O32" s="99">
        <f t="shared" si="11"/>
        <v>0</v>
      </c>
      <c r="P32" s="99">
        <f t="shared" si="11"/>
        <v>0</v>
      </c>
      <c r="Q32" s="99">
        <f t="shared" si="11"/>
        <v>0</v>
      </c>
      <c r="R32" s="99">
        <f t="shared" si="11"/>
        <v>0</v>
      </c>
      <c r="S32" s="99">
        <f t="shared" si="11"/>
        <v>0</v>
      </c>
      <c r="T32" s="99">
        <f>SUM(T30:T31)</f>
        <v>0</v>
      </c>
      <c r="U32" s="99">
        <f>SUM(U30:U31)</f>
        <v>0</v>
      </c>
      <c r="V32" s="99">
        <f>SUM(V30:V31)</f>
        <v>0</v>
      </c>
      <c r="W32" s="99">
        <f>SUM(W30:W31)</f>
        <v>0</v>
      </c>
      <c r="X32" s="99">
        <f t="shared" si="11"/>
        <v>0</v>
      </c>
      <c r="Y32" s="143">
        <f>SUM(Y30:Y31)</f>
        <v>0</v>
      </c>
      <c r="Z32" s="149">
        <f>SUM(Z30:Z31)</f>
        <v>0</v>
      </c>
      <c r="AA32" s="525">
        <f>SUM(AA30:AA31)</f>
        <v>0</v>
      </c>
      <c r="AC32" s="100"/>
      <c r="AD32" s="44"/>
      <c r="AE32" s="101">
        <f>SUM(AE30:AE31)</f>
        <v>0</v>
      </c>
      <c r="AF32" s="118"/>
      <c r="AG32" s="109"/>
      <c r="AH32" s="101">
        <f>SUM(AH30:AH31)</f>
        <v>0</v>
      </c>
      <c r="AI32" s="54"/>
      <c r="AJ32" s="54"/>
      <c r="AK32" s="101"/>
      <c r="AL32" s="101"/>
      <c r="AM32" s="101">
        <f>SUM(AM30:AM31)</f>
        <v>0</v>
      </c>
    </row>
    <row r="33" spans="1:39" s="112" customFormat="1" ht="63.75">
      <c r="A33" s="521" t="s">
        <v>493</v>
      </c>
      <c r="B33" s="55">
        <f>720889000-381724303</f>
        <v>339164697</v>
      </c>
      <c r="C33" s="89" t="s">
        <v>152</v>
      </c>
      <c r="D33" s="108" t="s">
        <v>120</v>
      </c>
      <c r="E33" s="89" t="s">
        <v>121</v>
      </c>
      <c r="F33" s="108" t="s">
        <v>734</v>
      </c>
      <c r="G33" s="89" t="s">
        <v>122</v>
      </c>
      <c r="H33" s="65"/>
      <c r="I33" s="134"/>
      <c r="J33" s="135"/>
      <c r="K33" s="99"/>
      <c r="L33" s="99"/>
      <c r="M33" s="142"/>
      <c r="N33" s="137"/>
      <c r="O33" s="54"/>
      <c r="P33" s="54"/>
      <c r="Q33" s="54"/>
      <c r="R33" s="54"/>
      <c r="S33" s="54"/>
      <c r="T33" s="54"/>
      <c r="U33" s="54"/>
      <c r="V33" s="54"/>
      <c r="W33" s="54"/>
      <c r="X33" s="54"/>
      <c r="Y33" s="136"/>
      <c r="Z33" s="138">
        <f>SUM(N33:Y33)</f>
        <v>0</v>
      </c>
      <c r="AA33" s="520">
        <f>L33-Z33</f>
        <v>0</v>
      </c>
      <c r="AC33" s="83"/>
      <c r="AD33" s="88">
        <f>I33</f>
        <v>0</v>
      </c>
      <c r="AE33" s="111">
        <f>J33</f>
        <v>0</v>
      </c>
      <c r="AF33" s="117"/>
      <c r="AG33" s="109">
        <f>K33</f>
        <v>0</v>
      </c>
      <c r="AH33" s="111">
        <f>L33</f>
        <v>0</v>
      </c>
      <c r="AI33" s="88"/>
      <c r="AJ33" s="88"/>
      <c r="AK33" s="111">
        <f>M33</f>
        <v>0</v>
      </c>
      <c r="AL33" s="111"/>
      <c r="AM33" s="101">
        <f>AE33-AH33</f>
        <v>0</v>
      </c>
    </row>
    <row r="34" spans="1:39" s="112" customFormat="1" ht="90.75" customHeight="1">
      <c r="A34" s="522" t="s">
        <v>493</v>
      </c>
      <c r="B34" s="92">
        <f>J34</f>
        <v>339164697</v>
      </c>
      <c r="C34" s="89" t="s">
        <v>152</v>
      </c>
      <c r="D34" s="108" t="s">
        <v>120</v>
      </c>
      <c r="E34" s="89" t="s">
        <v>121</v>
      </c>
      <c r="F34" s="108" t="s">
        <v>734</v>
      </c>
      <c r="G34" s="89" t="s">
        <v>122</v>
      </c>
      <c r="H34" s="64">
        <v>246</v>
      </c>
      <c r="I34" s="140" t="s">
        <v>1318</v>
      </c>
      <c r="J34" s="141">
        <f>70000000-70000000+339164697</f>
        <v>339164697</v>
      </c>
      <c r="K34" s="108">
        <v>930</v>
      </c>
      <c r="L34" s="108">
        <f>339164697</f>
        <v>339164697</v>
      </c>
      <c r="M34" s="142">
        <v>363</v>
      </c>
      <c r="N34" s="137"/>
      <c r="O34" s="54"/>
      <c r="P34" s="54"/>
      <c r="Q34" s="54"/>
      <c r="R34" s="54"/>
      <c r="S34" s="54"/>
      <c r="T34" s="54"/>
      <c r="U34" s="54"/>
      <c r="V34" s="54"/>
      <c r="W34" s="54"/>
      <c r="X34" s="54"/>
      <c r="Y34" s="136"/>
      <c r="Z34" s="138">
        <f>SUM(N34:Y34)</f>
        <v>0</v>
      </c>
      <c r="AA34" s="520">
        <f>L34-Z34</f>
        <v>339164697</v>
      </c>
      <c r="AC34" s="83" t="s">
        <v>911</v>
      </c>
      <c r="AD34" s="88" t="str">
        <f>I34</f>
        <v>182 - 590</v>
      </c>
      <c r="AE34" s="111">
        <f>J34</f>
        <v>339164697</v>
      </c>
      <c r="AF34" s="122" t="s">
        <v>1319</v>
      </c>
      <c r="AG34" s="109">
        <f>K34</f>
        <v>930</v>
      </c>
      <c r="AH34" s="111">
        <f>L34</f>
        <v>339164697</v>
      </c>
      <c r="AI34" s="121">
        <v>43049</v>
      </c>
      <c r="AJ34" s="88" t="s">
        <v>979</v>
      </c>
      <c r="AK34" s="111">
        <f>M34</f>
        <v>363</v>
      </c>
      <c r="AL34" s="111"/>
      <c r="AM34" s="101">
        <f>AE34-AH34</f>
        <v>0</v>
      </c>
    </row>
    <row r="35" spans="1:39" s="116" customFormat="1">
      <c r="A35" s="255" t="s">
        <v>132</v>
      </c>
      <c r="B35" s="99">
        <f>B33-B34</f>
        <v>0</v>
      </c>
      <c r="C35" s="99"/>
      <c r="D35" s="99"/>
      <c r="E35" s="99"/>
      <c r="F35" s="99"/>
      <c r="G35" s="164"/>
      <c r="H35" s="144"/>
      <c r="I35" s="99">
        <v>369</v>
      </c>
      <c r="J35" s="135">
        <f>SUM(J33:J34)</f>
        <v>339164697</v>
      </c>
      <c r="K35" s="99"/>
      <c r="L35" s="99">
        <f>SUM(L33:L34)</f>
        <v>339164697</v>
      </c>
      <c r="M35" s="136"/>
      <c r="N35" s="144">
        <f t="shared" ref="N35:X35" si="12">SUM(N33:N34)</f>
        <v>0</v>
      </c>
      <c r="O35" s="99">
        <f t="shared" si="12"/>
        <v>0</v>
      </c>
      <c r="P35" s="99">
        <f t="shared" si="12"/>
        <v>0</v>
      </c>
      <c r="Q35" s="99">
        <f t="shared" si="12"/>
        <v>0</v>
      </c>
      <c r="R35" s="99">
        <f t="shared" si="12"/>
        <v>0</v>
      </c>
      <c r="S35" s="99">
        <f t="shared" si="12"/>
        <v>0</v>
      </c>
      <c r="T35" s="99">
        <f>SUM(T33:T34)</f>
        <v>0</v>
      </c>
      <c r="U35" s="99">
        <f>SUM(U33:U34)</f>
        <v>0</v>
      </c>
      <c r="V35" s="99">
        <f>SUM(V33:V34)</f>
        <v>0</v>
      </c>
      <c r="W35" s="99">
        <f>SUM(W33:W34)</f>
        <v>0</v>
      </c>
      <c r="X35" s="99">
        <f t="shared" si="12"/>
        <v>0</v>
      </c>
      <c r="Y35" s="143">
        <f>SUM(Y33:Y34)</f>
        <v>0</v>
      </c>
      <c r="Z35" s="149">
        <f>SUM(Z33:Z34)</f>
        <v>0</v>
      </c>
      <c r="AA35" s="524">
        <f>SUM(AA33:AA34)</f>
        <v>339164697</v>
      </c>
      <c r="AC35" s="100"/>
      <c r="AD35" s="44"/>
      <c r="AE35" s="101">
        <f>SUM(AE33:AE34)</f>
        <v>339164697</v>
      </c>
      <c r="AF35" s="118"/>
      <c r="AG35" s="109"/>
      <c r="AH35" s="101">
        <f>SUM(AH33:AH34)</f>
        <v>339164697</v>
      </c>
      <c r="AI35" s="54"/>
      <c r="AJ35" s="54"/>
      <c r="AK35" s="101"/>
      <c r="AL35" s="101"/>
      <c r="AM35" s="101">
        <f>SUM(AM33:AM34)</f>
        <v>0</v>
      </c>
    </row>
    <row r="36" spans="1:39" s="112" customFormat="1" ht="63.75">
      <c r="A36" s="521" t="s">
        <v>178</v>
      </c>
      <c r="B36" s="55">
        <f>400000000-321000000+2000000+362000</f>
        <v>81362000</v>
      </c>
      <c r="C36" s="89" t="s">
        <v>78</v>
      </c>
      <c r="D36" s="108" t="s">
        <v>120</v>
      </c>
      <c r="E36" s="89" t="s">
        <v>121</v>
      </c>
      <c r="F36" s="108" t="s">
        <v>734</v>
      </c>
      <c r="G36" s="89" t="s">
        <v>122</v>
      </c>
      <c r="H36" s="65"/>
      <c r="I36" s="134"/>
      <c r="J36" s="135"/>
      <c r="K36" s="99"/>
      <c r="L36" s="99"/>
      <c r="M36" s="142"/>
      <c r="N36" s="137"/>
      <c r="O36" s="54"/>
      <c r="P36" s="54"/>
      <c r="Q36" s="54"/>
      <c r="R36" s="54"/>
      <c r="S36" s="54"/>
      <c r="T36" s="54"/>
      <c r="U36" s="54"/>
      <c r="V36" s="54"/>
      <c r="W36" s="54"/>
      <c r="X36" s="54"/>
      <c r="Y36" s="136"/>
      <c r="Z36" s="138">
        <f>SUM(N36:Y36)</f>
        <v>0</v>
      </c>
      <c r="AA36" s="520">
        <f>L36-Z36</f>
        <v>0</v>
      </c>
      <c r="AC36" s="83"/>
      <c r="AD36" s="88">
        <f t="shared" ref="AD36:AE40" si="13">I36</f>
        <v>0</v>
      </c>
      <c r="AE36" s="111">
        <f t="shared" si="13"/>
        <v>0</v>
      </c>
      <c r="AF36" s="117"/>
      <c r="AG36" s="109">
        <f t="shared" ref="AG36:AH40" si="14">K36</f>
        <v>0</v>
      </c>
      <c r="AH36" s="111">
        <f t="shared" si="14"/>
        <v>0</v>
      </c>
      <c r="AI36" s="88"/>
      <c r="AJ36" s="88"/>
      <c r="AK36" s="111">
        <f>M36</f>
        <v>0</v>
      </c>
      <c r="AL36" s="111"/>
      <c r="AM36" s="101">
        <f>AE36-AH36</f>
        <v>0</v>
      </c>
    </row>
    <row r="37" spans="1:39" s="112" customFormat="1" ht="63.75">
      <c r="A37" s="522" t="s">
        <v>178</v>
      </c>
      <c r="B37" s="92">
        <f>J37</f>
        <v>20500000</v>
      </c>
      <c r="C37" s="89" t="s">
        <v>78</v>
      </c>
      <c r="D37" s="108" t="s">
        <v>120</v>
      </c>
      <c r="E37" s="89" t="s">
        <v>121</v>
      </c>
      <c r="F37" s="108" t="s">
        <v>734</v>
      </c>
      <c r="G37" s="89" t="s">
        <v>122</v>
      </c>
      <c r="H37" s="64">
        <v>350</v>
      </c>
      <c r="I37" s="140">
        <v>369</v>
      </c>
      <c r="J37" s="141">
        <f>20500000</f>
        <v>20500000</v>
      </c>
      <c r="K37" s="108">
        <v>696</v>
      </c>
      <c r="L37" s="108">
        <f>20500000</f>
        <v>20500000</v>
      </c>
      <c r="M37" s="142">
        <v>291</v>
      </c>
      <c r="N37" s="137"/>
      <c r="O37" s="54"/>
      <c r="P37" s="54"/>
      <c r="Q37" s="54"/>
      <c r="R37" s="54"/>
      <c r="S37" s="54"/>
      <c r="T37" s="54"/>
      <c r="U37" s="54"/>
      <c r="V37" s="89">
        <f>6150000</f>
        <v>6150000</v>
      </c>
      <c r="W37" s="89">
        <f>12300000</f>
        <v>12300000</v>
      </c>
      <c r="X37" s="89">
        <f>2050000</f>
        <v>2050000</v>
      </c>
      <c r="Y37" s="136"/>
      <c r="Z37" s="138">
        <f t="shared" ref="Z37:Z41" si="15">SUM(N37:Y37)</f>
        <v>20500000</v>
      </c>
      <c r="AA37" s="520">
        <f t="shared" ref="AA37:AA41" si="16">L37-Z37</f>
        <v>0</v>
      </c>
      <c r="AC37" s="83" t="s">
        <v>711</v>
      </c>
      <c r="AD37" s="88">
        <f t="shared" si="13"/>
        <v>369</v>
      </c>
      <c r="AE37" s="111">
        <f t="shared" si="13"/>
        <v>20500000</v>
      </c>
      <c r="AF37" s="117">
        <v>42913</v>
      </c>
      <c r="AG37" s="109">
        <f t="shared" si="14"/>
        <v>696</v>
      </c>
      <c r="AH37" s="111">
        <f t="shared" si="14"/>
        <v>20500000</v>
      </c>
      <c r="AI37" s="121">
        <v>42962</v>
      </c>
      <c r="AJ37" s="88" t="s">
        <v>712</v>
      </c>
      <c r="AK37" s="111">
        <f>M37</f>
        <v>291</v>
      </c>
      <c r="AL37" s="111"/>
      <c r="AM37" s="101">
        <f>AE37-AH37</f>
        <v>0</v>
      </c>
    </row>
    <row r="38" spans="1:39" s="112" customFormat="1" ht="63.75">
      <c r="A38" s="522" t="s">
        <v>178</v>
      </c>
      <c r="B38" s="92">
        <f>J38</f>
        <v>19178220</v>
      </c>
      <c r="C38" s="89" t="s">
        <v>78</v>
      </c>
      <c r="D38" s="108" t="s">
        <v>120</v>
      </c>
      <c r="E38" s="89" t="s">
        <v>121</v>
      </c>
      <c r="F38" s="108" t="s">
        <v>734</v>
      </c>
      <c r="G38" s="89" t="s">
        <v>122</v>
      </c>
      <c r="H38" s="64">
        <v>347</v>
      </c>
      <c r="I38" s="140">
        <v>412</v>
      </c>
      <c r="J38" s="141">
        <f>19500000-321780</f>
        <v>19178220</v>
      </c>
      <c r="K38" s="108">
        <v>694</v>
      </c>
      <c r="L38" s="108">
        <v>19178220</v>
      </c>
      <c r="M38" s="142">
        <v>288</v>
      </c>
      <c r="N38" s="137"/>
      <c r="O38" s="54"/>
      <c r="P38" s="54"/>
      <c r="Q38" s="54"/>
      <c r="R38" s="54"/>
      <c r="S38" s="54"/>
      <c r="T38" s="54"/>
      <c r="U38" s="54"/>
      <c r="V38" s="89">
        <f>19178220</f>
        <v>19178220</v>
      </c>
      <c r="W38" s="54"/>
      <c r="X38" s="54"/>
      <c r="Y38" s="136"/>
      <c r="Z38" s="138">
        <f t="shared" si="15"/>
        <v>19178220</v>
      </c>
      <c r="AA38" s="520">
        <f t="shared" si="16"/>
        <v>0</v>
      </c>
      <c r="AC38" s="83" t="s">
        <v>704</v>
      </c>
      <c r="AD38" s="88">
        <f t="shared" si="13"/>
        <v>412</v>
      </c>
      <c r="AE38" s="111">
        <f t="shared" si="13"/>
        <v>19178220</v>
      </c>
      <c r="AF38" s="117">
        <v>42950</v>
      </c>
      <c r="AG38" s="109">
        <f t="shared" si="14"/>
        <v>694</v>
      </c>
      <c r="AH38" s="111">
        <f t="shared" si="14"/>
        <v>19178220</v>
      </c>
      <c r="AI38" s="121">
        <v>42961</v>
      </c>
      <c r="AJ38" s="88" t="s">
        <v>710</v>
      </c>
      <c r="AK38" s="111">
        <f>M38</f>
        <v>288</v>
      </c>
      <c r="AL38" s="111"/>
      <c r="AM38" s="101">
        <f>AE38-AH38</f>
        <v>0</v>
      </c>
    </row>
    <row r="39" spans="1:39" s="112" customFormat="1" ht="63.75">
      <c r="A39" s="522" t="s">
        <v>178</v>
      </c>
      <c r="B39" s="92">
        <f>J39</f>
        <v>21500000</v>
      </c>
      <c r="C39" s="89" t="s">
        <v>78</v>
      </c>
      <c r="D39" s="108" t="s">
        <v>120</v>
      </c>
      <c r="E39" s="89" t="s">
        <v>121</v>
      </c>
      <c r="F39" s="108" t="s">
        <v>734</v>
      </c>
      <c r="G39" s="89" t="s">
        <v>122</v>
      </c>
      <c r="H39" s="64">
        <v>349</v>
      </c>
      <c r="I39" s="140" t="s">
        <v>796</v>
      </c>
      <c r="J39" s="141">
        <f>19500000+2000000</f>
        <v>21500000</v>
      </c>
      <c r="K39" s="108" t="s">
        <v>857</v>
      </c>
      <c r="L39" s="108">
        <f>19500000+2000000</f>
        <v>21500000</v>
      </c>
      <c r="M39" s="142">
        <v>294</v>
      </c>
      <c r="N39" s="137"/>
      <c r="O39" s="54"/>
      <c r="P39" s="54"/>
      <c r="Q39" s="54"/>
      <c r="R39" s="54"/>
      <c r="S39" s="54"/>
      <c r="T39" s="54"/>
      <c r="U39" s="54"/>
      <c r="V39" s="54"/>
      <c r="W39" s="89">
        <f>1733333+6500000</f>
        <v>8233333</v>
      </c>
      <c r="X39" s="89">
        <f>6500000+500000</f>
        <v>7000000</v>
      </c>
      <c r="Y39" s="142">
        <f>4766667+1500000</f>
        <v>6266667</v>
      </c>
      <c r="Z39" s="138">
        <f t="shared" si="15"/>
        <v>21500000</v>
      </c>
      <c r="AA39" s="520">
        <f t="shared" si="16"/>
        <v>0</v>
      </c>
      <c r="AC39" s="83" t="s">
        <v>706</v>
      </c>
      <c r="AD39" s="88" t="str">
        <f t="shared" si="13"/>
        <v>419 - 504</v>
      </c>
      <c r="AE39" s="111">
        <f t="shared" si="13"/>
        <v>21500000</v>
      </c>
      <c r="AF39" s="117">
        <v>42957</v>
      </c>
      <c r="AG39" s="109" t="str">
        <f t="shared" si="14"/>
        <v>719 - 887</v>
      </c>
      <c r="AH39" s="111">
        <f t="shared" si="14"/>
        <v>21500000</v>
      </c>
      <c r="AI39" s="121">
        <v>42970</v>
      </c>
      <c r="AJ39" s="88" t="s">
        <v>721</v>
      </c>
      <c r="AK39" s="111">
        <f>M39</f>
        <v>294</v>
      </c>
      <c r="AL39" s="111"/>
      <c r="AM39" s="101">
        <f>AE39-AH39</f>
        <v>0</v>
      </c>
    </row>
    <row r="40" spans="1:39" s="112" customFormat="1" ht="63.75">
      <c r="A40" s="522" t="s">
        <v>178</v>
      </c>
      <c r="B40" s="92">
        <f>J40</f>
        <v>19500000</v>
      </c>
      <c r="C40" s="89" t="s">
        <v>78</v>
      </c>
      <c r="D40" s="108" t="s">
        <v>120</v>
      </c>
      <c r="E40" s="89" t="s">
        <v>121</v>
      </c>
      <c r="F40" s="108" t="s">
        <v>734</v>
      </c>
      <c r="G40" s="89" t="s">
        <v>122</v>
      </c>
      <c r="H40" s="64">
        <v>348</v>
      </c>
      <c r="I40" s="140">
        <v>420</v>
      </c>
      <c r="J40" s="141">
        <f>19500000</f>
        <v>19500000</v>
      </c>
      <c r="K40" s="108">
        <v>718</v>
      </c>
      <c r="L40" s="108">
        <f>19500000</f>
        <v>19500000</v>
      </c>
      <c r="M40" s="142">
        <v>293</v>
      </c>
      <c r="N40" s="137"/>
      <c r="O40" s="54"/>
      <c r="P40" s="54"/>
      <c r="Q40" s="54"/>
      <c r="R40" s="54"/>
      <c r="S40" s="54"/>
      <c r="T40" s="54"/>
      <c r="U40" s="54"/>
      <c r="V40" s="54"/>
      <c r="W40" s="89">
        <f>1733333+6500000</f>
        <v>8233333</v>
      </c>
      <c r="X40" s="89">
        <f>6500000</f>
        <v>6500000</v>
      </c>
      <c r="Y40" s="142">
        <f>4766667</f>
        <v>4766667</v>
      </c>
      <c r="Z40" s="138">
        <f t="shared" si="15"/>
        <v>19500000</v>
      </c>
      <c r="AA40" s="520">
        <f t="shared" si="16"/>
        <v>0</v>
      </c>
      <c r="AC40" s="83" t="s">
        <v>706</v>
      </c>
      <c r="AD40" s="88">
        <f t="shared" si="13"/>
        <v>420</v>
      </c>
      <c r="AE40" s="111">
        <f t="shared" si="13"/>
        <v>19500000</v>
      </c>
      <c r="AF40" s="117">
        <v>42957</v>
      </c>
      <c r="AG40" s="109">
        <f t="shared" si="14"/>
        <v>718</v>
      </c>
      <c r="AH40" s="111">
        <f t="shared" si="14"/>
        <v>19500000</v>
      </c>
      <c r="AI40" s="121">
        <v>42970</v>
      </c>
      <c r="AJ40" s="88" t="s">
        <v>720</v>
      </c>
      <c r="AK40" s="111">
        <f>M40</f>
        <v>293</v>
      </c>
      <c r="AL40" s="111"/>
      <c r="AM40" s="101">
        <f>AE40-AH40</f>
        <v>0</v>
      </c>
    </row>
    <row r="41" spans="1:39" s="112" customFormat="1" ht="63.75">
      <c r="A41" s="522" t="s">
        <v>178</v>
      </c>
      <c r="B41" s="92"/>
      <c r="C41" s="89" t="s">
        <v>78</v>
      </c>
      <c r="D41" s="108" t="s">
        <v>120</v>
      </c>
      <c r="E41" s="89" t="s">
        <v>121</v>
      </c>
      <c r="F41" s="108" t="s">
        <v>734</v>
      </c>
      <c r="G41" s="89" t="s">
        <v>122</v>
      </c>
      <c r="H41" s="64"/>
      <c r="I41" s="140">
        <v>593</v>
      </c>
      <c r="J41" s="141">
        <v>362000</v>
      </c>
      <c r="K41" s="108">
        <v>941</v>
      </c>
      <c r="L41" s="108">
        <v>362000</v>
      </c>
      <c r="M41" s="145">
        <v>5651</v>
      </c>
      <c r="N41" s="144"/>
      <c r="O41" s="99"/>
      <c r="P41" s="99"/>
      <c r="Q41" s="99"/>
      <c r="R41" s="99"/>
      <c r="S41" s="99"/>
      <c r="T41" s="99"/>
      <c r="U41" s="99"/>
      <c r="V41" s="99"/>
      <c r="W41" s="108"/>
      <c r="X41" s="108">
        <f>362000</f>
        <v>362000</v>
      </c>
      <c r="Y41" s="136"/>
      <c r="Z41" s="138">
        <f t="shared" si="15"/>
        <v>362000</v>
      </c>
      <c r="AA41" s="520">
        <f t="shared" si="16"/>
        <v>0</v>
      </c>
      <c r="AC41" s="123"/>
      <c r="AD41" s="140"/>
      <c r="AE41" s="110"/>
      <c r="AF41" s="147"/>
      <c r="AG41" s="148"/>
      <c r="AH41" s="110"/>
      <c r="AI41" s="403"/>
      <c r="AJ41" s="140"/>
      <c r="AK41" s="110"/>
      <c r="AL41" s="110"/>
      <c r="AM41" s="106"/>
    </row>
    <row r="42" spans="1:39" s="116" customFormat="1" ht="17.25" customHeight="1">
      <c r="A42" s="255" t="s">
        <v>132</v>
      </c>
      <c r="B42" s="99">
        <f>B36-B37-B38-B39-B40-B41</f>
        <v>683780</v>
      </c>
      <c r="C42" s="99"/>
      <c r="D42" s="99"/>
      <c r="E42" s="99"/>
      <c r="F42" s="99"/>
      <c r="G42" s="164"/>
      <c r="H42" s="144"/>
      <c r="I42" s="99"/>
      <c r="J42" s="135">
        <f>SUM(J36:J41)</f>
        <v>81040220</v>
      </c>
      <c r="K42" s="135"/>
      <c r="L42" s="135">
        <f>SUM(L36:L41)</f>
        <v>81040220</v>
      </c>
      <c r="M42" s="135"/>
      <c r="N42" s="135">
        <f>SUM(N36:N41)</f>
        <v>0</v>
      </c>
      <c r="O42" s="135">
        <f t="shared" ref="O42:W42" si="17">SUM(O36:O41)</f>
        <v>0</v>
      </c>
      <c r="P42" s="135">
        <f t="shared" si="17"/>
        <v>0</v>
      </c>
      <c r="Q42" s="135">
        <f t="shared" si="17"/>
        <v>0</v>
      </c>
      <c r="R42" s="135">
        <f t="shared" si="17"/>
        <v>0</v>
      </c>
      <c r="S42" s="135">
        <f t="shared" si="17"/>
        <v>0</v>
      </c>
      <c r="T42" s="135">
        <f t="shared" si="17"/>
        <v>0</v>
      </c>
      <c r="U42" s="135">
        <f t="shared" si="17"/>
        <v>0</v>
      </c>
      <c r="V42" s="135">
        <f t="shared" si="17"/>
        <v>25328220</v>
      </c>
      <c r="W42" s="135">
        <f t="shared" si="17"/>
        <v>28766666</v>
      </c>
      <c r="X42" s="135">
        <f>SUM(X36:X41)</f>
        <v>15912000</v>
      </c>
      <c r="Y42" s="135">
        <f>SUM(Y36:Y41)</f>
        <v>11033334</v>
      </c>
      <c r="Z42" s="135">
        <f t="shared" ref="Z42" si="18">SUM(Z36:Z41)</f>
        <v>81040220</v>
      </c>
      <c r="AA42" s="526">
        <f>SUM(AA36:AA41)</f>
        <v>0</v>
      </c>
      <c r="AB42" s="158">
        <f t="shared" ref="AB42:AM42" si="19">SUM(AB36:AB40)</f>
        <v>0</v>
      </c>
      <c r="AC42" s="135">
        <f t="shared" si="19"/>
        <v>0</v>
      </c>
      <c r="AD42" s="135">
        <f t="shared" si="19"/>
        <v>1201</v>
      </c>
      <c r="AE42" s="135">
        <f t="shared" si="19"/>
        <v>80678220</v>
      </c>
      <c r="AF42" s="475">
        <f t="shared" si="19"/>
        <v>171777</v>
      </c>
      <c r="AG42" s="135">
        <f t="shared" si="19"/>
        <v>2108</v>
      </c>
      <c r="AH42" s="135">
        <f t="shared" si="19"/>
        <v>80678220</v>
      </c>
      <c r="AI42" s="135">
        <f t="shared" si="19"/>
        <v>171863</v>
      </c>
      <c r="AJ42" s="135">
        <f t="shared" si="19"/>
        <v>0</v>
      </c>
      <c r="AK42" s="135">
        <f t="shared" si="19"/>
        <v>1166</v>
      </c>
      <c r="AL42" s="135">
        <f t="shared" si="19"/>
        <v>0</v>
      </c>
      <c r="AM42" s="135">
        <f t="shared" si="19"/>
        <v>0</v>
      </c>
    </row>
    <row r="43" spans="1:39" s="116" customFormat="1" ht="63.75">
      <c r="A43" s="521" t="s">
        <v>581</v>
      </c>
      <c r="B43" s="99">
        <v>14116148</v>
      </c>
      <c r="C43" s="89" t="s">
        <v>78</v>
      </c>
      <c r="D43" s="108" t="s">
        <v>120</v>
      </c>
      <c r="E43" s="89" t="s">
        <v>121</v>
      </c>
      <c r="F43" s="108" t="s">
        <v>734</v>
      </c>
      <c r="G43" s="89" t="s">
        <v>122</v>
      </c>
      <c r="H43" s="144"/>
      <c r="I43" s="99"/>
      <c r="J43" s="135"/>
      <c r="K43" s="99"/>
      <c r="L43" s="99"/>
      <c r="M43" s="143"/>
      <c r="N43" s="144"/>
      <c r="O43" s="99"/>
      <c r="P43" s="99"/>
      <c r="Q43" s="99"/>
      <c r="R43" s="99"/>
      <c r="S43" s="99"/>
      <c r="T43" s="99"/>
      <c r="U43" s="99"/>
      <c r="V43" s="99"/>
      <c r="W43" s="99"/>
      <c r="X43" s="99"/>
      <c r="Y43" s="143"/>
      <c r="Z43" s="149"/>
      <c r="AA43" s="525"/>
      <c r="AC43" s="100"/>
      <c r="AD43" s="44"/>
      <c r="AE43" s="101"/>
      <c r="AF43" s="118"/>
      <c r="AG43" s="109"/>
      <c r="AH43" s="101"/>
      <c r="AI43" s="54"/>
      <c r="AJ43" s="54"/>
      <c r="AK43" s="101"/>
      <c r="AL43" s="101"/>
      <c r="AM43" s="101"/>
    </row>
    <row r="44" spans="1:39" s="116" customFormat="1" ht="76.5" customHeight="1">
      <c r="A44" s="522" t="s">
        <v>581</v>
      </c>
      <c r="B44" s="108">
        <f>J44</f>
        <v>14116148</v>
      </c>
      <c r="C44" s="89" t="s">
        <v>78</v>
      </c>
      <c r="D44" s="108" t="s">
        <v>120</v>
      </c>
      <c r="E44" s="89" t="s">
        <v>121</v>
      </c>
      <c r="F44" s="108" t="s">
        <v>734</v>
      </c>
      <c r="G44" s="89" t="s">
        <v>122</v>
      </c>
      <c r="H44" s="146">
        <v>302</v>
      </c>
      <c r="I44" s="108">
        <v>270</v>
      </c>
      <c r="J44" s="141">
        <v>14116148</v>
      </c>
      <c r="K44" s="108">
        <v>452</v>
      </c>
      <c r="L44" s="89">
        <v>14116148</v>
      </c>
      <c r="M44" s="142">
        <v>230</v>
      </c>
      <c r="N44" s="144"/>
      <c r="O44" s="99"/>
      <c r="P44" s="99"/>
      <c r="Q44" s="99"/>
      <c r="R44" s="99"/>
      <c r="S44" s="99"/>
      <c r="T44" s="108">
        <v>12704619</v>
      </c>
      <c r="U44" s="99"/>
      <c r="V44" s="99"/>
      <c r="W44" s="99"/>
      <c r="X44" s="99"/>
      <c r="Y44" s="143"/>
      <c r="Z44" s="150">
        <f>SUM(N44:Y44)</f>
        <v>12704619</v>
      </c>
      <c r="AA44" s="525">
        <f>L44-Z44</f>
        <v>1411529</v>
      </c>
      <c r="AC44" s="84" t="s">
        <v>583</v>
      </c>
      <c r="AD44" s="88">
        <f>I44</f>
        <v>270</v>
      </c>
      <c r="AE44" s="111">
        <f>J44</f>
        <v>14116148</v>
      </c>
      <c r="AF44" s="117">
        <v>42836</v>
      </c>
      <c r="AG44" s="109">
        <f>K44</f>
        <v>452</v>
      </c>
      <c r="AH44" s="111">
        <f>L44</f>
        <v>14116148</v>
      </c>
      <c r="AI44" s="121">
        <v>42853</v>
      </c>
      <c r="AJ44" s="88" t="s">
        <v>602</v>
      </c>
      <c r="AK44" s="111">
        <f>M44</f>
        <v>230</v>
      </c>
      <c r="AL44" s="111">
        <v>900388354</v>
      </c>
      <c r="AM44" s="101">
        <f>AE44-AH44</f>
        <v>0</v>
      </c>
    </row>
    <row r="45" spans="1:39" s="105" customFormat="1" ht="12" customHeight="1">
      <c r="A45" s="255" t="s">
        <v>132</v>
      </c>
      <c r="B45" s="99">
        <f>B43-B44</f>
        <v>0</v>
      </c>
      <c r="C45" s="99"/>
      <c r="D45" s="99"/>
      <c r="E45" s="99"/>
      <c r="F45" s="99"/>
      <c r="G45" s="164"/>
      <c r="H45" s="144"/>
      <c r="I45" s="99"/>
      <c r="J45" s="135">
        <f>SUM(J43:J44)</f>
        <v>14116148</v>
      </c>
      <c r="K45" s="99"/>
      <c r="L45" s="54">
        <f>SUM(L43:L44)</f>
        <v>14116148</v>
      </c>
      <c r="M45" s="136"/>
      <c r="N45" s="144">
        <f t="shared" ref="N45:S45" si="20">SUM(N43:N44)</f>
        <v>0</v>
      </c>
      <c r="O45" s="99">
        <f t="shared" si="20"/>
        <v>0</v>
      </c>
      <c r="P45" s="99">
        <f t="shared" si="20"/>
        <v>0</v>
      </c>
      <c r="Q45" s="99">
        <f t="shared" si="20"/>
        <v>0</v>
      </c>
      <c r="R45" s="99">
        <f t="shared" si="20"/>
        <v>0</v>
      </c>
      <c r="S45" s="99">
        <f t="shared" si="20"/>
        <v>0</v>
      </c>
      <c r="T45" s="99">
        <f t="shared" ref="T45:Y45" si="21">SUM(T43:T44)</f>
        <v>12704619</v>
      </c>
      <c r="U45" s="99">
        <f t="shared" si="21"/>
        <v>0</v>
      </c>
      <c r="V45" s="99">
        <f t="shared" si="21"/>
        <v>0</v>
      </c>
      <c r="W45" s="99">
        <f t="shared" si="21"/>
        <v>0</v>
      </c>
      <c r="X45" s="99">
        <f t="shared" si="21"/>
        <v>0</v>
      </c>
      <c r="Y45" s="99">
        <f t="shared" si="21"/>
        <v>0</v>
      </c>
      <c r="Z45" s="99">
        <f t="shared" ref="Z45" si="22">SUM(Z43:Z44)</f>
        <v>12704619</v>
      </c>
      <c r="AA45" s="523">
        <f>SUM(AA43:AA44)</f>
        <v>1411529</v>
      </c>
      <c r="AC45" s="100"/>
      <c r="AD45" s="44"/>
      <c r="AE45" s="106"/>
      <c r="AF45" s="118"/>
      <c r="AG45" s="107"/>
      <c r="AH45" s="106"/>
      <c r="AI45" s="120"/>
      <c r="AJ45" s="44"/>
      <c r="AK45" s="101"/>
      <c r="AL45" s="106"/>
      <c r="AM45" s="106"/>
    </row>
    <row r="46" spans="1:39" s="105" customFormat="1" ht="102" customHeight="1">
      <c r="A46" s="255" t="s">
        <v>752</v>
      </c>
      <c r="B46" s="99">
        <f>2287222806+1300000000</f>
        <v>3587222806</v>
      </c>
      <c r="C46" s="108" t="s">
        <v>611</v>
      </c>
      <c r="D46" s="108" t="s">
        <v>120</v>
      </c>
      <c r="E46" s="89" t="s">
        <v>121</v>
      </c>
      <c r="F46" s="108" t="s">
        <v>734</v>
      </c>
      <c r="G46" s="89" t="s">
        <v>122</v>
      </c>
      <c r="H46" s="144"/>
      <c r="I46" s="99"/>
      <c r="J46" s="135"/>
      <c r="K46" s="99"/>
      <c r="L46" s="54"/>
      <c r="M46" s="142"/>
      <c r="N46" s="144"/>
      <c r="O46" s="99"/>
      <c r="P46" s="99"/>
      <c r="Q46" s="99"/>
      <c r="R46" s="99"/>
      <c r="S46" s="99"/>
      <c r="T46" s="99"/>
      <c r="U46" s="99"/>
      <c r="V46" s="99"/>
      <c r="W46" s="99"/>
      <c r="X46" s="99"/>
      <c r="Y46" s="143"/>
      <c r="Z46" s="149"/>
      <c r="AA46" s="525"/>
      <c r="AC46" s="100"/>
      <c r="AD46" s="44"/>
      <c r="AE46" s="106"/>
      <c r="AF46" s="118"/>
      <c r="AG46" s="107"/>
      <c r="AH46" s="106"/>
      <c r="AI46" s="120"/>
      <c r="AJ46" s="44"/>
      <c r="AK46" s="101"/>
      <c r="AL46" s="106"/>
      <c r="AM46" s="106"/>
    </row>
    <row r="47" spans="1:39" s="116" customFormat="1" ht="102" customHeight="1">
      <c r="A47" s="527" t="s">
        <v>751</v>
      </c>
      <c r="B47" s="108">
        <f>+J47</f>
        <v>2132430350</v>
      </c>
      <c r="C47" s="108" t="s">
        <v>611</v>
      </c>
      <c r="D47" s="108" t="s">
        <v>120</v>
      </c>
      <c r="E47" s="89" t="s">
        <v>121</v>
      </c>
      <c r="F47" s="108" t="s">
        <v>734</v>
      </c>
      <c r="G47" s="89" t="s">
        <v>122</v>
      </c>
      <c r="H47" s="146">
        <v>401</v>
      </c>
      <c r="I47" s="108">
        <v>427</v>
      </c>
      <c r="J47" s="141">
        <v>2132430350</v>
      </c>
      <c r="K47" s="108">
        <v>702</v>
      </c>
      <c r="L47" s="89">
        <v>2132430350</v>
      </c>
      <c r="M47" s="142">
        <v>261</v>
      </c>
      <c r="N47" s="144"/>
      <c r="O47" s="99"/>
      <c r="P47" s="99"/>
      <c r="Q47" s="99"/>
      <c r="R47" s="99"/>
      <c r="S47" s="99"/>
      <c r="T47" s="99"/>
      <c r="U47" s="108">
        <f>535148722</f>
        <v>535148722</v>
      </c>
      <c r="V47" s="108">
        <f>547923398+271428888</f>
        <v>819352286</v>
      </c>
      <c r="W47" s="108">
        <f>242749206+292524465</f>
        <v>535273671</v>
      </c>
      <c r="X47" s="99"/>
      <c r="Y47" s="157">
        <v>242655671</v>
      </c>
      <c r="Z47" s="150">
        <f>SUM(N47:Y47)</f>
        <v>2132430350</v>
      </c>
      <c r="AA47" s="525">
        <f>L47-Z47</f>
        <v>0</v>
      </c>
      <c r="AC47" s="84" t="s">
        <v>624</v>
      </c>
      <c r="AD47" s="88">
        <v>327</v>
      </c>
      <c r="AE47" s="110">
        <v>2247712323</v>
      </c>
      <c r="AF47" s="117">
        <v>42877</v>
      </c>
      <c r="AG47" s="109">
        <f>K47</f>
        <v>702</v>
      </c>
      <c r="AH47" s="110">
        <f>L47</f>
        <v>2132430350</v>
      </c>
      <c r="AI47" s="121">
        <v>42964</v>
      </c>
      <c r="AJ47" s="88" t="s">
        <v>635</v>
      </c>
      <c r="AK47" s="111">
        <f>M47</f>
        <v>261</v>
      </c>
      <c r="AL47" s="110">
        <v>900921219</v>
      </c>
      <c r="AM47" s="106">
        <f>AE47-AH47</f>
        <v>115281973</v>
      </c>
    </row>
    <row r="48" spans="1:39" s="116" customFormat="1" ht="85.5" customHeight="1">
      <c r="A48" s="527" t="s">
        <v>751</v>
      </c>
      <c r="B48" s="108">
        <f>+J48</f>
        <v>154792456</v>
      </c>
      <c r="C48" s="108" t="s">
        <v>611</v>
      </c>
      <c r="D48" s="108" t="s">
        <v>120</v>
      </c>
      <c r="E48" s="89" t="s">
        <v>121</v>
      </c>
      <c r="F48" s="108" t="s">
        <v>734</v>
      </c>
      <c r="G48" s="89" t="s">
        <v>122</v>
      </c>
      <c r="H48" s="146">
        <v>402</v>
      </c>
      <c r="I48" s="108">
        <v>428</v>
      </c>
      <c r="J48" s="141">
        <f>154792456</f>
        <v>154792456</v>
      </c>
      <c r="K48" s="108">
        <v>703</v>
      </c>
      <c r="L48" s="89">
        <v>154792456</v>
      </c>
      <c r="M48" s="142">
        <v>256</v>
      </c>
      <c r="N48" s="144"/>
      <c r="O48" s="99"/>
      <c r="P48" s="99"/>
      <c r="Q48" s="99"/>
      <c r="R48" s="99"/>
      <c r="S48" s="99"/>
      <c r="T48" s="99"/>
      <c r="U48" s="108"/>
      <c r="V48" s="108">
        <f>25279509+51081013</f>
        <v>76360522</v>
      </c>
      <c r="W48" s="108">
        <f>27292921+5824810</f>
        <v>33117731</v>
      </c>
      <c r="X48" s="99"/>
      <c r="Y48" s="157">
        <f>22095336</f>
        <v>22095336</v>
      </c>
      <c r="Z48" s="150">
        <f t="shared" ref="Z48:Z50" si="23">SUM(N48:Y48)</f>
        <v>131573589</v>
      </c>
      <c r="AA48" s="525">
        <f t="shared" ref="AA48:AA50" si="24">L48-Z48</f>
        <v>23218867</v>
      </c>
      <c r="AC48" s="84" t="s">
        <v>625</v>
      </c>
      <c r="AD48" s="88">
        <v>328</v>
      </c>
      <c r="AE48" s="110">
        <v>232188683</v>
      </c>
      <c r="AF48" s="117">
        <v>42877</v>
      </c>
      <c r="AG48" s="109">
        <f>K48</f>
        <v>703</v>
      </c>
      <c r="AH48" s="110">
        <f>L48</f>
        <v>154792456</v>
      </c>
      <c r="AI48" s="121">
        <v>42964</v>
      </c>
      <c r="AJ48" s="88" t="s">
        <v>646</v>
      </c>
      <c r="AK48" s="111">
        <f>M48</f>
        <v>256</v>
      </c>
      <c r="AL48" s="110">
        <v>900921092</v>
      </c>
      <c r="AM48" s="106">
        <f>AE48-AH48</f>
        <v>77396227</v>
      </c>
    </row>
    <row r="49" spans="1:39" s="116" customFormat="1" ht="81" customHeight="1">
      <c r="A49" s="527" t="s">
        <v>751</v>
      </c>
      <c r="B49" s="108">
        <f>+J49</f>
        <v>1094691190</v>
      </c>
      <c r="C49" s="108" t="s">
        <v>611</v>
      </c>
      <c r="D49" s="108" t="s">
        <v>120</v>
      </c>
      <c r="E49" s="89" t="s">
        <v>121</v>
      </c>
      <c r="F49" s="108" t="s">
        <v>734</v>
      </c>
      <c r="G49" s="89" t="s">
        <v>122</v>
      </c>
      <c r="H49" s="146" t="s">
        <v>947</v>
      </c>
      <c r="I49" s="108">
        <v>506</v>
      </c>
      <c r="J49" s="141">
        <f>1155038109-60346919</f>
        <v>1094691190</v>
      </c>
      <c r="K49" s="108">
        <v>1222</v>
      </c>
      <c r="L49" s="89">
        <f>1094691190</f>
        <v>1094691190</v>
      </c>
      <c r="M49" s="142">
        <v>411</v>
      </c>
      <c r="N49" s="144"/>
      <c r="O49" s="99"/>
      <c r="P49" s="99"/>
      <c r="Q49" s="99"/>
      <c r="R49" s="99"/>
      <c r="S49" s="99"/>
      <c r="T49" s="99"/>
      <c r="U49" s="99"/>
      <c r="V49" s="99"/>
      <c r="W49" s="99"/>
      <c r="X49" s="99"/>
      <c r="Y49" s="143"/>
      <c r="Z49" s="150">
        <f t="shared" si="23"/>
        <v>0</v>
      </c>
      <c r="AA49" s="525">
        <f t="shared" si="24"/>
        <v>1094691190</v>
      </c>
      <c r="AC49" s="84" t="s">
        <v>1142</v>
      </c>
      <c r="AD49" s="89">
        <f>+I49</f>
        <v>506</v>
      </c>
      <c r="AE49" s="110">
        <f>+J49</f>
        <v>1094691190</v>
      </c>
      <c r="AF49" s="117"/>
      <c r="AG49" s="109">
        <f>+K49</f>
        <v>1222</v>
      </c>
      <c r="AH49" s="109">
        <f>+L49</f>
        <v>1094691190</v>
      </c>
      <c r="AI49" s="121">
        <v>43097</v>
      </c>
      <c r="AJ49" s="88" t="s">
        <v>1143</v>
      </c>
      <c r="AK49" s="111"/>
      <c r="AL49" s="110"/>
      <c r="AM49" s="106"/>
    </row>
    <row r="50" spans="1:39" s="116" customFormat="1" ht="94.5" customHeight="1">
      <c r="A50" s="527" t="s">
        <v>751</v>
      </c>
      <c r="B50" s="108">
        <f>+J50</f>
        <v>144946583</v>
      </c>
      <c r="C50" s="108" t="s">
        <v>611</v>
      </c>
      <c r="D50" s="108" t="s">
        <v>120</v>
      </c>
      <c r="E50" s="89" t="s">
        <v>121</v>
      </c>
      <c r="F50" s="108" t="s">
        <v>734</v>
      </c>
      <c r="G50" s="89" t="s">
        <v>122</v>
      </c>
      <c r="H50" s="146">
        <v>510</v>
      </c>
      <c r="I50" s="108">
        <v>553</v>
      </c>
      <c r="J50" s="141">
        <f>144955633-9050</f>
        <v>144946583</v>
      </c>
      <c r="K50" s="108">
        <v>1214</v>
      </c>
      <c r="L50" s="89">
        <f>144946583</f>
        <v>144946583</v>
      </c>
      <c r="M50" s="142">
        <v>416</v>
      </c>
      <c r="N50" s="144"/>
      <c r="O50" s="99"/>
      <c r="P50" s="99"/>
      <c r="Q50" s="99"/>
      <c r="R50" s="99"/>
      <c r="S50" s="99"/>
      <c r="T50" s="99"/>
      <c r="U50" s="99"/>
      <c r="V50" s="99"/>
      <c r="W50" s="99"/>
      <c r="X50" s="99"/>
      <c r="Y50" s="143"/>
      <c r="Z50" s="150">
        <f t="shared" si="23"/>
        <v>0</v>
      </c>
      <c r="AA50" s="525">
        <f t="shared" si="24"/>
        <v>144946583</v>
      </c>
      <c r="AC50" s="84" t="s">
        <v>823</v>
      </c>
      <c r="AD50" s="89">
        <f>+I50</f>
        <v>553</v>
      </c>
      <c r="AE50" s="89">
        <f>+J50</f>
        <v>144946583</v>
      </c>
      <c r="AF50" s="117"/>
      <c r="AG50" s="109">
        <f>K50</f>
        <v>1214</v>
      </c>
      <c r="AH50" s="109">
        <f>+L50</f>
        <v>144946583</v>
      </c>
      <c r="AI50" s="121">
        <v>43097</v>
      </c>
      <c r="AJ50" s="88" t="s">
        <v>1144</v>
      </c>
      <c r="AK50" s="111">
        <f>+M50</f>
        <v>416</v>
      </c>
      <c r="AL50" s="110"/>
      <c r="AM50" s="106"/>
    </row>
    <row r="51" spans="1:39" s="116" customFormat="1" ht="20.25" customHeight="1">
      <c r="A51" s="255" t="s">
        <v>132</v>
      </c>
      <c r="B51" s="99">
        <f>B46-B47-B48-B49-B50</f>
        <v>60362227</v>
      </c>
      <c r="C51" s="99"/>
      <c r="D51" s="99"/>
      <c r="E51" s="99"/>
      <c r="F51" s="99"/>
      <c r="G51" s="164"/>
      <c r="H51" s="144"/>
      <c r="I51" s="99"/>
      <c r="J51" s="135">
        <f>SUM(J46:J50)</f>
        <v>3526860579</v>
      </c>
      <c r="K51" s="99"/>
      <c r="L51" s="54">
        <f>SUM(L46:L50)</f>
        <v>3526860579</v>
      </c>
      <c r="M51" s="136"/>
      <c r="N51" s="144">
        <f>SUM(N47:N50)</f>
        <v>0</v>
      </c>
      <c r="O51" s="144">
        <f t="shared" ref="O51:V51" si="25">SUM(O47:O50)</f>
        <v>0</v>
      </c>
      <c r="P51" s="144">
        <f t="shared" si="25"/>
        <v>0</v>
      </c>
      <c r="Q51" s="144">
        <f t="shared" si="25"/>
        <v>0</v>
      </c>
      <c r="R51" s="144">
        <f t="shared" si="25"/>
        <v>0</v>
      </c>
      <c r="S51" s="144">
        <f t="shared" si="25"/>
        <v>0</v>
      </c>
      <c r="T51" s="144">
        <f t="shared" si="25"/>
        <v>0</v>
      </c>
      <c r="U51" s="144">
        <f t="shared" si="25"/>
        <v>535148722</v>
      </c>
      <c r="V51" s="144">
        <f t="shared" si="25"/>
        <v>895712808</v>
      </c>
      <c r="W51" s="144">
        <f>SUM(W47:W50)</f>
        <v>568391402</v>
      </c>
      <c r="X51" s="144">
        <f>SUM(X47:X50)</f>
        <v>0</v>
      </c>
      <c r="Y51" s="144">
        <f>SUM(Y47:Y50)</f>
        <v>264751007</v>
      </c>
      <c r="Z51" s="144">
        <f t="shared" ref="Z51" si="26">SUM(Z47:Z50)</f>
        <v>2264003939</v>
      </c>
      <c r="AA51" s="524">
        <f>SUM(AA47:AA50)</f>
        <v>1262856640</v>
      </c>
      <c r="AC51" s="100"/>
      <c r="AD51" s="44"/>
      <c r="AE51" s="99">
        <f>SUM(AE46:AE49)</f>
        <v>3574592196</v>
      </c>
      <c r="AF51" s="118"/>
      <c r="AG51" s="109"/>
      <c r="AH51" s="99">
        <f>SUM(AH46:AH47)</f>
        <v>2132430350</v>
      </c>
      <c r="AI51" s="54"/>
      <c r="AJ51" s="54"/>
      <c r="AK51" s="101"/>
      <c r="AL51" s="99"/>
      <c r="AM51" s="99">
        <f>SUM(AM46:AM47)</f>
        <v>115281973</v>
      </c>
    </row>
    <row r="52" spans="1:39" s="116" customFormat="1" ht="63.75">
      <c r="A52" s="255" t="s">
        <v>750</v>
      </c>
      <c r="B52" s="99">
        <f>933912013</f>
        <v>933912013</v>
      </c>
      <c r="C52" s="108" t="s">
        <v>611</v>
      </c>
      <c r="D52" s="108" t="s">
        <v>120</v>
      </c>
      <c r="E52" s="89" t="s">
        <v>121</v>
      </c>
      <c r="F52" s="108" t="s">
        <v>734</v>
      </c>
      <c r="G52" s="89" t="s">
        <v>122</v>
      </c>
      <c r="H52" s="146"/>
      <c r="I52" s="108"/>
      <c r="J52" s="141"/>
      <c r="K52" s="108"/>
      <c r="L52" s="89"/>
      <c r="M52" s="145"/>
      <c r="N52" s="146"/>
      <c r="O52" s="146"/>
      <c r="P52" s="146"/>
      <c r="Q52" s="146"/>
      <c r="R52" s="146"/>
      <c r="S52" s="146"/>
      <c r="T52" s="146"/>
      <c r="U52" s="146"/>
      <c r="V52" s="146"/>
      <c r="W52" s="146"/>
      <c r="X52" s="146"/>
      <c r="Y52" s="151"/>
      <c r="Z52" s="150">
        <f t="shared" ref="Z52:Z54" si="27">SUM(N52:Y52)</f>
        <v>0</v>
      </c>
      <c r="AA52" s="525">
        <f t="shared" ref="AA52" si="28">L52-Z52</f>
        <v>0</v>
      </c>
      <c r="AC52" s="84"/>
      <c r="AD52" s="88"/>
      <c r="AE52" s="108"/>
      <c r="AF52" s="117"/>
      <c r="AG52" s="109"/>
      <c r="AH52" s="108"/>
      <c r="AI52" s="89"/>
      <c r="AJ52" s="89"/>
      <c r="AK52" s="111"/>
      <c r="AL52" s="108"/>
      <c r="AM52" s="108"/>
    </row>
    <row r="53" spans="1:39" s="116" customFormat="1" ht="76.5">
      <c r="A53" s="527" t="s">
        <v>743</v>
      </c>
      <c r="B53" s="108">
        <f>J53</f>
        <v>829753945</v>
      </c>
      <c r="C53" s="108" t="s">
        <v>611</v>
      </c>
      <c r="D53" s="108" t="s">
        <v>120</v>
      </c>
      <c r="E53" s="89" t="s">
        <v>121</v>
      </c>
      <c r="F53" s="108" t="s">
        <v>734</v>
      </c>
      <c r="G53" s="89" t="s">
        <v>122</v>
      </c>
      <c r="H53" s="146" t="s">
        <v>947</v>
      </c>
      <c r="I53" s="108">
        <v>506</v>
      </c>
      <c r="J53" s="141">
        <f>829753945</f>
        <v>829753945</v>
      </c>
      <c r="K53" s="108">
        <v>1222</v>
      </c>
      <c r="L53" s="89">
        <f>829753945</f>
        <v>829753945</v>
      </c>
      <c r="M53" s="145">
        <v>411</v>
      </c>
      <c r="N53" s="146"/>
      <c r="O53" s="146"/>
      <c r="P53" s="146"/>
      <c r="Q53" s="146"/>
      <c r="R53" s="146"/>
      <c r="S53" s="146"/>
      <c r="T53" s="146"/>
      <c r="U53" s="146"/>
      <c r="V53" s="146"/>
      <c r="W53" s="146"/>
      <c r="X53" s="146"/>
      <c r="Y53" s="151"/>
      <c r="Z53" s="150">
        <f t="shared" si="27"/>
        <v>0</v>
      </c>
      <c r="AA53" s="525">
        <f>L53-Z53</f>
        <v>829753945</v>
      </c>
      <c r="AC53" s="84" t="s">
        <v>1142</v>
      </c>
      <c r="AD53" s="89">
        <f>+I53</f>
        <v>506</v>
      </c>
      <c r="AE53" s="110">
        <f>+J53</f>
        <v>829753945</v>
      </c>
      <c r="AF53" s="117"/>
      <c r="AG53" s="109">
        <f>+K53</f>
        <v>1222</v>
      </c>
      <c r="AH53" s="109">
        <f>+L53</f>
        <v>829753945</v>
      </c>
      <c r="AI53" s="89">
        <v>43097</v>
      </c>
      <c r="AJ53" s="89" t="s">
        <v>1143</v>
      </c>
      <c r="AK53" s="111"/>
      <c r="AL53" s="108"/>
      <c r="AM53" s="108"/>
    </row>
    <row r="54" spans="1:39" s="116" customFormat="1" ht="90.75" customHeight="1">
      <c r="A54" s="527" t="s">
        <v>743</v>
      </c>
      <c r="B54" s="108">
        <f t="shared" ref="B54:B55" si="29">J54</f>
        <v>104153417</v>
      </c>
      <c r="C54" s="108" t="s">
        <v>611</v>
      </c>
      <c r="D54" s="108" t="s">
        <v>120</v>
      </c>
      <c r="E54" s="89" t="s">
        <v>121</v>
      </c>
      <c r="F54" s="108" t="s">
        <v>734</v>
      </c>
      <c r="G54" s="89" t="s">
        <v>122</v>
      </c>
      <c r="H54" s="146">
        <v>510</v>
      </c>
      <c r="I54" s="108">
        <v>553</v>
      </c>
      <c r="J54" s="141">
        <f>104153417</f>
        <v>104153417</v>
      </c>
      <c r="K54" s="108">
        <v>1214</v>
      </c>
      <c r="L54" s="89">
        <f>104153417</f>
        <v>104153417</v>
      </c>
      <c r="M54" s="145">
        <v>416</v>
      </c>
      <c r="N54" s="146"/>
      <c r="O54" s="146"/>
      <c r="P54" s="146"/>
      <c r="Q54" s="146"/>
      <c r="R54" s="146"/>
      <c r="S54" s="146"/>
      <c r="T54" s="146"/>
      <c r="U54" s="146"/>
      <c r="V54" s="146"/>
      <c r="W54" s="146"/>
      <c r="X54" s="146"/>
      <c r="Y54" s="151"/>
      <c r="Z54" s="150">
        <f t="shared" si="27"/>
        <v>0</v>
      </c>
      <c r="AA54" s="525">
        <f t="shared" ref="AA54:AA55" si="30">L54-Z54</f>
        <v>104153417</v>
      </c>
      <c r="AC54" s="84" t="s">
        <v>824</v>
      </c>
      <c r="AD54" s="89">
        <f>+I54</f>
        <v>553</v>
      </c>
      <c r="AE54" s="89">
        <f>+J54</f>
        <v>104153417</v>
      </c>
      <c r="AF54" s="117"/>
      <c r="AG54" s="109">
        <f>K54</f>
        <v>1214</v>
      </c>
      <c r="AH54" s="109">
        <f>+L54</f>
        <v>104153417</v>
      </c>
      <c r="AI54" s="121">
        <v>43097</v>
      </c>
      <c r="AJ54" s="89" t="s">
        <v>1144</v>
      </c>
      <c r="AK54" s="111">
        <f>+M54</f>
        <v>416</v>
      </c>
      <c r="AL54" s="108"/>
      <c r="AM54" s="108"/>
    </row>
    <row r="55" spans="1:39" s="116" customFormat="1" ht="63.75">
      <c r="A55" s="527" t="s">
        <v>743</v>
      </c>
      <c r="B55" s="108">
        <f t="shared" si="29"/>
        <v>0</v>
      </c>
      <c r="C55" s="108" t="s">
        <v>611</v>
      </c>
      <c r="D55" s="108" t="s">
        <v>120</v>
      </c>
      <c r="E55" s="89" t="s">
        <v>121</v>
      </c>
      <c r="F55" s="108" t="s">
        <v>734</v>
      </c>
      <c r="G55" s="89" t="s">
        <v>122</v>
      </c>
      <c r="H55" s="146"/>
      <c r="I55" s="108"/>
      <c r="J55" s="141"/>
      <c r="K55" s="108"/>
      <c r="L55" s="89"/>
      <c r="M55" s="145"/>
      <c r="N55" s="146"/>
      <c r="O55" s="146"/>
      <c r="P55" s="146"/>
      <c r="Q55" s="146"/>
      <c r="R55" s="146"/>
      <c r="S55" s="146"/>
      <c r="T55" s="146"/>
      <c r="U55" s="146"/>
      <c r="V55" s="146"/>
      <c r="W55" s="146"/>
      <c r="X55" s="146"/>
      <c r="Y55" s="151"/>
      <c r="Z55" s="150">
        <f>SUM(N55:Y55)</f>
        <v>0</v>
      </c>
      <c r="AA55" s="525">
        <f t="shared" si="30"/>
        <v>0</v>
      </c>
      <c r="AC55" s="84"/>
      <c r="AD55" s="88"/>
      <c r="AE55" s="108"/>
      <c r="AF55" s="117"/>
      <c r="AG55" s="109"/>
      <c r="AH55" s="108"/>
      <c r="AI55" s="89"/>
      <c r="AJ55" s="89"/>
      <c r="AK55" s="111"/>
      <c r="AL55" s="108"/>
      <c r="AM55" s="108"/>
    </row>
    <row r="56" spans="1:39" s="116" customFormat="1">
      <c r="A56" s="255" t="s">
        <v>132</v>
      </c>
      <c r="B56" s="99">
        <f>B52-B53-B54-B55</f>
        <v>4651</v>
      </c>
      <c r="C56" s="108"/>
      <c r="D56" s="108"/>
      <c r="E56" s="108"/>
      <c r="F56" s="108"/>
      <c r="G56" s="191"/>
      <c r="H56" s="146"/>
      <c r="I56" s="108"/>
      <c r="J56" s="135">
        <f>SUM(J53:J55)</f>
        <v>933907362</v>
      </c>
      <c r="K56" s="108"/>
      <c r="L56" s="156">
        <f>SUM(L53:L55)</f>
        <v>933907362</v>
      </c>
      <c r="M56" s="145"/>
      <c r="N56" s="144">
        <f>SUM(N53:N55)</f>
        <v>0</v>
      </c>
      <c r="O56" s="144">
        <f t="shared" ref="O56:U56" si="31">SUM(O53:O55)</f>
        <v>0</v>
      </c>
      <c r="P56" s="144">
        <f t="shared" si="31"/>
        <v>0</v>
      </c>
      <c r="Q56" s="144">
        <f t="shared" si="31"/>
        <v>0</v>
      </c>
      <c r="R56" s="144">
        <f t="shared" si="31"/>
        <v>0</v>
      </c>
      <c r="S56" s="144">
        <f t="shared" si="31"/>
        <v>0</v>
      </c>
      <c r="T56" s="144">
        <f t="shared" si="31"/>
        <v>0</v>
      </c>
      <c r="U56" s="144">
        <f t="shared" si="31"/>
        <v>0</v>
      </c>
      <c r="V56" s="144">
        <f t="shared" ref="V56:AA56" si="32">SUM(V53:V55)</f>
        <v>0</v>
      </c>
      <c r="W56" s="144">
        <f t="shared" si="32"/>
        <v>0</v>
      </c>
      <c r="X56" s="144">
        <f t="shared" si="32"/>
        <v>0</v>
      </c>
      <c r="Y56" s="54">
        <f t="shared" si="32"/>
        <v>0</v>
      </c>
      <c r="Z56" s="54">
        <f t="shared" si="32"/>
        <v>0</v>
      </c>
      <c r="AA56" s="528">
        <f t="shared" si="32"/>
        <v>933907362</v>
      </c>
      <c r="AC56" s="84"/>
      <c r="AD56" s="88"/>
      <c r="AE56" s="108"/>
      <c r="AF56" s="117"/>
      <c r="AG56" s="109"/>
      <c r="AH56" s="108"/>
      <c r="AI56" s="89"/>
      <c r="AJ56" s="89"/>
      <c r="AK56" s="111"/>
      <c r="AL56" s="108"/>
      <c r="AM56" s="108"/>
    </row>
    <row r="57" spans="1:39" s="116" customFormat="1" ht="63.75">
      <c r="A57" s="255" t="s">
        <v>744</v>
      </c>
      <c r="B57" s="99">
        <f>35750548+130000000</f>
        <v>165750548</v>
      </c>
      <c r="C57" s="108" t="s">
        <v>611</v>
      </c>
      <c r="D57" s="108" t="s">
        <v>120</v>
      </c>
      <c r="E57" s="89" t="s">
        <v>121</v>
      </c>
      <c r="F57" s="108" t="s">
        <v>734</v>
      </c>
      <c r="G57" s="89" t="s">
        <v>122</v>
      </c>
      <c r="H57" s="146"/>
      <c r="I57" s="108"/>
      <c r="J57" s="141"/>
      <c r="K57" s="108"/>
      <c r="L57" s="89"/>
      <c r="M57" s="145"/>
      <c r="N57" s="146"/>
      <c r="O57" s="146"/>
      <c r="P57" s="146"/>
      <c r="Q57" s="146"/>
      <c r="R57" s="146"/>
      <c r="S57" s="146"/>
      <c r="T57" s="146"/>
      <c r="U57" s="146"/>
      <c r="V57" s="146"/>
      <c r="W57" s="146"/>
      <c r="X57" s="146"/>
      <c r="Y57" s="153"/>
      <c r="Z57" s="152"/>
      <c r="AA57" s="525"/>
      <c r="AC57" s="84"/>
      <c r="AD57" s="88"/>
      <c r="AE57" s="108"/>
      <c r="AF57" s="117"/>
      <c r="AG57" s="109"/>
      <c r="AH57" s="108"/>
      <c r="AI57" s="89"/>
      <c r="AJ57" s="89"/>
      <c r="AK57" s="111"/>
      <c r="AL57" s="108"/>
      <c r="AM57" s="108"/>
    </row>
    <row r="58" spans="1:39" s="116" customFormat="1" ht="79.5" customHeight="1">
      <c r="A58" s="527" t="s">
        <v>744</v>
      </c>
      <c r="B58" s="108">
        <f>+J58</f>
        <v>93008129</v>
      </c>
      <c r="C58" s="108" t="s">
        <v>611</v>
      </c>
      <c r="D58" s="108" t="s">
        <v>120</v>
      </c>
      <c r="E58" s="89" t="s">
        <v>121</v>
      </c>
      <c r="F58" s="108" t="s">
        <v>734</v>
      </c>
      <c r="G58" s="89" t="s">
        <v>122</v>
      </c>
      <c r="H58" s="146"/>
      <c r="I58" s="108">
        <v>461</v>
      </c>
      <c r="J58" s="141">
        <f>93008129</f>
        <v>93008129</v>
      </c>
      <c r="K58" s="108">
        <v>777</v>
      </c>
      <c r="L58" s="89">
        <f>93008129</f>
        <v>93008129</v>
      </c>
      <c r="M58" s="145">
        <v>342</v>
      </c>
      <c r="N58" s="146"/>
      <c r="O58" s="146"/>
      <c r="P58" s="146"/>
      <c r="Q58" s="146"/>
      <c r="R58" s="146"/>
      <c r="S58" s="146"/>
      <c r="T58" s="146"/>
      <c r="U58" s="146"/>
      <c r="V58" s="146"/>
      <c r="W58" s="146"/>
      <c r="X58" s="146"/>
      <c r="Y58" s="153">
        <f>93008129</f>
        <v>93008129</v>
      </c>
      <c r="Z58" s="152">
        <f>SUM(N58:Y58)</f>
        <v>93008129</v>
      </c>
      <c r="AA58" s="525">
        <f>L58-Z58</f>
        <v>0</v>
      </c>
      <c r="AC58" s="84" t="s">
        <v>788</v>
      </c>
      <c r="AD58" s="89">
        <f t="shared" ref="AD58:AE65" si="33">+I58</f>
        <v>461</v>
      </c>
      <c r="AE58" s="108">
        <f t="shared" si="33"/>
        <v>93008129</v>
      </c>
      <c r="AF58" s="117">
        <v>42989</v>
      </c>
      <c r="AG58" s="109">
        <f t="shared" ref="AG58:AG66" si="34">+K58</f>
        <v>777</v>
      </c>
      <c r="AH58" s="110">
        <f t="shared" ref="AH58:AH66" si="35">+L58</f>
        <v>93008129</v>
      </c>
      <c r="AI58" s="121">
        <v>42990</v>
      </c>
      <c r="AJ58" s="88" t="s">
        <v>811</v>
      </c>
      <c r="AK58" s="111">
        <f>+M58</f>
        <v>342</v>
      </c>
      <c r="AL58" s="110"/>
      <c r="AM58" s="106"/>
    </row>
    <row r="59" spans="1:39" s="116" customFormat="1" ht="67.5" customHeight="1">
      <c r="A59" s="527" t="s">
        <v>744</v>
      </c>
      <c r="B59" s="108">
        <f t="shared" ref="B59:B60" si="36">+J59</f>
        <v>16874010</v>
      </c>
      <c r="C59" s="108" t="s">
        <v>611</v>
      </c>
      <c r="D59" s="108" t="s">
        <v>120</v>
      </c>
      <c r="E59" s="89" t="s">
        <v>121</v>
      </c>
      <c r="F59" s="108" t="s">
        <v>734</v>
      </c>
      <c r="G59" s="89" t="s">
        <v>122</v>
      </c>
      <c r="H59" s="146"/>
      <c r="I59" s="108">
        <v>462</v>
      </c>
      <c r="J59" s="141">
        <f>16874010</f>
        <v>16874010</v>
      </c>
      <c r="K59" s="108">
        <v>778</v>
      </c>
      <c r="L59" s="89">
        <f>16874010</f>
        <v>16874010</v>
      </c>
      <c r="M59" s="145">
        <v>332</v>
      </c>
      <c r="N59" s="146"/>
      <c r="O59" s="146"/>
      <c r="P59" s="146"/>
      <c r="Q59" s="146"/>
      <c r="R59" s="146"/>
      <c r="S59" s="146"/>
      <c r="T59" s="146"/>
      <c r="U59" s="146"/>
      <c r="V59" s="146"/>
      <c r="W59" s="146"/>
      <c r="X59" s="146"/>
      <c r="Y59" s="153">
        <f>8041742</f>
        <v>8041742</v>
      </c>
      <c r="Z59" s="152">
        <f t="shared" ref="Z59:Z65" si="37">SUM(N59:Y59)</f>
        <v>8041742</v>
      </c>
      <c r="AA59" s="525">
        <f t="shared" ref="AA59:AA65" si="38">L59-Z59</f>
        <v>8832268</v>
      </c>
      <c r="AC59" s="84" t="s">
        <v>789</v>
      </c>
      <c r="AD59" s="89">
        <f t="shared" si="33"/>
        <v>462</v>
      </c>
      <c r="AE59" s="108">
        <f t="shared" si="33"/>
        <v>16874010</v>
      </c>
      <c r="AF59" s="117">
        <v>42989</v>
      </c>
      <c r="AG59" s="109">
        <f t="shared" si="34"/>
        <v>778</v>
      </c>
      <c r="AH59" s="110">
        <f t="shared" si="35"/>
        <v>16874010</v>
      </c>
      <c r="AI59" s="121"/>
      <c r="AJ59" s="88"/>
      <c r="AK59" s="111">
        <f t="shared" ref="AK59:AK66" si="39">+M59</f>
        <v>332</v>
      </c>
      <c r="AL59" s="110"/>
      <c r="AM59" s="106"/>
    </row>
    <row r="60" spans="1:39" s="116" customFormat="1" ht="63.75">
      <c r="A60" s="527" t="s">
        <v>744</v>
      </c>
      <c r="B60" s="108">
        <f t="shared" si="36"/>
        <v>29833</v>
      </c>
      <c r="C60" s="108" t="s">
        <v>611</v>
      </c>
      <c r="D60" s="108" t="s">
        <v>120</v>
      </c>
      <c r="E60" s="89" t="s">
        <v>121</v>
      </c>
      <c r="F60" s="108" t="s">
        <v>734</v>
      </c>
      <c r="G60" s="89" t="s">
        <v>122</v>
      </c>
      <c r="H60" s="146"/>
      <c r="I60" s="108">
        <v>500</v>
      </c>
      <c r="J60" s="141">
        <f>29833</f>
        <v>29833</v>
      </c>
      <c r="K60" s="108">
        <v>833</v>
      </c>
      <c r="L60" s="89">
        <v>29833</v>
      </c>
      <c r="M60" s="145">
        <v>252</v>
      </c>
      <c r="N60" s="146"/>
      <c r="O60" s="146"/>
      <c r="P60" s="146"/>
      <c r="Q60" s="146"/>
      <c r="R60" s="146"/>
      <c r="S60" s="146"/>
      <c r="T60" s="146"/>
      <c r="U60" s="146"/>
      <c r="V60" s="146"/>
      <c r="W60" s="146"/>
      <c r="X60" s="146"/>
      <c r="Y60" s="153"/>
      <c r="Z60" s="152">
        <f t="shared" si="37"/>
        <v>0</v>
      </c>
      <c r="AA60" s="525">
        <f t="shared" si="38"/>
        <v>29833</v>
      </c>
      <c r="AC60" s="84" t="s">
        <v>842</v>
      </c>
      <c r="AD60" s="89">
        <f t="shared" si="33"/>
        <v>500</v>
      </c>
      <c r="AE60" s="108">
        <f t="shared" si="33"/>
        <v>29833</v>
      </c>
      <c r="AF60" s="117">
        <v>43004</v>
      </c>
      <c r="AG60" s="109">
        <f t="shared" si="34"/>
        <v>833</v>
      </c>
      <c r="AH60" s="110">
        <f t="shared" si="35"/>
        <v>29833</v>
      </c>
      <c r="AI60" s="121">
        <v>43011</v>
      </c>
      <c r="AJ60" s="88" t="s">
        <v>517</v>
      </c>
      <c r="AK60" s="111">
        <f t="shared" si="39"/>
        <v>252</v>
      </c>
      <c r="AL60" s="110"/>
      <c r="AM60" s="106"/>
    </row>
    <row r="61" spans="1:39" s="116" customFormat="1" ht="63.75">
      <c r="A61" s="527" t="s">
        <v>744</v>
      </c>
      <c r="B61" s="108">
        <f t="shared" ref="B61:B65" si="40">+J61</f>
        <v>22500000</v>
      </c>
      <c r="C61" s="108" t="s">
        <v>611</v>
      </c>
      <c r="D61" s="108" t="s">
        <v>120</v>
      </c>
      <c r="E61" s="89" t="s">
        <v>121</v>
      </c>
      <c r="F61" s="108" t="s">
        <v>734</v>
      </c>
      <c r="G61" s="89" t="s">
        <v>122</v>
      </c>
      <c r="H61" s="146">
        <v>518</v>
      </c>
      <c r="I61" s="108">
        <v>533</v>
      </c>
      <c r="J61" s="141">
        <v>22500000</v>
      </c>
      <c r="K61" s="108">
        <v>896</v>
      </c>
      <c r="L61" s="89">
        <f>22500000</f>
        <v>22500000</v>
      </c>
      <c r="M61" s="145">
        <f>348</f>
        <v>348</v>
      </c>
      <c r="N61" s="146"/>
      <c r="O61" s="146"/>
      <c r="P61" s="146"/>
      <c r="Q61" s="146"/>
      <c r="R61" s="146"/>
      <c r="S61" s="146"/>
      <c r="T61" s="146"/>
      <c r="U61" s="146"/>
      <c r="V61" s="146"/>
      <c r="W61" s="146"/>
      <c r="X61" s="146"/>
      <c r="Y61" s="153">
        <f>9000000+10200000</f>
        <v>19200000</v>
      </c>
      <c r="Z61" s="152">
        <f t="shared" si="37"/>
        <v>19200000</v>
      </c>
      <c r="AA61" s="525">
        <f t="shared" si="38"/>
        <v>3300000</v>
      </c>
      <c r="AC61" s="84" t="s">
        <v>825</v>
      </c>
      <c r="AD61" s="89">
        <f t="shared" si="33"/>
        <v>533</v>
      </c>
      <c r="AE61" s="108">
        <f t="shared" si="33"/>
        <v>22500000</v>
      </c>
      <c r="AF61" s="117">
        <v>43020</v>
      </c>
      <c r="AG61" s="109">
        <f t="shared" si="34"/>
        <v>896</v>
      </c>
      <c r="AH61" s="110">
        <f t="shared" si="35"/>
        <v>22500000</v>
      </c>
      <c r="AI61" s="121"/>
      <c r="AJ61" s="88"/>
      <c r="AK61" s="111">
        <f t="shared" si="39"/>
        <v>348</v>
      </c>
      <c r="AL61" s="110"/>
      <c r="AM61" s="106"/>
    </row>
    <row r="62" spans="1:39" s="116" customFormat="1" ht="63.75">
      <c r="A62" s="527" t="s">
        <v>744</v>
      </c>
      <c r="B62" s="108">
        <f t="shared" ref="B62:B64" si="41">+J62</f>
        <v>250600</v>
      </c>
      <c r="C62" s="108" t="s">
        <v>611</v>
      </c>
      <c r="D62" s="108" t="s">
        <v>120</v>
      </c>
      <c r="E62" s="89" t="s">
        <v>121</v>
      </c>
      <c r="F62" s="108" t="s">
        <v>734</v>
      </c>
      <c r="G62" s="89" t="s">
        <v>122</v>
      </c>
      <c r="H62" s="146"/>
      <c r="I62" s="108">
        <v>593</v>
      </c>
      <c r="J62" s="141">
        <v>250600</v>
      </c>
      <c r="K62" s="108">
        <v>942</v>
      </c>
      <c r="L62" s="89">
        <f>250600</f>
        <v>250600</v>
      </c>
      <c r="M62" s="145">
        <v>5651</v>
      </c>
      <c r="N62" s="146"/>
      <c r="O62" s="146"/>
      <c r="P62" s="146"/>
      <c r="Q62" s="146"/>
      <c r="R62" s="146"/>
      <c r="S62" s="146"/>
      <c r="T62" s="146"/>
      <c r="U62" s="146"/>
      <c r="V62" s="146"/>
      <c r="W62" s="146"/>
      <c r="X62" s="146">
        <v>250600</v>
      </c>
      <c r="Y62" s="153"/>
      <c r="Z62" s="152">
        <f t="shared" si="37"/>
        <v>250600</v>
      </c>
      <c r="AA62" s="525">
        <f t="shared" si="38"/>
        <v>0</v>
      </c>
      <c r="AC62" s="84" t="s">
        <v>943</v>
      </c>
      <c r="AD62" s="89">
        <f t="shared" si="33"/>
        <v>593</v>
      </c>
      <c r="AE62" s="108">
        <f t="shared" si="33"/>
        <v>250600</v>
      </c>
      <c r="AF62" s="117">
        <v>43053</v>
      </c>
      <c r="AG62" s="109">
        <f t="shared" si="34"/>
        <v>942</v>
      </c>
      <c r="AH62" s="110">
        <f t="shared" si="35"/>
        <v>250600</v>
      </c>
      <c r="AI62" s="121">
        <v>43053</v>
      </c>
      <c r="AJ62" s="88" t="s">
        <v>594</v>
      </c>
      <c r="AK62" s="111">
        <f t="shared" ref="AK62:AK64" si="42">+M62</f>
        <v>5651</v>
      </c>
      <c r="AL62" s="108"/>
      <c r="AM62" s="108"/>
    </row>
    <row r="63" spans="1:39" s="116" customFormat="1" ht="63.75">
      <c r="A63" s="527" t="s">
        <v>744</v>
      </c>
      <c r="B63" s="108">
        <f t="shared" si="41"/>
        <v>33000000</v>
      </c>
      <c r="C63" s="108" t="s">
        <v>611</v>
      </c>
      <c r="D63" s="108" t="s">
        <v>120</v>
      </c>
      <c r="E63" s="89" t="s">
        <v>121</v>
      </c>
      <c r="F63" s="108" t="s">
        <v>734</v>
      </c>
      <c r="G63" s="89" t="s">
        <v>122</v>
      </c>
      <c r="H63" s="146">
        <v>519</v>
      </c>
      <c r="I63" s="108">
        <v>661</v>
      </c>
      <c r="J63" s="141">
        <f>33000000</f>
        <v>33000000</v>
      </c>
      <c r="K63" s="108">
        <v>1108</v>
      </c>
      <c r="L63" s="89">
        <f>33000000</f>
        <v>33000000</v>
      </c>
      <c r="M63" s="145">
        <v>395</v>
      </c>
      <c r="N63" s="146"/>
      <c r="O63" s="146"/>
      <c r="P63" s="146"/>
      <c r="Q63" s="146"/>
      <c r="R63" s="146"/>
      <c r="S63" s="146"/>
      <c r="T63" s="146"/>
      <c r="U63" s="146"/>
      <c r="V63" s="146"/>
      <c r="W63" s="146"/>
      <c r="X63" s="146"/>
      <c r="Y63" s="153"/>
      <c r="Z63" s="152">
        <f t="shared" si="37"/>
        <v>0</v>
      </c>
      <c r="AA63" s="525">
        <f t="shared" si="38"/>
        <v>33000000</v>
      </c>
      <c r="AC63" s="84" t="s">
        <v>942</v>
      </c>
      <c r="AD63" s="89">
        <f t="shared" si="33"/>
        <v>661</v>
      </c>
      <c r="AE63" s="108">
        <f t="shared" si="33"/>
        <v>33000000</v>
      </c>
      <c r="AF63" s="117">
        <v>43063</v>
      </c>
      <c r="AG63" s="109">
        <f t="shared" si="34"/>
        <v>1108</v>
      </c>
      <c r="AH63" s="110">
        <f t="shared" si="35"/>
        <v>33000000</v>
      </c>
      <c r="AI63" s="121">
        <v>43087</v>
      </c>
      <c r="AJ63" s="88" t="s">
        <v>1145</v>
      </c>
      <c r="AK63" s="111">
        <f t="shared" si="42"/>
        <v>395</v>
      </c>
      <c r="AL63" s="108"/>
      <c r="AM63" s="108"/>
    </row>
    <row r="64" spans="1:39" s="116" customFormat="1" ht="76.5">
      <c r="A64" s="527" t="s">
        <v>744</v>
      </c>
      <c r="B64" s="108">
        <f t="shared" si="41"/>
        <v>87976</v>
      </c>
      <c r="C64" s="108" t="s">
        <v>611</v>
      </c>
      <c r="D64" s="108" t="s">
        <v>120</v>
      </c>
      <c r="E64" s="89" t="s">
        <v>121</v>
      </c>
      <c r="F64" s="108" t="s">
        <v>734</v>
      </c>
      <c r="G64" s="89" t="s">
        <v>122</v>
      </c>
      <c r="H64" s="146"/>
      <c r="I64" s="108">
        <v>807</v>
      </c>
      <c r="J64" s="141">
        <f>87976</f>
        <v>87976</v>
      </c>
      <c r="K64" s="108">
        <v>1125</v>
      </c>
      <c r="L64" s="89">
        <f>87976</f>
        <v>87976</v>
      </c>
      <c r="M64" s="142">
        <v>6845</v>
      </c>
      <c r="N64" s="146"/>
      <c r="O64" s="146"/>
      <c r="P64" s="146"/>
      <c r="Q64" s="146"/>
      <c r="R64" s="146"/>
      <c r="S64" s="146"/>
      <c r="T64" s="146"/>
      <c r="U64" s="146"/>
      <c r="V64" s="146"/>
      <c r="W64" s="146"/>
      <c r="X64" s="146"/>
      <c r="Y64" s="153">
        <f>87976</f>
        <v>87976</v>
      </c>
      <c r="Z64" s="152">
        <f t="shared" si="37"/>
        <v>87976</v>
      </c>
      <c r="AA64" s="525">
        <f t="shared" si="38"/>
        <v>0</v>
      </c>
      <c r="AC64" s="84" t="s">
        <v>1038</v>
      </c>
      <c r="AD64" s="89">
        <f t="shared" si="33"/>
        <v>807</v>
      </c>
      <c r="AE64" s="108">
        <f t="shared" si="33"/>
        <v>87976</v>
      </c>
      <c r="AF64" s="117"/>
      <c r="AG64" s="109">
        <f t="shared" si="34"/>
        <v>1125</v>
      </c>
      <c r="AH64" s="110">
        <f t="shared" si="35"/>
        <v>87976</v>
      </c>
      <c r="AI64" s="121">
        <v>43089</v>
      </c>
      <c r="AJ64" s="89" t="s">
        <v>594</v>
      </c>
      <c r="AK64" s="111">
        <f t="shared" si="42"/>
        <v>6845</v>
      </c>
      <c r="AL64" s="108"/>
      <c r="AM64" s="108"/>
    </row>
    <row r="65" spans="1:39" s="116" customFormat="1" ht="63.75">
      <c r="A65" s="527" t="s">
        <v>744</v>
      </c>
      <c r="B65" s="108">
        <f t="shared" si="40"/>
        <v>0</v>
      </c>
      <c r="C65" s="108" t="s">
        <v>611</v>
      </c>
      <c r="D65" s="108" t="s">
        <v>120</v>
      </c>
      <c r="E65" s="89" t="s">
        <v>121</v>
      </c>
      <c r="F65" s="108" t="s">
        <v>734</v>
      </c>
      <c r="G65" s="89" t="s">
        <v>122</v>
      </c>
      <c r="H65" s="146"/>
      <c r="I65" s="108"/>
      <c r="J65" s="141"/>
      <c r="K65" s="108"/>
      <c r="L65" s="89"/>
      <c r="M65" s="145"/>
      <c r="N65" s="146"/>
      <c r="O65" s="146"/>
      <c r="P65" s="146"/>
      <c r="Q65" s="146"/>
      <c r="R65" s="146"/>
      <c r="S65" s="146"/>
      <c r="T65" s="146"/>
      <c r="U65" s="146"/>
      <c r="V65" s="146"/>
      <c r="W65" s="146"/>
      <c r="X65" s="146"/>
      <c r="Y65" s="153"/>
      <c r="Z65" s="152">
        <f t="shared" si="37"/>
        <v>0</v>
      </c>
      <c r="AA65" s="525">
        <f t="shared" si="38"/>
        <v>0</v>
      </c>
      <c r="AC65" s="84"/>
      <c r="AD65" s="89">
        <f t="shared" si="33"/>
        <v>0</v>
      </c>
      <c r="AE65" s="108">
        <f t="shared" si="33"/>
        <v>0</v>
      </c>
      <c r="AF65" s="117"/>
      <c r="AG65" s="109">
        <f t="shared" si="34"/>
        <v>0</v>
      </c>
      <c r="AH65" s="110">
        <f t="shared" si="35"/>
        <v>0</v>
      </c>
      <c r="AI65" s="121"/>
      <c r="AJ65" s="88"/>
      <c r="AK65" s="111">
        <f t="shared" si="39"/>
        <v>0</v>
      </c>
      <c r="AL65" s="108"/>
      <c r="AM65" s="108"/>
    </row>
    <row r="66" spans="1:39" s="116" customFormat="1" ht="15" customHeight="1">
      <c r="A66" s="255" t="s">
        <v>132</v>
      </c>
      <c r="B66" s="99">
        <f>B57-B58-B59-B60-B61-B62-B63-B64-B65</f>
        <v>0</v>
      </c>
      <c r="C66" s="108"/>
      <c r="D66" s="108"/>
      <c r="E66" s="108"/>
      <c r="F66" s="108"/>
      <c r="G66" s="191"/>
      <c r="H66" s="146"/>
      <c r="I66" s="108"/>
      <c r="J66" s="135">
        <f>SUM(J58:J65)</f>
        <v>165750548</v>
      </c>
      <c r="K66" s="108"/>
      <c r="L66" s="54">
        <f>SUM(L58:L65)</f>
        <v>165750548</v>
      </c>
      <c r="M66" s="145"/>
      <c r="N66" s="146"/>
      <c r="O66" s="146"/>
      <c r="P66" s="146"/>
      <c r="Q66" s="146"/>
      <c r="R66" s="146"/>
      <c r="S66" s="146"/>
      <c r="T66" s="146"/>
      <c r="U66" s="146"/>
      <c r="V66" s="54">
        <f>SUM(V58:V65)</f>
        <v>0</v>
      </c>
      <c r="W66" s="54">
        <f>SUM(W58:W65)</f>
        <v>0</v>
      </c>
      <c r="X66" s="54">
        <f>SUM(X58:X65)</f>
        <v>250600</v>
      </c>
      <c r="Y66" s="54">
        <f>SUM(Y58:Y65)</f>
        <v>120337847</v>
      </c>
      <c r="Z66" s="54">
        <f t="shared" ref="Z66" si="43">SUM(Z58:Z65)</f>
        <v>120588447</v>
      </c>
      <c r="AA66" s="528">
        <f>SUM(AA58:AA65)</f>
        <v>45162101</v>
      </c>
      <c r="AC66" s="84"/>
      <c r="AD66" s="89"/>
      <c r="AE66" s="99">
        <f>SUM(AE58:AE65)</f>
        <v>165750548</v>
      </c>
      <c r="AF66" s="117"/>
      <c r="AG66" s="107">
        <f t="shared" si="34"/>
        <v>0</v>
      </c>
      <c r="AH66" s="106">
        <f t="shared" si="35"/>
        <v>165750548</v>
      </c>
      <c r="AI66" s="120"/>
      <c r="AJ66" s="44"/>
      <c r="AK66" s="101">
        <f t="shared" si="39"/>
        <v>0</v>
      </c>
      <c r="AL66" s="99"/>
      <c r="AM66" s="99"/>
    </row>
    <row r="67" spans="1:39" s="112" customFormat="1" ht="63.75">
      <c r="A67" s="521" t="s">
        <v>179</v>
      </c>
      <c r="B67" s="55">
        <f>377751000-32070167-125293665</f>
        <v>220387168</v>
      </c>
      <c r="C67" s="89" t="s">
        <v>154</v>
      </c>
      <c r="D67" s="108" t="s">
        <v>120</v>
      </c>
      <c r="E67" s="89" t="s">
        <v>121</v>
      </c>
      <c r="F67" s="108" t="s">
        <v>734</v>
      </c>
      <c r="G67" s="89" t="s">
        <v>122</v>
      </c>
      <c r="H67" s="65"/>
      <c r="I67" s="134"/>
      <c r="J67" s="135"/>
      <c r="K67" s="99"/>
      <c r="L67" s="54"/>
      <c r="M67" s="154"/>
      <c r="N67" s="137"/>
      <c r="O67" s="54"/>
      <c r="P67" s="54"/>
      <c r="Q67" s="54"/>
      <c r="R67" s="54"/>
      <c r="S67" s="54"/>
      <c r="T67" s="54"/>
      <c r="U67" s="54"/>
      <c r="V67" s="511"/>
      <c r="W67" s="54"/>
      <c r="X67" s="54"/>
      <c r="Y67" s="136"/>
      <c r="Z67" s="138">
        <f>SUM(N67:Y67)</f>
        <v>0</v>
      </c>
      <c r="AA67" s="520">
        <f>L67-Z67</f>
        <v>0</v>
      </c>
      <c r="AC67" s="83"/>
      <c r="AD67" s="88">
        <f t="shared" ref="AD67:AE71" si="44">I67</f>
        <v>0</v>
      </c>
      <c r="AE67" s="111">
        <f t="shared" si="44"/>
        <v>0</v>
      </c>
      <c r="AF67" s="117"/>
      <c r="AG67" s="109">
        <f t="shared" ref="AG67:AH71" si="45">K67</f>
        <v>0</v>
      </c>
      <c r="AH67" s="111">
        <f t="shared" si="45"/>
        <v>0</v>
      </c>
      <c r="AI67" s="88"/>
      <c r="AJ67" s="88"/>
      <c r="AK67" s="111">
        <f>M67</f>
        <v>0</v>
      </c>
      <c r="AL67" s="111"/>
      <c r="AM67" s="101">
        <f>AE67-AH67</f>
        <v>0</v>
      </c>
    </row>
    <row r="68" spans="1:39" s="112" customFormat="1" ht="79.5" customHeight="1">
      <c r="A68" s="522" t="s">
        <v>179</v>
      </c>
      <c r="B68" s="92">
        <f>J68</f>
        <v>17545923</v>
      </c>
      <c r="C68" s="89" t="s">
        <v>154</v>
      </c>
      <c r="D68" s="108" t="s">
        <v>120</v>
      </c>
      <c r="E68" s="89" t="s">
        <v>121</v>
      </c>
      <c r="F68" s="108" t="s">
        <v>734</v>
      </c>
      <c r="G68" s="89" t="s">
        <v>122</v>
      </c>
      <c r="H68" s="64">
        <v>342</v>
      </c>
      <c r="I68" s="140">
        <v>385</v>
      </c>
      <c r="J68" s="141">
        <f>17762539-216616</f>
        <v>17545923</v>
      </c>
      <c r="K68" s="108" t="s">
        <v>812</v>
      </c>
      <c r="L68" s="108">
        <f>17545293+630</f>
        <v>17545923</v>
      </c>
      <c r="M68" s="142">
        <v>270</v>
      </c>
      <c r="N68" s="137"/>
      <c r="O68" s="54"/>
      <c r="P68" s="54"/>
      <c r="Q68" s="54"/>
      <c r="R68" s="54"/>
      <c r="S68" s="54"/>
      <c r="T68" s="54"/>
      <c r="U68" s="54"/>
      <c r="V68" s="89">
        <f>1299698+3249245</f>
        <v>4548943</v>
      </c>
      <c r="W68" s="89">
        <f>3249245</f>
        <v>3249245</v>
      </c>
      <c r="X68" s="89">
        <v>3249245</v>
      </c>
      <c r="Y68" s="142">
        <f>3249245+3248615+630</f>
        <v>6498490</v>
      </c>
      <c r="Z68" s="138">
        <f t="shared" ref="Z68:Z71" si="46">SUM(N68:Y68)</f>
        <v>17545923</v>
      </c>
      <c r="AA68" s="520">
        <f t="shared" ref="AA68:AA71" si="47">L68-Z68</f>
        <v>0</v>
      </c>
      <c r="AC68" s="83" t="s">
        <v>687</v>
      </c>
      <c r="AD68" s="88">
        <f t="shared" si="44"/>
        <v>385</v>
      </c>
      <c r="AE68" s="111">
        <f t="shared" si="44"/>
        <v>17545923</v>
      </c>
      <c r="AF68" s="117">
        <v>42929</v>
      </c>
      <c r="AG68" s="109" t="str">
        <f t="shared" si="45"/>
        <v>632 - 750</v>
      </c>
      <c r="AH68" s="111">
        <f t="shared" si="45"/>
        <v>17545923</v>
      </c>
      <c r="AI68" s="369">
        <v>42935</v>
      </c>
      <c r="AJ68" s="130" t="s">
        <v>688</v>
      </c>
      <c r="AK68" s="111">
        <f>M68</f>
        <v>270</v>
      </c>
      <c r="AL68" s="111"/>
      <c r="AM68" s="101">
        <f>AE68-AH68</f>
        <v>0</v>
      </c>
    </row>
    <row r="69" spans="1:39" s="112" customFormat="1" ht="72" customHeight="1">
      <c r="A69" s="522" t="s">
        <v>179</v>
      </c>
      <c r="B69" s="92">
        <f>J69</f>
        <v>115281973</v>
      </c>
      <c r="C69" s="89" t="s">
        <v>154</v>
      </c>
      <c r="D69" s="108" t="s">
        <v>120</v>
      </c>
      <c r="E69" s="89" t="s">
        <v>121</v>
      </c>
      <c r="F69" s="108" t="s">
        <v>734</v>
      </c>
      <c r="G69" s="89" t="s">
        <v>122</v>
      </c>
      <c r="H69" s="64">
        <v>401</v>
      </c>
      <c r="I69" s="140">
        <v>427</v>
      </c>
      <c r="J69" s="141">
        <f>115281973</f>
        <v>115281973</v>
      </c>
      <c r="K69" s="108">
        <v>702</v>
      </c>
      <c r="L69" s="108">
        <v>115281973</v>
      </c>
      <c r="M69" s="142">
        <v>261</v>
      </c>
      <c r="N69" s="137"/>
      <c r="O69" s="54"/>
      <c r="P69" s="54"/>
      <c r="Q69" s="54"/>
      <c r="R69" s="54"/>
      <c r="S69" s="54"/>
      <c r="T69" s="54"/>
      <c r="U69" s="89">
        <f>115281973</f>
        <v>115281973</v>
      </c>
      <c r="V69" s="89"/>
      <c r="W69" s="54"/>
      <c r="X69" s="54"/>
      <c r="Y69" s="136"/>
      <c r="Z69" s="138">
        <f t="shared" si="46"/>
        <v>115281973</v>
      </c>
      <c r="AA69" s="520">
        <f t="shared" si="47"/>
        <v>0</v>
      </c>
      <c r="AC69" s="83" t="s">
        <v>624</v>
      </c>
      <c r="AD69" s="88">
        <f t="shared" si="44"/>
        <v>427</v>
      </c>
      <c r="AE69" s="111">
        <f t="shared" si="44"/>
        <v>115281973</v>
      </c>
      <c r="AF69" s="117">
        <v>42961</v>
      </c>
      <c r="AG69" s="109">
        <f t="shared" si="45"/>
        <v>702</v>
      </c>
      <c r="AH69" s="111">
        <f t="shared" si="45"/>
        <v>115281973</v>
      </c>
      <c r="AI69" s="121">
        <v>42964</v>
      </c>
      <c r="AJ69" s="88" t="s">
        <v>635</v>
      </c>
      <c r="AK69" s="111">
        <f>M69</f>
        <v>261</v>
      </c>
      <c r="AL69" s="111"/>
      <c r="AM69" s="101">
        <f>AE69-AH69</f>
        <v>0</v>
      </c>
    </row>
    <row r="70" spans="1:39" s="112" customFormat="1" ht="78" customHeight="1">
      <c r="A70" s="522" t="s">
        <v>179</v>
      </c>
      <c r="B70" s="92">
        <f>J70</f>
        <v>77396227</v>
      </c>
      <c r="C70" s="89" t="s">
        <v>154</v>
      </c>
      <c r="D70" s="108" t="s">
        <v>120</v>
      </c>
      <c r="E70" s="89" t="s">
        <v>121</v>
      </c>
      <c r="F70" s="108" t="s">
        <v>734</v>
      </c>
      <c r="G70" s="89" t="s">
        <v>122</v>
      </c>
      <c r="H70" s="64">
        <v>402</v>
      </c>
      <c r="I70" s="140">
        <v>428</v>
      </c>
      <c r="J70" s="141">
        <f>77396227</f>
        <v>77396227</v>
      </c>
      <c r="K70" s="108">
        <v>703</v>
      </c>
      <c r="L70" s="108">
        <f>77396227</f>
        <v>77396227</v>
      </c>
      <c r="M70" s="142">
        <v>256</v>
      </c>
      <c r="N70" s="137"/>
      <c r="O70" s="54"/>
      <c r="P70" s="54"/>
      <c r="Q70" s="54"/>
      <c r="R70" s="54"/>
      <c r="S70" s="54"/>
      <c r="T70" s="54"/>
      <c r="U70" s="89">
        <f>60626078</f>
        <v>60626078</v>
      </c>
      <c r="V70" s="89"/>
      <c r="W70" s="89">
        <f>16770149</f>
        <v>16770149</v>
      </c>
      <c r="X70" s="54"/>
      <c r="Y70" s="136"/>
      <c r="Z70" s="138">
        <f t="shared" si="46"/>
        <v>77396227</v>
      </c>
      <c r="AA70" s="520">
        <f t="shared" si="47"/>
        <v>0</v>
      </c>
      <c r="AC70" s="83" t="s">
        <v>625</v>
      </c>
      <c r="AD70" s="88">
        <f t="shared" si="44"/>
        <v>428</v>
      </c>
      <c r="AE70" s="111">
        <f t="shared" si="44"/>
        <v>77396227</v>
      </c>
      <c r="AF70" s="117">
        <v>42964</v>
      </c>
      <c r="AG70" s="109">
        <f t="shared" si="45"/>
        <v>703</v>
      </c>
      <c r="AH70" s="111">
        <f t="shared" si="45"/>
        <v>77396227</v>
      </c>
      <c r="AI70" s="121">
        <v>42964</v>
      </c>
      <c r="AJ70" s="88" t="s">
        <v>646</v>
      </c>
      <c r="AK70" s="111">
        <f>M70</f>
        <v>256</v>
      </c>
      <c r="AL70" s="111"/>
      <c r="AM70" s="101">
        <f>AE70-AH70</f>
        <v>0</v>
      </c>
    </row>
    <row r="71" spans="1:39" s="112" customFormat="1" ht="76.5">
      <c r="A71" s="522" t="s">
        <v>179</v>
      </c>
      <c r="B71" s="92">
        <f>J71</f>
        <v>250600</v>
      </c>
      <c r="C71" s="89" t="s">
        <v>154</v>
      </c>
      <c r="D71" s="108" t="s">
        <v>120</v>
      </c>
      <c r="E71" s="89" t="s">
        <v>121</v>
      </c>
      <c r="F71" s="108" t="s">
        <v>734</v>
      </c>
      <c r="G71" s="89" t="s">
        <v>122</v>
      </c>
      <c r="H71" s="65"/>
      <c r="I71" s="140">
        <v>545</v>
      </c>
      <c r="J71" s="141">
        <v>250600</v>
      </c>
      <c r="K71" s="108">
        <v>865</v>
      </c>
      <c r="L71" s="108">
        <v>250600</v>
      </c>
      <c r="M71" s="142">
        <v>5107</v>
      </c>
      <c r="N71" s="137"/>
      <c r="O71" s="54"/>
      <c r="P71" s="54"/>
      <c r="Q71" s="54"/>
      <c r="R71" s="54"/>
      <c r="S71" s="54"/>
      <c r="T71" s="54"/>
      <c r="U71" s="54"/>
      <c r="V71" s="54"/>
      <c r="W71" s="89">
        <f>250600</f>
        <v>250600</v>
      </c>
      <c r="X71" s="54"/>
      <c r="Y71" s="136"/>
      <c r="Z71" s="138">
        <f t="shared" si="46"/>
        <v>250600</v>
      </c>
      <c r="AA71" s="520">
        <f t="shared" si="47"/>
        <v>0</v>
      </c>
      <c r="AC71" s="83" t="s">
        <v>849</v>
      </c>
      <c r="AD71" s="88">
        <f t="shared" si="44"/>
        <v>545</v>
      </c>
      <c r="AE71" s="111">
        <f t="shared" si="44"/>
        <v>250600</v>
      </c>
      <c r="AF71" s="117">
        <v>42996</v>
      </c>
      <c r="AG71" s="109">
        <f t="shared" si="45"/>
        <v>865</v>
      </c>
      <c r="AH71" s="111">
        <f t="shared" si="45"/>
        <v>250600</v>
      </c>
      <c r="AI71" s="121">
        <v>43026</v>
      </c>
      <c r="AJ71" s="88" t="s">
        <v>594</v>
      </c>
      <c r="AK71" s="111">
        <f>M71</f>
        <v>5107</v>
      </c>
      <c r="AL71" s="111"/>
      <c r="AM71" s="101">
        <f>AE71-AH71</f>
        <v>0</v>
      </c>
    </row>
    <row r="72" spans="1:39" s="112" customFormat="1">
      <c r="A72" s="255"/>
      <c r="B72" s="99">
        <f>B67-B68-B69-B70-B71</f>
        <v>9912445</v>
      </c>
      <c r="C72" s="99"/>
      <c r="D72" s="99"/>
      <c r="E72" s="99"/>
      <c r="F72" s="99"/>
      <c r="G72" s="164"/>
      <c r="H72" s="144"/>
      <c r="I72" s="99"/>
      <c r="J72" s="135">
        <f>SUM(J68:J71)</f>
        <v>210474723</v>
      </c>
      <c r="K72" s="99"/>
      <c r="L72" s="54">
        <f>SUM(L68:L71)</f>
        <v>210474723</v>
      </c>
      <c r="M72" s="136"/>
      <c r="N72" s="99">
        <f>SUM(N68:N69)</f>
        <v>0</v>
      </c>
      <c r="O72" s="99">
        <f t="shared" ref="O72:AM72" si="48">SUM(O68:O69)</f>
        <v>0</v>
      </c>
      <c r="P72" s="99">
        <f t="shared" si="48"/>
        <v>0</v>
      </c>
      <c r="Q72" s="99">
        <f t="shared" si="48"/>
        <v>0</v>
      </c>
      <c r="R72" s="99">
        <f t="shared" si="48"/>
        <v>0</v>
      </c>
      <c r="S72" s="99">
        <f t="shared" si="48"/>
        <v>0</v>
      </c>
      <c r="T72" s="99">
        <f>SUM(T68:T69)</f>
        <v>0</v>
      </c>
      <c r="U72" s="99">
        <f>SUM(U68:U71)</f>
        <v>175908051</v>
      </c>
      <c r="V72" s="99">
        <f>SUM(V68:V71)</f>
        <v>4548943</v>
      </c>
      <c r="W72" s="99">
        <f>SUM(W68:W71)</f>
        <v>20269994</v>
      </c>
      <c r="X72" s="99">
        <f>SUM(X68:X71)</f>
        <v>3249245</v>
      </c>
      <c r="Y72" s="99">
        <f t="shared" ref="Y72" si="49">SUM(Y68:Y71)</f>
        <v>6498490</v>
      </c>
      <c r="Z72" s="99">
        <f>SUM(Z68:Z71)</f>
        <v>210474723</v>
      </c>
      <c r="AA72" s="523">
        <f>SUM(AA68:AA71)</f>
        <v>0</v>
      </c>
      <c r="AB72" s="144">
        <f t="shared" si="48"/>
        <v>0</v>
      </c>
      <c r="AC72" s="99">
        <f t="shared" si="48"/>
        <v>0</v>
      </c>
      <c r="AD72" s="99">
        <f t="shared" si="48"/>
        <v>812</v>
      </c>
      <c r="AE72" s="99">
        <f t="shared" si="48"/>
        <v>132827896</v>
      </c>
      <c r="AF72" s="475">
        <f t="shared" si="48"/>
        <v>85890</v>
      </c>
      <c r="AG72" s="99">
        <f t="shared" si="48"/>
        <v>702</v>
      </c>
      <c r="AH72" s="99">
        <f t="shared" si="48"/>
        <v>132827896</v>
      </c>
      <c r="AI72" s="99">
        <f t="shared" si="48"/>
        <v>85899</v>
      </c>
      <c r="AJ72" s="99">
        <f t="shared" si="48"/>
        <v>0</v>
      </c>
      <c r="AK72" s="99">
        <f t="shared" si="48"/>
        <v>531</v>
      </c>
      <c r="AL72" s="99">
        <f t="shared" si="48"/>
        <v>0</v>
      </c>
      <c r="AM72" s="99">
        <f t="shared" si="48"/>
        <v>0</v>
      </c>
    </row>
    <row r="73" spans="1:39" s="112" customFormat="1" ht="63.75">
      <c r="A73" s="521" t="s">
        <v>659</v>
      </c>
      <c r="B73" s="55">
        <f>32070167+125293665</f>
        <v>157363832</v>
      </c>
      <c r="C73" s="89" t="s">
        <v>154</v>
      </c>
      <c r="D73" s="108" t="s">
        <v>120</v>
      </c>
      <c r="E73" s="89" t="s">
        <v>121</v>
      </c>
      <c r="F73" s="108" t="s">
        <v>734</v>
      </c>
      <c r="G73" s="89" t="s">
        <v>122</v>
      </c>
      <c r="H73" s="65"/>
      <c r="I73" s="134"/>
      <c r="J73" s="135"/>
      <c r="K73" s="99"/>
      <c r="L73" s="156"/>
      <c r="M73" s="154"/>
      <c r="N73" s="137"/>
      <c r="O73" s="54"/>
      <c r="P73" s="54"/>
      <c r="Q73" s="54"/>
      <c r="R73" s="54"/>
      <c r="S73" s="54"/>
      <c r="T73" s="54"/>
      <c r="U73" s="54"/>
      <c r="V73" s="54"/>
      <c r="W73" s="54"/>
      <c r="X73" s="54"/>
      <c r="Y73" s="136"/>
      <c r="Z73" s="138">
        <f>SUM(N73:Y73)</f>
        <v>0</v>
      </c>
      <c r="AA73" s="520">
        <f>L73-Z73</f>
        <v>0</v>
      </c>
      <c r="AC73" s="83"/>
      <c r="AD73" s="88">
        <f>I73</f>
        <v>0</v>
      </c>
      <c r="AE73" s="111">
        <f>J73</f>
        <v>0</v>
      </c>
      <c r="AF73" s="117"/>
      <c r="AG73" s="109">
        <f>K73</f>
        <v>0</v>
      </c>
      <c r="AH73" s="111">
        <f>L73</f>
        <v>0</v>
      </c>
      <c r="AI73" s="88"/>
      <c r="AJ73" s="88"/>
      <c r="AK73" s="111">
        <f>M73</f>
        <v>0</v>
      </c>
      <c r="AL73" s="111"/>
      <c r="AM73" s="101">
        <f>AE73-AH73</f>
        <v>0</v>
      </c>
    </row>
    <row r="74" spans="1:39" s="112" customFormat="1" ht="63.75">
      <c r="A74" s="522" t="s">
        <v>179</v>
      </c>
      <c r="B74" s="92">
        <f>J74</f>
        <v>32070167</v>
      </c>
      <c r="C74" s="89" t="s">
        <v>154</v>
      </c>
      <c r="D74" s="108" t="s">
        <v>120</v>
      </c>
      <c r="E74" s="89" t="s">
        <v>121</v>
      </c>
      <c r="F74" s="108" t="s">
        <v>734</v>
      </c>
      <c r="G74" s="89" t="s">
        <v>122</v>
      </c>
      <c r="H74" s="64">
        <v>346</v>
      </c>
      <c r="I74" s="140" t="s">
        <v>795</v>
      </c>
      <c r="J74" s="141">
        <f>27000000+5070167</f>
        <v>32070167</v>
      </c>
      <c r="K74" s="108" t="s">
        <v>841</v>
      </c>
      <c r="L74" s="108">
        <f>27000000+5070167</f>
        <v>32070167</v>
      </c>
      <c r="M74" s="142">
        <v>252</v>
      </c>
      <c r="N74" s="137"/>
      <c r="O74" s="54"/>
      <c r="P74" s="54"/>
      <c r="Q74" s="54"/>
      <c r="R74" s="54"/>
      <c r="S74" s="54"/>
      <c r="T74" s="54"/>
      <c r="U74" s="54"/>
      <c r="V74" s="89">
        <f>8100000</f>
        <v>8100000</v>
      </c>
      <c r="W74" s="89">
        <f>8100000+9000000</f>
        <v>17100000</v>
      </c>
      <c r="X74" s="54"/>
      <c r="Y74" s="136"/>
      <c r="Z74" s="155">
        <f>SUM(N74:Y74)</f>
        <v>25200000</v>
      </c>
      <c r="AA74" s="520">
        <f>L74-Z74</f>
        <v>6870167</v>
      </c>
      <c r="AC74" s="83" t="s">
        <v>732</v>
      </c>
      <c r="AD74" s="88" t="str">
        <f>I74</f>
        <v>368 - 500</v>
      </c>
      <c r="AE74" s="111">
        <f>J74</f>
        <v>32070167</v>
      </c>
      <c r="AF74" s="117">
        <v>42913</v>
      </c>
      <c r="AG74" s="109" t="str">
        <f>K74</f>
        <v>597 - 833</v>
      </c>
      <c r="AH74" s="111">
        <f>L74</f>
        <v>32070167</v>
      </c>
      <c r="AI74" s="369">
        <v>42914</v>
      </c>
      <c r="AJ74" s="130" t="s">
        <v>517</v>
      </c>
      <c r="AK74" s="111">
        <f>M74</f>
        <v>252</v>
      </c>
      <c r="AL74" s="111"/>
      <c r="AM74" s="101">
        <f>AE74-AH74</f>
        <v>0</v>
      </c>
    </row>
    <row r="75" spans="1:39" s="112" customFormat="1" ht="63.75">
      <c r="A75" s="522" t="s">
        <v>179</v>
      </c>
      <c r="B75" s="92"/>
      <c r="C75" s="89" t="s">
        <v>154</v>
      </c>
      <c r="D75" s="108" t="s">
        <v>120</v>
      </c>
      <c r="E75" s="89" t="s">
        <v>121</v>
      </c>
      <c r="F75" s="108" t="s">
        <v>734</v>
      </c>
      <c r="G75" s="89" t="s">
        <v>122</v>
      </c>
      <c r="H75" s="64"/>
      <c r="I75" s="140"/>
      <c r="J75" s="141"/>
      <c r="K75" s="108"/>
      <c r="L75" s="108"/>
      <c r="M75" s="142"/>
      <c r="N75" s="144"/>
      <c r="O75" s="99"/>
      <c r="P75" s="99"/>
      <c r="Q75" s="99"/>
      <c r="R75" s="99"/>
      <c r="S75" s="99"/>
      <c r="T75" s="99"/>
      <c r="U75" s="99"/>
      <c r="V75" s="99"/>
      <c r="W75" s="99"/>
      <c r="X75" s="99"/>
      <c r="Y75" s="136"/>
      <c r="Z75" s="155">
        <f t="shared" ref="Z75:Z77" si="50">SUM(N75:Y75)</f>
        <v>0</v>
      </c>
      <c r="AA75" s="520">
        <f>L75-Z75</f>
        <v>0</v>
      </c>
      <c r="AC75" s="83"/>
      <c r="AD75" s="88"/>
      <c r="AE75" s="110"/>
      <c r="AF75" s="117"/>
      <c r="AG75" s="109"/>
      <c r="AH75" s="110"/>
      <c r="AI75" s="369"/>
      <c r="AJ75" s="130"/>
      <c r="AK75" s="110"/>
      <c r="AL75" s="111"/>
      <c r="AM75" s="106"/>
    </row>
    <row r="76" spans="1:39" s="112" customFormat="1" ht="63.75">
      <c r="A76" s="522" t="s">
        <v>179</v>
      </c>
      <c r="B76" s="92"/>
      <c r="C76" s="89" t="s">
        <v>154</v>
      </c>
      <c r="D76" s="108" t="s">
        <v>120</v>
      </c>
      <c r="E76" s="89" t="s">
        <v>121</v>
      </c>
      <c r="F76" s="108" t="s">
        <v>734</v>
      </c>
      <c r="G76" s="89" t="s">
        <v>122</v>
      </c>
      <c r="H76" s="64"/>
      <c r="I76" s="140"/>
      <c r="J76" s="141"/>
      <c r="K76" s="108"/>
      <c r="L76" s="108"/>
      <c r="M76" s="142"/>
      <c r="N76" s="144"/>
      <c r="O76" s="99"/>
      <c r="P76" s="99"/>
      <c r="Q76" s="99"/>
      <c r="R76" s="99"/>
      <c r="S76" s="99"/>
      <c r="T76" s="99"/>
      <c r="U76" s="99"/>
      <c r="V76" s="99"/>
      <c r="W76" s="99"/>
      <c r="X76" s="99"/>
      <c r="Y76" s="136"/>
      <c r="Z76" s="155">
        <f t="shared" si="50"/>
        <v>0</v>
      </c>
      <c r="AA76" s="520">
        <f>L76-Z76</f>
        <v>0</v>
      </c>
      <c r="AC76" s="83"/>
      <c r="AD76" s="88"/>
      <c r="AE76" s="110"/>
      <c r="AF76" s="117"/>
      <c r="AG76" s="109"/>
      <c r="AH76" s="110"/>
      <c r="AI76" s="369"/>
      <c r="AJ76" s="130"/>
      <c r="AK76" s="110"/>
      <c r="AL76" s="111"/>
      <c r="AM76" s="106"/>
    </row>
    <row r="77" spans="1:39" s="112" customFormat="1" ht="63.75">
      <c r="A77" s="522" t="s">
        <v>179</v>
      </c>
      <c r="B77" s="92"/>
      <c r="C77" s="89" t="s">
        <v>154</v>
      </c>
      <c r="D77" s="108" t="s">
        <v>120</v>
      </c>
      <c r="E77" s="89" t="s">
        <v>121</v>
      </c>
      <c r="F77" s="108" t="s">
        <v>734</v>
      </c>
      <c r="G77" s="89" t="s">
        <v>122</v>
      </c>
      <c r="H77" s="64"/>
      <c r="I77" s="140"/>
      <c r="J77" s="141"/>
      <c r="K77" s="108"/>
      <c r="L77" s="108"/>
      <c r="M77" s="142"/>
      <c r="N77" s="144"/>
      <c r="O77" s="99"/>
      <c r="P77" s="99"/>
      <c r="Q77" s="99"/>
      <c r="R77" s="99"/>
      <c r="S77" s="99"/>
      <c r="T77" s="99"/>
      <c r="U77" s="99"/>
      <c r="V77" s="99"/>
      <c r="W77" s="99"/>
      <c r="X77" s="99"/>
      <c r="Y77" s="136"/>
      <c r="Z77" s="155">
        <f t="shared" si="50"/>
        <v>0</v>
      </c>
      <c r="AA77" s="520">
        <f>L77-Z77</f>
        <v>0</v>
      </c>
      <c r="AC77" s="83"/>
      <c r="AD77" s="88"/>
      <c r="AE77" s="110"/>
      <c r="AF77" s="117"/>
      <c r="AG77" s="109"/>
      <c r="AH77" s="110"/>
      <c r="AI77" s="369"/>
      <c r="AJ77" s="130"/>
      <c r="AK77" s="110"/>
      <c r="AL77" s="111"/>
      <c r="AM77" s="106"/>
    </row>
    <row r="78" spans="1:39" s="116" customFormat="1">
      <c r="A78" s="255" t="s">
        <v>132</v>
      </c>
      <c r="B78" s="99">
        <f>B73-B74-B75-B76-B77</f>
        <v>125293665</v>
      </c>
      <c r="C78" s="99"/>
      <c r="D78" s="99"/>
      <c r="E78" s="99"/>
      <c r="F78" s="99"/>
      <c r="G78" s="164"/>
      <c r="H78" s="144"/>
      <c r="I78" s="99"/>
      <c r="J78" s="135">
        <f>SUM(J74:J77)</f>
        <v>32070167</v>
      </c>
      <c r="K78" s="99"/>
      <c r="L78" s="99">
        <f>SUM(L74:L77)</f>
        <v>32070167</v>
      </c>
      <c r="M78" s="136"/>
      <c r="N78" s="99">
        <f>SUM(N74:N77)</f>
        <v>0</v>
      </c>
      <c r="O78" s="99">
        <f t="shared" ref="O78:U78" si="51">SUM(O74:O77)</f>
        <v>0</v>
      </c>
      <c r="P78" s="99">
        <f t="shared" si="51"/>
        <v>0</v>
      </c>
      <c r="Q78" s="99">
        <f t="shared" si="51"/>
        <v>0</v>
      </c>
      <c r="R78" s="99">
        <f t="shared" si="51"/>
        <v>0</v>
      </c>
      <c r="S78" s="99">
        <f t="shared" si="51"/>
        <v>0</v>
      </c>
      <c r="T78" s="99">
        <f t="shared" si="51"/>
        <v>0</v>
      </c>
      <c r="U78" s="99">
        <f t="shared" si="51"/>
        <v>0</v>
      </c>
      <c r="V78" s="99">
        <f>SUM(V74:V77)</f>
        <v>8100000</v>
      </c>
      <c r="W78" s="99">
        <f>SUM(W74:W77)</f>
        <v>17100000</v>
      </c>
      <c r="X78" s="99">
        <f>SUM(X74:X77)</f>
        <v>0</v>
      </c>
      <c r="Y78" s="99">
        <f>SUM(Y74:Y77)</f>
        <v>0</v>
      </c>
      <c r="Z78" s="99">
        <f t="shared" ref="Z78" si="52">SUM(Z74:Z77)</f>
        <v>25200000</v>
      </c>
      <c r="AA78" s="523">
        <f>SUM(AA74:AA77)</f>
        <v>6870167</v>
      </c>
      <c r="AC78" s="100"/>
      <c r="AD78" s="44"/>
      <c r="AE78" s="99">
        <f>SUM(AE74)</f>
        <v>32070167</v>
      </c>
      <c r="AF78" s="118"/>
      <c r="AG78" s="109"/>
      <c r="AH78" s="99">
        <f>SUM(AH74)</f>
        <v>32070167</v>
      </c>
      <c r="AI78" s="54"/>
      <c r="AJ78" s="54"/>
      <c r="AK78" s="99">
        <f>SUM(AK74)</f>
        <v>252</v>
      </c>
      <c r="AL78" s="101"/>
      <c r="AM78" s="99">
        <f>SUM(AM74)</f>
        <v>0</v>
      </c>
    </row>
    <row r="79" spans="1:39" s="112" customFormat="1" ht="63.75">
      <c r="A79" s="521" t="s">
        <v>621</v>
      </c>
      <c r="B79" s="55">
        <f>57396940+2500000+10242809</f>
        <v>70139749</v>
      </c>
      <c r="C79" s="89" t="s">
        <v>78</v>
      </c>
      <c r="D79" s="108" t="s">
        <v>120</v>
      </c>
      <c r="E79" s="89" t="s">
        <v>121</v>
      </c>
      <c r="F79" s="108" t="s">
        <v>734</v>
      </c>
      <c r="G79" s="89" t="s">
        <v>122</v>
      </c>
      <c r="H79" s="64"/>
      <c r="I79" s="140"/>
      <c r="J79" s="141"/>
      <c r="K79" s="108"/>
      <c r="L79" s="108"/>
      <c r="M79" s="142"/>
      <c r="N79" s="144"/>
      <c r="O79" s="99"/>
      <c r="P79" s="99"/>
      <c r="Q79" s="99"/>
      <c r="R79" s="99"/>
      <c r="S79" s="99"/>
      <c r="T79" s="99"/>
      <c r="U79" s="99"/>
      <c r="V79" s="99"/>
      <c r="W79" s="99"/>
      <c r="X79" s="99"/>
      <c r="Y79" s="143"/>
      <c r="Z79" s="138">
        <f>SUM(N79:Y79)</f>
        <v>0</v>
      </c>
      <c r="AA79" s="520">
        <f>L79-Z79</f>
        <v>0</v>
      </c>
      <c r="AC79" s="83"/>
      <c r="AD79" s="88">
        <f t="shared" ref="AD79:AE81" si="53">I79</f>
        <v>0</v>
      </c>
      <c r="AE79" s="111">
        <f t="shared" si="53"/>
        <v>0</v>
      </c>
      <c r="AF79" s="117"/>
      <c r="AG79" s="109">
        <f t="shared" ref="AG79:AH81" si="54">K79</f>
        <v>0</v>
      </c>
      <c r="AH79" s="111">
        <f t="shared" si="54"/>
        <v>0</v>
      </c>
      <c r="AI79" s="121"/>
      <c r="AJ79" s="88"/>
      <c r="AK79" s="111">
        <f>M79</f>
        <v>0</v>
      </c>
      <c r="AL79" s="111"/>
      <c r="AM79" s="101">
        <f>AE79-AH79</f>
        <v>0</v>
      </c>
    </row>
    <row r="80" spans="1:39" s="112" customFormat="1" ht="85.5" customHeight="1">
      <c r="A80" s="522" t="s">
        <v>620</v>
      </c>
      <c r="B80" s="92">
        <f>J80</f>
        <v>57396940</v>
      </c>
      <c r="C80" s="89" t="s">
        <v>78</v>
      </c>
      <c r="D80" s="108" t="s">
        <v>120</v>
      </c>
      <c r="E80" s="89" t="s">
        <v>121</v>
      </c>
      <c r="F80" s="108" t="s">
        <v>734</v>
      </c>
      <c r="G80" s="89" t="s">
        <v>122</v>
      </c>
      <c r="H80" s="64">
        <v>327</v>
      </c>
      <c r="I80" s="140">
        <v>329</v>
      </c>
      <c r="J80" s="141">
        <v>57396940</v>
      </c>
      <c r="K80" s="108">
        <v>651</v>
      </c>
      <c r="L80" s="108">
        <v>57396940</v>
      </c>
      <c r="M80" s="142">
        <v>298</v>
      </c>
      <c r="N80" s="144"/>
      <c r="O80" s="99"/>
      <c r="P80" s="99"/>
      <c r="Q80" s="99"/>
      <c r="R80" s="99"/>
      <c r="S80" s="99"/>
      <c r="T80" s="99"/>
      <c r="U80" s="99"/>
      <c r="V80" s="99"/>
      <c r="W80" s="108"/>
      <c r="X80" s="108">
        <f>51657246</f>
        <v>51657246</v>
      </c>
      <c r="Y80" s="143"/>
      <c r="Z80" s="155">
        <f>SUM(N80:Y80)</f>
        <v>51657246</v>
      </c>
      <c r="AA80" s="520">
        <f t="shared" ref="AA80:AA81" si="55">L80-Z80</f>
        <v>5739694</v>
      </c>
      <c r="AC80" s="83" t="s">
        <v>626</v>
      </c>
      <c r="AD80" s="88">
        <f t="shared" si="53"/>
        <v>329</v>
      </c>
      <c r="AE80" s="111">
        <f t="shared" si="53"/>
        <v>57396940</v>
      </c>
      <c r="AF80" s="117">
        <v>42877</v>
      </c>
      <c r="AG80" s="109">
        <f t="shared" si="54"/>
        <v>651</v>
      </c>
      <c r="AH80" s="111">
        <f t="shared" si="54"/>
        <v>57396940</v>
      </c>
      <c r="AI80" s="121">
        <v>42943</v>
      </c>
      <c r="AJ80" s="88" t="s">
        <v>685</v>
      </c>
      <c r="AK80" s="111">
        <f>M80</f>
        <v>298</v>
      </c>
      <c r="AL80" s="111"/>
      <c r="AM80" s="101">
        <f>AE80-AH80</f>
        <v>0</v>
      </c>
    </row>
    <row r="81" spans="1:39" s="112" customFormat="1" ht="89.25">
      <c r="A81" s="522" t="s">
        <v>622</v>
      </c>
      <c r="B81" s="92">
        <f>J81</f>
        <v>2500000</v>
      </c>
      <c r="C81" s="89" t="s">
        <v>78</v>
      </c>
      <c r="D81" s="108" t="s">
        <v>120</v>
      </c>
      <c r="E81" s="89" t="s">
        <v>121</v>
      </c>
      <c r="F81" s="108" t="s">
        <v>734</v>
      </c>
      <c r="G81" s="89" t="s">
        <v>122</v>
      </c>
      <c r="H81" s="64">
        <v>326</v>
      </c>
      <c r="I81" s="140">
        <v>321</v>
      </c>
      <c r="J81" s="141">
        <v>2500000</v>
      </c>
      <c r="K81" s="108">
        <v>512</v>
      </c>
      <c r="L81" s="108">
        <v>2500000</v>
      </c>
      <c r="M81" s="142">
        <v>335</v>
      </c>
      <c r="N81" s="144"/>
      <c r="O81" s="99"/>
      <c r="P81" s="99"/>
      <c r="Q81" s="99"/>
      <c r="R81" s="99"/>
      <c r="S81" s="99"/>
      <c r="T81" s="108">
        <v>2250000</v>
      </c>
      <c r="U81" s="99"/>
      <c r="V81" s="99"/>
      <c r="W81" s="99"/>
      <c r="X81" s="99"/>
      <c r="Y81" s="157">
        <f>250000</f>
        <v>250000</v>
      </c>
      <c r="Z81" s="155">
        <f>SUM(N81:Y81)</f>
        <v>2500000</v>
      </c>
      <c r="AA81" s="520">
        <f t="shared" si="55"/>
        <v>0</v>
      </c>
      <c r="AC81" s="83" t="s">
        <v>623</v>
      </c>
      <c r="AD81" s="88">
        <f t="shared" si="53"/>
        <v>321</v>
      </c>
      <c r="AE81" s="111">
        <f t="shared" si="53"/>
        <v>2500000</v>
      </c>
      <c r="AF81" s="117">
        <v>42872</v>
      </c>
      <c r="AG81" s="109">
        <f t="shared" si="54"/>
        <v>512</v>
      </c>
      <c r="AH81" s="111">
        <f t="shared" si="54"/>
        <v>2500000</v>
      </c>
      <c r="AI81" s="121">
        <v>42879</v>
      </c>
      <c r="AJ81" s="88" t="s">
        <v>647</v>
      </c>
      <c r="AK81" s="111">
        <f>M81</f>
        <v>335</v>
      </c>
      <c r="AL81" s="111">
        <v>80927810</v>
      </c>
      <c r="AM81" s="101">
        <f>AE81-AH81</f>
        <v>0</v>
      </c>
    </row>
    <row r="82" spans="1:39" s="116" customFormat="1">
      <c r="A82" s="255" t="s">
        <v>132</v>
      </c>
      <c r="B82" s="99">
        <f>B79-B80-B81</f>
        <v>10242809</v>
      </c>
      <c r="C82" s="99"/>
      <c r="D82" s="99"/>
      <c r="E82" s="99"/>
      <c r="F82" s="99"/>
      <c r="G82" s="164"/>
      <c r="H82" s="144"/>
      <c r="I82" s="99"/>
      <c r="J82" s="158">
        <f>SUM(J80:J81)</f>
        <v>59896940</v>
      </c>
      <c r="K82" s="144"/>
      <c r="L82" s="144">
        <f>SUM(L80:L81)</f>
        <v>59896940</v>
      </c>
      <c r="M82" s="146"/>
      <c r="N82" s="144">
        <f>SUM(N80:N81)</f>
        <v>0</v>
      </c>
      <c r="O82" s="144">
        <f t="shared" ref="O82:S82" si="56">SUM(O80:O81)</f>
        <v>0</v>
      </c>
      <c r="P82" s="144">
        <f t="shared" si="56"/>
        <v>0</v>
      </c>
      <c r="Q82" s="144">
        <f t="shared" si="56"/>
        <v>0</v>
      </c>
      <c r="R82" s="144">
        <f t="shared" si="56"/>
        <v>0</v>
      </c>
      <c r="S82" s="144">
        <f t="shared" si="56"/>
        <v>0</v>
      </c>
      <c r="T82" s="144">
        <f t="shared" ref="T82:Y82" si="57">SUM(T80:T81)</f>
        <v>2250000</v>
      </c>
      <c r="U82" s="144">
        <f t="shared" si="57"/>
        <v>0</v>
      </c>
      <c r="V82" s="144">
        <f t="shared" si="57"/>
        <v>0</v>
      </c>
      <c r="W82" s="144">
        <f t="shared" si="57"/>
        <v>0</v>
      </c>
      <c r="X82" s="144">
        <f t="shared" si="57"/>
        <v>51657246</v>
      </c>
      <c r="Y82" s="144">
        <f t="shared" si="57"/>
        <v>250000</v>
      </c>
      <c r="Z82" s="144">
        <f t="shared" ref="Z82" si="58">SUM(Z80:Z81)</f>
        <v>54157246</v>
      </c>
      <c r="AA82" s="524">
        <f>SUM(AA80:AA81)</f>
        <v>5739694</v>
      </c>
      <c r="AC82" s="100"/>
      <c r="AD82" s="44"/>
      <c r="AE82" s="101">
        <f>SUM(AE80:AE81)</f>
        <v>59896940</v>
      </c>
      <c r="AF82" s="118"/>
      <c r="AG82" s="109"/>
      <c r="AH82" s="101">
        <f>SUM(AH67:AH68)</f>
        <v>17545923</v>
      </c>
      <c r="AI82" s="54"/>
      <c r="AJ82" s="54"/>
      <c r="AK82" s="101"/>
      <c r="AL82" s="101"/>
      <c r="AM82" s="101">
        <f>SUM(AM80:AM81)</f>
        <v>0</v>
      </c>
    </row>
    <row r="83" spans="1:39" s="112" customFormat="1" ht="63.75">
      <c r="A83" s="521" t="s">
        <v>669</v>
      </c>
      <c r="B83" s="55">
        <f>381724303</f>
        <v>381724303</v>
      </c>
      <c r="C83" s="89" t="s">
        <v>152</v>
      </c>
      <c r="D83" s="108" t="s">
        <v>120</v>
      </c>
      <c r="E83" s="89" t="s">
        <v>121</v>
      </c>
      <c r="F83" s="108" t="s">
        <v>734</v>
      </c>
      <c r="G83" s="89" t="s">
        <v>122</v>
      </c>
      <c r="H83" s="64"/>
      <c r="I83" s="140"/>
      <c r="J83" s="141"/>
      <c r="K83" s="108"/>
      <c r="L83" s="108"/>
      <c r="M83" s="142"/>
      <c r="N83" s="144"/>
      <c r="O83" s="99"/>
      <c r="P83" s="99"/>
      <c r="Q83" s="99"/>
      <c r="R83" s="99"/>
      <c r="S83" s="99"/>
      <c r="T83" s="99"/>
      <c r="U83" s="99"/>
      <c r="V83" s="99"/>
      <c r="W83" s="99"/>
      <c r="X83" s="99"/>
      <c r="Y83" s="143"/>
      <c r="Z83" s="138">
        <f>SUM(N83:Y83)</f>
        <v>0</v>
      </c>
      <c r="AA83" s="520">
        <f>L83-Z83</f>
        <v>0</v>
      </c>
      <c r="AC83" s="83"/>
      <c r="AD83" s="88">
        <f t="shared" ref="AD83:AE85" si="59">I83</f>
        <v>0</v>
      </c>
      <c r="AE83" s="111">
        <f t="shared" si="59"/>
        <v>0</v>
      </c>
      <c r="AF83" s="117"/>
      <c r="AG83" s="109">
        <f t="shared" ref="AG83:AH85" si="60">K83</f>
        <v>0</v>
      </c>
      <c r="AH83" s="111">
        <f t="shared" si="60"/>
        <v>0</v>
      </c>
      <c r="AI83" s="121"/>
      <c r="AJ83" s="88"/>
      <c r="AK83" s="111">
        <f>M83</f>
        <v>0</v>
      </c>
      <c r="AL83" s="111"/>
      <c r="AM83" s="101">
        <f>AE83-AH83</f>
        <v>0</v>
      </c>
    </row>
    <row r="84" spans="1:39" s="112" customFormat="1" ht="76.5">
      <c r="A84" s="522" t="s">
        <v>745</v>
      </c>
      <c r="B84" s="92">
        <f>J84</f>
        <v>380999919</v>
      </c>
      <c r="C84" s="89" t="s">
        <v>152</v>
      </c>
      <c r="D84" s="108" t="s">
        <v>120</v>
      </c>
      <c r="E84" s="89" t="s">
        <v>121</v>
      </c>
      <c r="F84" s="108" t="s">
        <v>734</v>
      </c>
      <c r="G84" s="89" t="s">
        <v>122</v>
      </c>
      <c r="H84" s="64">
        <v>371</v>
      </c>
      <c r="I84" s="140" t="s">
        <v>794</v>
      </c>
      <c r="J84" s="141">
        <f>299999919+81000000</f>
        <v>380999919</v>
      </c>
      <c r="K84" s="108" t="s">
        <v>810</v>
      </c>
      <c r="L84" s="108">
        <f>299999919+81000000</f>
        <v>380999919</v>
      </c>
      <c r="M84" s="142">
        <v>299</v>
      </c>
      <c r="N84" s="146"/>
      <c r="O84" s="108"/>
      <c r="P84" s="108"/>
      <c r="Q84" s="108"/>
      <c r="R84" s="108"/>
      <c r="S84" s="108"/>
      <c r="T84" s="108"/>
      <c r="U84" s="108"/>
      <c r="V84" s="108"/>
      <c r="W84" s="108"/>
      <c r="X84" s="108"/>
      <c r="Y84" s="157">
        <f>265589065+115410854</f>
        <v>380999919</v>
      </c>
      <c r="Z84" s="155">
        <f>SUM(N84:Y84)</f>
        <v>380999919</v>
      </c>
      <c r="AA84" s="520">
        <f>L84-Z84</f>
        <v>0</v>
      </c>
      <c r="AC84" s="83" t="s">
        <v>683</v>
      </c>
      <c r="AD84" s="88" t="str">
        <f t="shared" si="59"/>
        <v>402  - 499</v>
      </c>
      <c r="AE84" s="111">
        <f t="shared" si="59"/>
        <v>380999919</v>
      </c>
      <c r="AF84" s="117">
        <v>43004</v>
      </c>
      <c r="AG84" s="109" t="str">
        <f t="shared" si="60"/>
        <v>650 - 802</v>
      </c>
      <c r="AH84" s="111">
        <f t="shared" si="60"/>
        <v>380999919</v>
      </c>
      <c r="AI84" s="121">
        <v>42943</v>
      </c>
      <c r="AJ84" s="88" t="s">
        <v>684</v>
      </c>
      <c r="AK84" s="111">
        <f>M84</f>
        <v>299</v>
      </c>
      <c r="AL84" s="111"/>
      <c r="AM84" s="111">
        <f>AE84-AH84</f>
        <v>0</v>
      </c>
    </row>
    <row r="85" spans="1:39" s="112" customFormat="1" ht="63.75">
      <c r="A85" s="522" t="s">
        <v>745</v>
      </c>
      <c r="B85" s="92">
        <f>J85</f>
        <v>0</v>
      </c>
      <c r="C85" s="89" t="s">
        <v>152</v>
      </c>
      <c r="D85" s="108" t="s">
        <v>120</v>
      </c>
      <c r="E85" s="89" t="s">
        <v>121</v>
      </c>
      <c r="F85" s="108" t="s">
        <v>734</v>
      </c>
      <c r="G85" s="89" t="s">
        <v>122</v>
      </c>
      <c r="H85" s="64"/>
      <c r="I85" s="140"/>
      <c r="J85" s="141"/>
      <c r="K85" s="108"/>
      <c r="L85" s="108"/>
      <c r="M85" s="142"/>
      <c r="N85" s="146"/>
      <c r="O85" s="108"/>
      <c r="P85" s="108"/>
      <c r="Q85" s="108"/>
      <c r="R85" s="108"/>
      <c r="S85" s="108"/>
      <c r="T85" s="108"/>
      <c r="U85" s="108"/>
      <c r="V85" s="108"/>
      <c r="W85" s="108"/>
      <c r="X85" s="108"/>
      <c r="Y85" s="157"/>
      <c r="Z85" s="155">
        <f>SUM(N85:Y85)</f>
        <v>0</v>
      </c>
      <c r="AA85" s="520">
        <f>L85-Z85</f>
        <v>0</v>
      </c>
      <c r="AC85" s="83"/>
      <c r="AD85" s="88">
        <f t="shared" si="59"/>
        <v>0</v>
      </c>
      <c r="AE85" s="111">
        <f t="shared" si="59"/>
        <v>0</v>
      </c>
      <c r="AF85" s="117"/>
      <c r="AG85" s="109">
        <f t="shared" si="60"/>
        <v>0</v>
      </c>
      <c r="AH85" s="111">
        <f t="shared" si="60"/>
        <v>0</v>
      </c>
      <c r="AI85" s="121"/>
      <c r="AJ85" s="88"/>
      <c r="AK85" s="111">
        <f>M85</f>
        <v>0</v>
      </c>
      <c r="AL85" s="111"/>
      <c r="AM85" s="111">
        <f>AE85-AH85</f>
        <v>0</v>
      </c>
    </row>
    <row r="86" spans="1:39" s="116" customFormat="1" ht="16.5" customHeight="1">
      <c r="A86" s="255" t="s">
        <v>132</v>
      </c>
      <c r="B86" s="99">
        <f>B83-B84-B85</f>
        <v>724384</v>
      </c>
      <c r="C86" s="99"/>
      <c r="D86" s="99"/>
      <c r="E86" s="99"/>
      <c r="F86" s="99"/>
      <c r="G86" s="164"/>
      <c r="H86" s="144"/>
      <c r="I86" s="99"/>
      <c r="J86" s="158">
        <f>SUM(J84:J85)</f>
        <v>380999919</v>
      </c>
      <c r="K86" s="144"/>
      <c r="L86" s="144">
        <f>SUM(L84:L85)</f>
        <v>380999919</v>
      </c>
      <c r="M86" s="142"/>
      <c r="N86" s="144">
        <f>SUM(N84:N85)</f>
        <v>0</v>
      </c>
      <c r="O86" s="144">
        <f t="shared" ref="O86:T86" si="61">SUM(O84:O85)</f>
        <v>0</v>
      </c>
      <c r="P86" s="144">
        <f t="shared" si="61"/>
        <v>0</v>
      </c>
      <c r="Q86" s="144">
        <f t="shared" si="61"/>
        <v>0</v>
      </c>
      <c r="R86" s="144">
        <f t="shared" si="61"/>
        <v>0</v>
      </c>
      <c r="S86" s="144">
        <f t="shared" si="61"/>
        <v>0</v>
      </c>
      <c r="T86" s="144">
        <f t="shared" si="61"/>
        <v>0</v>
      </c>
      <c r="U86" s="144">
        <f>SUM(U84:U85)</f>
        <v>0</v>
      </c>
      <c r="V86" s="144">
        <f>SUM(V84:V85)</f>
        <v>0</v>
      </c>
      <c r="W86" s="144">
        <f>SUM(W84:W85)</f>
        <v>0</v>
      </c>
      <c r="X86" s="144">
        <f>SUM(X84:X85)</f>
        <v>0</v>
      </c>
      <c r="Y86" s="144">
        <f>SUM(Y84:Y85)</f>
        <v>380999919</v>
      </c>
      <c r="Z86" s="144">
        <f t="shared" ref="Z86" si="62">SUM(Z84:Z85)</f>
        <v>380999919</v>
      </c>
      <c r="AA86" s="524">
        <f>SUM(AA84:AA85)</f>
        <v>0</v>
      </c>
      <c r="AC86" s="100"/>
      <c r="AD86" s="44"/>
      <c r="AE86" s="101">
        <f>SUM(AE84:AE85)</f>
        <v>380999919</v>
      </c>
      <c r="AF86" s="118"/>
      <c r="AG86" s="109"/>
      <c r="AH86" s="101">
        <f>SUM(AH74:AH78)</f>
        <v>64140334</v>
      </c>
      <c r="AI86" s="54"/>
      <c r="AJ86" s="54"/>
      <c r="AK86" s="101"/>
      <c r="AL86" s="101"/>
      <c r="AM86" s="101">
        <f>SUM(AM84:AM85)</f>
        <v>0</v>
      </c>
    </row>
    <row r="87" spans="1:39" s="116" customFormat="1" ht="63.75">
      <c r="A87" s="521" t="s">
        <v>669</v>
      </c>
      <c r="B87" s="99">
        <f>79000000</f>
        <v>79000000</v>
      </c>
      <c r="C87" s="89" t="s">
        <v>78</v>
      </c>
      <c r="D87" s="108" t="s">
        <v>120</v>
      </c>
      <c r="E87" s="89" t="s">
        <v>121</v>
      </c>
      <c r="F87" s="108" t="s">
        <v>734</v>
      </c>
      <c r="G87" s="89" t="s">
        <v>122</v>
      </c>
      <c r="H87" s="144"/>
      <c r="I87" s="99"/>
      <c r="J87" s="158"/>
      <c r="K87" s="144"/>
      <c r="L87" s="144"/>
      <c r="M87" s="142"/>
      <c r="N87" s="144"/>
      <c r="O87" s="144"/>
      <c r="P87" s="144"/>
      <c r="Q87" s="144"/>
      <c r="R87" s="144"/>
      <c r="S87" s="144"/>
      <c r="T87" s="144"/>
      <c r="U87" s="144"/>
      <c r="V87" s="144"/>
      <c r="W87" s="144"/>
      <c r="X87" s="144"/>
      <c r="Y87" s="143"/>
      <c r="Z87" s="155"/>
      <c r="AA87" s="520"/>
      <c r="AC87" s="100"/>
      <c r="AD87" s="44"/>
      <c r="AE87" s="101"/>
      <c r="AF87" s="118"/>
      <c r="AG87" s="109"/>
      <c r="AH87" s="101"/>
      <c r="AI87" s="54"/>
      <c r="AJ87" s="54"/>
      <c r="AK87" s="101"/>
      <c r="AL87" s="101"/>
      <c r="AM87" s="101"/>
    </row>
    <row r="88" spans="1:39" s="116" customFormat="1" ht="66" customHeight="1">
      <c r="A88" s="522" t="s">
        <v>745</v>
      </c>
      <c r="B88" s="108">
        <f>+J88</f>
        <v>78000000</v>
      </c>
      <c r="C88" s="89" t="s">
        <v>78</v>
      </c>
      <c r="D88" s="108" t="s">
        <v>120</v>
      </c>
      <c r="E88" s="89" t="s">
        <v>121</v>
      </c>
      <c r="F88" s="108" t="s">
        <v>734</v>
      </c>
      <c r="G88" s="89" t="s">
        <v>122</v>
      </c>
      <c r="H88" s="144"/>
      <c r="I88" s="108">
        <v>499</v>
      </c>
      <c r="J88" s="159">
        <f>78000000</f>
        <v>78000000</v>
      </c>
      <c r="K88" s="146">
        <v>802</v>
      </c>
      <c r="L88" s="146">
        <f>78000000</f>
        <v>78000000</v>
      </c>
      <c r="M88" s="142">
        <v>299</v>
      </c>
      <c r="N88" s="144"/>
      <c r="O88" s="144"/>
      <c r="P88" s="144"/>
      <c r="Q88" s="144"/>
      <c r="R88" s="144"/>
      <c r="S88" s="144"/>
      <c r="T88" s="144"/>
      <c r="U88" s="144"/>
      <c r="V88" s="144"/>
      <c r="W88" s="146"/>
      <c r="X88" s="146">
        <v>34410854</v>
      </c>
      <c r="Y88" s="142">
        <f>43589146</f>
        <v>43589146</v>
      </c>
      <c r="Z88" s="155">
        <f>SUM(N88:Y88)</f>
        <v>78000000</v>
      </c>
      <c r="AA88" s="520">
        <f>L88-Z88</f>
        <v>0</v>
      </c>
      <c r="AC88" s="83" t="s">
        <v>683</v>
      </c>
      <c r="AD88" s="89">
        <f>+I88</f>
        <v>499</v>
      </c>
      <c r="AE88" s="111">
        <f>+J88</f>
        <v>78000000</v>
      </c>
      <c r="AF88" s="117">
        <v>43004</v>
      </c>
      <c r="AG88" s="109"/>
      <c r="AH88" s="101"/>
      <c r="AI88" s="54"/>
      <c r="AJ88" s="54"/>
      <c r="AK88" s="101"/>
      <c r="AL88" s="101"/>
      <c r="AM88" s="101"/>
    </row>
    <row r="89" spans="1:39" s="116" customFormat="1">
      <c r="A89" s="255" t="s">
        <v>132</v>
      </c>
      <c r="B89" s="99">
        <f>B87-B88</f>
        <v>1000000</v>
      </c>
      <c r="C89" s="99"/>
      <c r="D89" s="99"/>
      <c r="E89" s="99"/>
      <c r="F89" s="99"/>
      <c r="G89" s="164"/>
      <c r="H89" s="144"/>
      <c r="I89" s="99"/>
      <c r="J89" s="158">
        <f>J88</f>
        <v>78000000</v>
      </c>
      <c r="K89" s="144"/>
      <c r="L89" s="144">
        <f>L88</f>
        <v>78000000</v>
      </c>
      <c r="M89" s="142"/>
      <c r="N89" s="144"/>
      <c r="O89" s="144"/>
      <c r="P89" s="144"/>
      <c r="Q89" s="144"/>
      <c r="R89" s="144"/>
      <c r="S89" s="144"/>
      <c r="T89" s="144"/>
      <c r="U89" s="144"/>
      <c r="V89" s="144">
        <f>SUM(V88)</f>
        <v>0</v>
      </c>
      <c r="W89" s="144">
        <f>SUM(W88)</f>
        <v>0</v>
      </c>
      <c r="X89" s="144">
        <f>SUM(X88)</f>
        <v>34410854</v>
      </c>
      <c r="Y89" s="476">
        <f>SUM(Y88)</f>
        <v>43589146</v>
      </c>
      <c r="Z89" s="476">
        <f t="shared" ref="Z89" si="63">SUM(Z88)</f>
        <v>78000000</v>
      </c>
      <c r="AA89" s="524">
        <f>SUM(AA88)</f>
        <v>0</v>
      </c>
      <c r="AC89" s="100"/>
      <c r="AD89" s="44"/>
      <c r="AE89" s="101"/>
      <c r="AF89" s="118"/>
      <c r="AG89" s="109"/>
      <c r="AH89" s="101"/>
      <c r="AI89" s="54"/>
      <c r="AJ89" s="54"/>
      <c r="AK89" s="101"/>
      <c r="AL89" s="101"/>
      <c r="AM89" s="101"/>
    </row>
    <row r="90" spans="1:39" s="112" customFormat="1" ht="63.75">
      <c r="A90" s="521" t="s">
        <v>180</v>
      </c>
      <c r="B90" s="54">
        <f>1000000000-117102404-59896940+107675055+15000000+85000000-362000+6784029+7163454</f>
        <v>1044261194</v>
      </c>
      <c r="C90" s="89" t="s">
        <v>78</v>
      </c>
      <c r="D90" s="108" t="s">
        <v>120</v>
      </c>
      <c r="E90" s="89" t="s">
        <v>121</v>
      </c>
      <c r="F90" s="108" t="s">
        <v>734</v>
      </c>
      <c r="G90" s="89" t="s">
        <v>122</v>
      </c>
      <c r="H90" s="65"/>
      <c r="I90" s="134"/>
      <c r="J90" s="135"/>
      <c r="K90" s="99"/>
      <c r="L90" s="99"/>
      <c r="M90" s="136"/>
      <c r="N90" s="137"/>
      <c r="O90" s="89"/>
      <c r="P90" s="89"/>
      <c r="Q90" s="89"/>
      <c r="R90" s="89"/>
      <c r="S90" s="89"/>
      <c r="T90" s="89"/>
      <c r="U90" s="89"/>
      <c r="V90" s="89"/>
      <c r="W90" s="54"/>
      <c r="X90" s="54"/>
      <c r="Y90" s="136"/>
      <c r="Z90" s="138"/>
      <c r="AA90" s="520"/>
      <c r="AC90" s="83"/>
      <c r="AD90" s="88">
        <f t="shared" ref="AD90:AD124" si="64">I90</f>
        <v>0</v>
      </c>
      <c r="AE90" s="111">
        <f t="shared" ref="AE90:AE124" si="65">J90</f>
        <v>0</v>
      </c>
      <c r="AF90" s="117"/>
      <c r="AG90" s="109">
        <f t="shared" ref="AG90:AG124" si="66">K90</f>
        <v>0</v>
      </c>
      <c r="AH90" s="111">
        <f t="shared" ref="AH90:AH124" si="67">L90</f>
        <v>0</v>
      </c>
      <c r="AI90" s="88"/>
      <c r="AJ90" s="88"/>
      <c r="AK90" s="111">
        <f t="shared" ref="AK90:AK101" si="68">M90</f>
        <v>0</v>
      </c>
      <c r="AL90" s="111"/>
      <c r="AM90" s="101">
        <f t="shared" ref="AM90:AM117" si="69">AE90-AH90</f>
        <v>0</v>
      </c>
    </row>
    <row r="91" spans="1:39" s="112" customFormat="1" ht="63.75">
      <c r="A91" s="522" t="s">
        <v>180</v>
      </c>
      <c r="B91" s="92">
        <f t="shared" ref="B91:B111" si="70">J91</f>
        <v>32450000</v>
      </c>
      <c r="C91" s="89" t="s">
        <v>78</v>
      </c>
      <c r="D91" s="108" t="s">
        <v>120</v>
      </c>
      <c r="E91" s="89" t="s">
        <v>121</v>
      </c>
      <c r="F91" s="108" t="s">
        <v>734</v>
      </c>
      <c r="G91" s="89" t="s">
        <v>122</v>
      </c>
      <c r="H91" s="64">
        <v>258</v>
      </c>
      <c r="I91" s="140">
        <v>7</v>
      </c>
      <c r="J91" s="141">
        <f>33374825-924825</f>
        <v>32450000</v>
      </c>
      <c r="K91" s="108" t="s">
        <v>1320</v>
      </c>
      <c r="L91" s="108">
        <f>32450000+924825-924825</f>
        <v>32450000</v>
      </c>
      <c r="M91" s="142">
        <v>26</v>
      </c>
      <c r="N91" s="137"/>
      <c r="O91" s="89">
        <v>2383333</v>
      </c>
      <c r="P91" s="89">
        <v>5500000</v>
      </c>
      <c r="Q91" s="89">
        <v>5500000</v>
      </c>
      <c r="R91" s="89">
        <v>5500000</v>
      </c>
      <c r="S91" s="89">
        <f>5500000</f>
        <v>5500000</v>
      </c>
      <c r="T91" s="89">
        <v>5500000</v>
      </c>
      <c r="U91" s="89">
        <f>2566667</f>
        <v>2566667</v>
      </c>
      <c r="V91" s="89"/>
      <c r="W91" s="54"/>
      <c r="X91" s="54"/>
      <c r="Y91" s="136"/>
      <c r="Z91" s="155">
        <f>SUM(N91:Y91)</f>
        <v>32450000</v>
      </c>
      <c r="AA91" s="520">
        <f>L91-Z91</f>
        <v>0</v>
      </c>
      <c r="AC91" s="83" t="s">
        <v>269</v>
      </c>
      <c r="AD91" s="88">
        <f t="shared" si="64"/>
        <v>7</v>
      </c>
      <c r="AE91" s="111">
        <f t="shared" si="65"/>
        <v>32450000</v>
      </c>
      <c r="AF91" s="117">
        <v>42746</v>
      </c>
      <c r="AG91" s="109" t="str">
        <f t="shared" si="66"/>
        <v>65-66</v>
      </c>
      <c r="AH91" s="111">
        <f t="shared" si="67"/>
        <v>32450000</v>
      </c>
      <c r="AI91" s="121">
        <v>42753</v>
      </c>
      <c r="AJ91" s="88" t="s">
        <v>300</v>
      </c>
      <c r="AK91" s="111">
        <f t="shared" si="68"/>
        <v>26</v>
      </c>
      <c r="AL91" s="111">
        <v>79649468</v>
      </c>
      <c r="AM91" s="101">
        <f t="shared" si="69"/>
        <v>0</v>
      </c>
    </row>
    <row r="92" spans="1:39" s="112" customFormat="1" ht="63.75">
      <c r="A92" s="522" t="s">
        <v>180</v>
      </c>
      <c r="B92" s="92">
        <f t="shared" si="70"/>
        <v>35340000</v>
      </c>
      <c r="C92" s="89" t="s">
        <v>78</v>
      </c>
      <c r="D92" s="108" t="s">
        <v>120</v>
      </c>
      <c r="E92" s="89" t="s">
        <v>121</v>
      </c>
      <c r="F92" s="108" t="s">
        <v>734</v>
      </c>
      <c r="G92" s="89" t="s">
        <v>122</v>
      </c>
      <c r="H92" s="64">
        <v>259</v>
      </c>
      <c r="I92" s="140">
        <v>16</v>
      </c>
      <c r="J92" s="141">
        <f>36347190-1007190</f>
        <v>35340000</v>
      </c>
      <c r="K92" s="108" t="s">
        <v>1321</v>
      </c>
      <c r="L92" s="108">
        <f>35340000+1007190-1007190</f>
        <v>35340000</v>
      </c>
      <c r="M92" s="142">
        <v>6</v>
      </c>
      <c r="N92" s="144"/>
      <c r="O92" s="108">
        <v>3100000</v>
      </c>
      <c r="P92" s="108">
        <v>6200000</v>
      </c>
      <c r="Q92" s="108">
        <v>6200000</v>
      </c>
      <c r="R92" s="108">
        <v>6200000</v>
      </c>
      <c r="S92" s="108">
        <f>6200000</f>
        <v>6200000</v>
      </c>
      <c r="T92" s="108">
        <v>6200000</v>
      </c>
      <c r="U92" s="108">
        <f>1240000</f>
        <v>1240000</v>
      </c>
      <c r="V92" s="108"/>
      <c r="W92" s="99"/>
      <c r="X92" s="99"/>
      <c r="Y92" s="143"/>
      <c r="Z92" s="155">
        <f t="shared" ref="Z92:Z134" si="71">SUM(N92:Y92)</f>
        <v>35340000</v>
      </c>
      <c r="AA92" s="520">
        <f t="shared" ref="AA92:AA134" si="72">L92-Z92</f>
        <v>0</v>
      </c>
      <c r="AC92" s="83" t="s">
        <v>271</v>
      </c>
      <c r="AD92" s="88">
        <f t="shared" si="64"/>
        <v>16</v>
      </c>
      <c r="AE92" s="111">
        <f t="shared" si="65"/>
        <v>35340000</v>
      </c>
      <c r="AF92" s="117">
        <v>42747</v>
      </c>
      <c r="AG92" s="109" t="str">
        <f t="shared" si="66"/>
        <v>28-29</v>
      </c>
      <c r="AH92" s="111">
        <f t="shared" si="67"/>
        <v>35340000</v>
      </c>
      <c r="AI92" s="121">
        <v>42751</v>
      </c>
      <c r="AJ92" s="88" t="s">
        <v>302</v>
      </c>
      <c r="AK92" s="111">
        <f t="shared" si="68"/>
        <v>6</v>
      </c>
      <c r="AL92" s="111">
        <v>75090431</v>
      </c>
      <c r="AM92" s="101">
        <f t="shared" si="69"/>
        <v>0</v>
      </c>
    </row>
    <row r="93" spans="1:39" s="112" customFormat="1" ht="63.75">
      <c r="A93" s="522" t="s">
        <v>180</v>
      </c>
      <c r="B93" s="92">
        <f t="shared" si="70"/>
        <v>31350000</v>
      </c>
      <c r="C93" s="89" t="s">
        <v>78</v>
      </c>
      <c r="D93" s="108" t="s">
        <v>120</v>
      </c>
      <c r="E93" s="89" t="s">
        <v>121</v>
      </c>
      <c r="F93" s="108" t="s">
        <v>734</v>
      </c>
      <c r="G93" s="89" t="s">
        <v>122</v>
      </c>
      <c r="H93" s="64">
        <v>260</v>
      </c>
      <c r="I93" s="140">
        <v>17</v>
      </c>
      <c r="J93" s="141">
        <f>32243475-893475</f>
        <v>31350000</v>
      </c>
      <c r="K93" s="108" t="s">
        <v>1322</v>
      </c>
      <c r="L93" s="108">
        <f>31350000+893475-893475</f>
        <v>31350000</v>
      </c>
      <c r="M93" s="142">
        <v>10</v>
      </c>
      <c r="N93" s="144"/>
      <c r="O93" s="108">
        <v>2566667</v>
      </c>
      <c r="P93" s="108">
        <v>5500000</v>
      </c>
      <c r="Q93" s="108">
        <v>5500000</v>
      </c>
      <c r="R93" s="108">
        <v>5500000</v>
      </c>
      <c r="S93" s="108">
        <f>5500000</f>
        <v>5500000</v>
      </c>
      <c r="T93" s="108">
        <v>5500000</v>
      </c>
      <c r="U93" s="108">
        <f>1283333</f>
        <v>1283333</v>
      </c>
      <c r="V93" s="108"/>
      <c r="W93" s="99"/>
      <c r="X93" s="99"/>
      <c r="Y93" s="143"/>
      <c r="Z93" s="155">
        <f t="shared" si="71"/>
        <v>31350000</v>
      </c>
      <c r="AA93" s="520">
        <f t="shared" si="72"/>
        <v>0</v>
      </c>
      <c r="AC93" s="83" t="s">
        <v>272</v>
      </c>
      <c r="AD93" s="88">
        <f t="shared" si="64"/>
        <v>17</v>
      </c>
      <c r="AE93" s="111">
        <f t="shared" si="65"/>
        <v>31350000</v>
      </c>
      <c r="AF93" s="117">
        <v>42747</v>
      </c>
      <c r="AG93" s="109" t="str">
        <f t="shared" si="66"/>
        <v>42-43</v>
      </c>
      <c r="AH93" s="111">
        <f t="shared" si="67"/>
        <v>31350000</v>
      </c>
      <c r="AI93" s="121">
        <v>42752</v>
      </c>
      <c r="AJ93" s="88" t="s">
        <v>303</v>
      </c>
      <c r="AK93" s="111">
        <f t="shared" si="68"/>
        <v>10</v>
      </c>
      <c r="AL93" s="111">
        <v>1019025212</v>
      </c>
      <c r="AM93" s="101">
        <f t="shared" si="69"/>
        <v>0</v>
      </c>
    </row>
    <row r="94" spans="1:39" s="112" customFormat="1" ht="63.75">
      <c r="A94" s="522" t="s">
        <v>180</v>
      </c>
      <c r="B94" s="92">
        <f t="shared" si="70"/>
        <v>65450000</v>
      </c>
      <c r="C94" s="89" t="s">
        <v>78</v>
      </c>
      <c r="D94" s="108" t="s">
        <v>120</v>
      </c>
      <c r="E94" s="89" t="s">
        <v>121</v>
      </c>
      <c r="F94" s="108" t="s">
        <v>734</v>
      </c>
      <c r="G94" s="89" t="s">
        <v>122</v>
      </c>
      <c r="H94" s="64">
        <v>256</v>
      </c>
      <c r="I94" s="140" t="s">
        <v>937</v>
      </c>
      <c r="J94" s="141">
        <f>58641642-1624975+8433333</f>
        <v>65450000</v>
      </c>
      <c r="K94" s="108" t="s">
        <v>1323</v>
      </c>
      <c r="L94" s="108">
        <f>57016667+1624975-1624975+8433333</f>
        <v>65450000</v>
      </c>
      <c r="M94" s="142">
        <v>34</v>
      </c>
      <c r="N94" s="144"/>
      <c r="O94" s="108">
        <v>2200000</v>
      </c>
      <c r="P94" s="108">
        <v>5500000</v>
      </c>
      <c r="Q94" s="108">
        <f>916667+4583333</f>
        <v>5500000</v>
      </c>
      <c r="R94" s="108">
        <v>5500000</v>
      </c>
      <c r="S94" s="108">
        <f>5500000</f>
        <v>5500000</v>
      </c>
      <c r="T94" s="108">
        <v>5500000</v>
      </c>
      <c r="U94" s="108">
        <f>5500000</f>
        <v>5500000</v>
      </c>
      <c r="V94" s="108">
        <f>5500000</f>
        <v>5500000</v>
      </c>
      <c r="W94" s="108">
        <f>5500000</f>
        <v>5500000</v>
      </c>
      <c r="X94" s="108">
        <f>5500000</f>
        <v>5500000</v>
      </c>
      <c r="Y94" s="157">
        <f>5316667+183333+5500000</f>
        <v>11000000</v>
      </c>
      <c r="Z94" s="155">
        <f t="shared" si="71"/>
        <v>62700000</v>
      </c>
      <c r="AA94" s="520">
        <f t="shared" si="72"/>
        <v>2750000</v>
      </c>
      <c r="AC94" s="83" t="s">
        <v>283</v>
      </c>
      <c r="AD94" s="88" t="str">
        <f t="shared" si="64"/>
        <v>50 - 634</v>
      </c>
      <c r="AE94" s="111">
        <f t="shared" si="65"/>
        <v>65450000</v>
      </c>
      <c r="AF94" s="117">
        <v>42751</v>
      </c>
      <c r="AG94" s="109" t="str">
        <f t="shared" si="66"/>
        <v>86-87-988</v>
      </c>
      <c r="AH94" s="111">
        <f t="shared" si="67"/>
        <v>65450000</v>
      </c>
      <c r="AI94" s="121">
        <v>42751</v>
      </c>
      <c r="AJ94" s="88" t="s">
        <v>314</v>
      </c>
      <c r="AK94" s="111">
        <f t="shared" si="68"/>
        <v>34</v>
      </c>
      <c r="AL94" s="111">
        <v>37080849</v>
      </c>
      <c r="AM94" s="101">
        <f t="shared" si="69"/>
        <v>0</v>
      </c>
    </row>
    <row r="95" spans="1:39" s="112" customFormat="1" ht="63.75">
      <c r="A95" s="522" t="s">
        <v>180</v>
      </c>
      <c r="B95" s="92">
        <f t="shared" si="70"/>
        <v>31206667</v>
      </c>
      <c r="C95" s="89" t="s">
        <v>78</v>
      </c>
      <c r="D95" s="108" t="s">
        <v>120</v>
      </c>
      <c r="E95" s="89" t="s">
        <v>121</v>
      </c>
      <c r="F95" s="108" t="s">
        <v>734</v>
      </c>
      <c r="G95" s="89" t="s">
        <v>122</v>
      </c>
      <c r="H95" s="64">
        <v>261</v>
      </c>
      <c r="I95" s="140">
        <v>119</v>
      </c>
      <c r="J95" s="141">
        <f>32096057-889390</f>
        <v>31206667</v>
      </c>
      <c r="K95" s="108" t="s">
        <v>1324</v>
      </c>
      <c r="L95" s="108">
        <f>31206667+889390-889390</f>
        <v>31206667</v>
      </c>
      <c r="M95" s="142">
        <v>104</v>
      </c>
      <c r="N95" s="144"/>
      <c r="O95" s="108"/>
      <c r="P95" s="108">
        <v>5786667</v>
      </c>
      <c r="Q95" s="108">
        <v>6200000</v>
      </c>
      <c r="R95" s="108">
        <v>6200000</v>
      </c>
      <c r="S95" s="108">
        <f>6200000</f>
        <v>6200000</v>
      </c>
      <c r="T95" s="108">
        <v>6200000</v>
      </c>
      <c r="U95" s="108">
        <f>620000</f>
        <v>620000</v>
      </c>
      <c r="V95" s="108"/>
      <c r="W95" s="99"/>
      <c r="X95" s="99"/>
      <c r="Y95" s="143"/>
      <c r="Z95" s="155">
        <f t="shared" si="71"/>
        <v>31206667</v>
      </c>
      <c r="AA95" s="520">
        <f t="shared" si="72"/>
        <v>0</v>
      </c>
      <c r="AC95" s="83" t="s">
        <v>295</v>
      </c>
      <c r="AD95" s="88">
        <f t="shared" si="64"/>
        <v>119</v>
      </c>
      <c r="AE95" s="111">
        <f t="shared" si="65"/>
        <v>31206667</v>
      </c>
      <c r="AF95" s="117">
        <v>42762</v>
      </c>
      <c r="AG95" s="109" t="str">
        <f t="shared" si="66"/>
        <v>237-238</v>
      </c>
      <c r="AH95" s="111">
        <f t="shared" si="67"/>
        <v>31206667</v>
      </c>
      <c r="AI95" s="121">
        <v>42769</v>
      </c>
      <c r="AJ95" s="88" t="s">
        <v>405</v>
      </c>
      <c r="AK95" s="111">
        <f t="shared" si="68"/>
        <v>104</v>
      </c>
      <c r="AL95" s="111">
        <v>80040472</v>
      </c>
      <c r="AM95" s="101">
        <f t="shared" si="69"/>
        <v>0</v>
      </c>
    </row>
    <row r="96" spans="1:39" s="112" customFormat="1" ht="63.75">
      <c r="A96" s="522" t="s">
        <v>180</v>
      </c>
      <c r="B96" s="92">
        <f t="shared" si="70"/>
        <v>85553333</v>
      </c>
      <c r="C96" s="89" t="s">
        <v>78</v>
      </c>
      <c r="D96" s="108" t="s">
        <v>120</v>
      </c>
      <c r="E96" s="89" t="s">
        <v>121</v>
      </c>
      <c r="F96" s="108" t="s">
        <v>734</v>
      </c>
      <c r="G96" s="89" t="s">
        <v>122</v>
      </c>
      <c r="H96" s="64">
        <v>249</v>
      </c>
      <c r="I96" s="140" t="s">
        <v>1000</v>
      </c>
      <c r="J96" s="141">
        <f>84337000-2337000+10113333-6560000</f>
        <v>85553333</v>
      </c>
      <c r="K96" s="108" t="s">
        <v>1325</v>
      </c>
      <c r="L96" s="108">
        <f>82000000+2337000-2337000+3553333</f>
        <v>85553333</v>
      </c>
      <c r="M96" s="142">
        <v>117</v>
      </c>
      <c r="N96" s="144"/>
      <c r="O96" s="108"/>
      <c r="P96" s="108"/>
      <c r="Q96" s="108">
        <f>6013333+8200000</f>
        <v>14213333</v>
      </c>
      <c r="R96" s="108">
        <f>8200000</f>
        <v>8200000</v>
      </c>
      <c r="S96" s="108">
        <f>8200000</f>
        <v>8200000</v>
      </c>
      <c r="T96" s="108">
        <v>8200000</v>
      </c>
      <c r="U96" s="108">
        <f>8200000</f>
        <v>8200000</v>
      </c>
      <c r="V96" s="108">
        <f>8200000</f>
        <v>8200000</v>
      </c>
      <c r="W96" s="108">
        <f>8200000</f>
        <v>8200000</v>
      </c>
      <c r="X96" s="108">
        <f>5740000</f>
        <v>5740000</v>
      </c>
      <c r="Y96" s="157">
        <f>8200000+4646667+3553333</f>
        <v>16400000</v>
      </c>
      <c r="Z96" s="155">
        <f t="shared" si="71"/>
        <v>85553333</v>
      </c>
      <c r="AA96" s="520">
        <f t="shared" si="72"/>
        <v>0</v>
      </c>
      <c r="AC96" s="83" t="s">
        <v>376</v>
      </c>
      <c r="AD96" s="88" t="str">
        <f t="shared" si="64"/>
        <v>139 - 701</v>
      </c>
      <c r="AE96" s="111">
        <f t="shared" si="65"/>
        <v>85553333</v>
      </c>
      <c r="AF96" s="117">
        <v>42767</v>
      </c>
      <c r="AG96" s="109" t="str">
        <f t="shared" si="66"/>
        <v>269-270 - 1100</v>
      </c>
      <c r="AH96" s="111">
        <f t="shared" si="67"/>
        <v>85553333</v>
      </c>
      <c r="AI96" s="121">
        <v>42774</v>
      </c>
      <c r="AJ96" s="88" t="s">
        <v>406</v>
      </c>
      <c r="AK96" s="111">
        <f t="shared" si="68"/>
        <v>117</v>
      </c>
      <c r="AL96" s="111">
        <v>51770266</v>
      </c>
      <c r="AM96" s="101">
        <f t="shared" si="69"/>
        <v>0</v>
      </c>
    </row>
    <row r="97" spans="1:39" s="112" customFormat="1" ht="89.25">
      <c r="A97" s="522" t="s">
        <v>180</v>
      </c>
      <c r="B97" s="92">
        <f t="shared" si="70"/>
        <v>96000000</v>
      </c>
      <c r="C97" s="89" t="s">
        <v>78</v>
      </c>
      <c r="D97" s="108" t="s">
        <v>120</v>
      </c>
      <c r="E97" s="89" t="s">
        <v>121</v>
      </c>
      <c r="F97" s="108" t="s">
        <v>734</v>
      </c>
      <c r="G97" s="89" t="s">
        <v>122</v>
      </c>
      <c r="H97" s="64">
        <v>250</v>
      </c>
      <c r="I97" s="140" t="s">
        <v>910</v>
      </c>
      <c r="J97" s="141">
        <f>80223000-80223000+78000000+18000000</f>
        <v>96000000</v>
      </c>
      <c r="K97" s="108" t="s">
        <v>980</v>
      </c>
      <c r="L97" s="108">
        <f>78000000+18000000</f>
        <v>96000000</v>
      </c>
      <c r="M97" s="142">
        <v>144</v>
      </c>
      <c r="N97" s="144"/>
      <c r="O97" s="108"/>
      <c r="P97" s="108"/>
      <c r="Q97" s="108">
        <f>2100000+9000000</f>
        <v>11100000</v>
      </c>
      <c r="R97" s="108">
        <v>9000000</v>
      </c>
      <c r="S97" s="108">
        <f>9000000</f>
        <v>9000000</v>
      </c>
      <c r="T97" s="108">
        <v>9000000</v>
      </c>
      <c r="U97" s="108">
        <f>9000000</f>
        <v>9000000</v>
      </c>
      <c r="V97" s="108">
        <f>9000000</f>
        <v>9000000</v>
      </c>
      <c r="W97" s="108">
        <f>9000000</f>
        <v>9000000</v>
      </c>
      <c r="X97" s="108">
        <f>9000000</f>
        <v>9000000</v>
      </c>
      <c r="Y97" s="157">
        <f>3900000+5100000+9000000</f>
        <v>18000000</v>
      </c>
      <c r="Z97" s="155">
        <f t="shared" si="71"/>
        <v>92100000</v>
      </c>
      <c r="AA97" s="520">
        <f t="shared" si="72"/>
        <v>3900000</v>
      </c>
      <c r="AC97" s="83" t="s">
        <v>438</v>
      </c>
      <c r="AD97" s="88" t="str">
        <f t="shared" si="64"/>
        <v>165 - 589</v>
      </c>
      <c r="AE97" s="111">
        <f t="shared" si="65"/>
        <v>96000000</v>
      </c>
      <c r="AF97" s="117">
        <v>42779</v>
      </c>
      <c r="AG97" s="109" t="str">
        <f t="shared" si="66"/>
        <v>319 - 932</v>
      </c>
      <c r="AH97" s="111">
        <f t="shared" si="67"/>
        <v>96000000</v>
      </c>
      <c r="AI97" s="121">
        <v>42790</v>
      </c>
      <c r="AJ97" s="88" t="s">
        <v>484</v>
      </c>
      <c r="AK97" s="111">
        <f t="shared" si="68"/>
        <v>144</v>
      </c>
      <c r="AL97" s="111">
        <v>52029530</v>
      </c>
      <c r="AM97" s="101">
        <f t="shared" si="69"/>
        <v>0</v>
      </c>
    </row>
    <row r="98" spans="1:39" s="112" customFormat="1" ht="63.75">
      <c r="A98" s="522" t="s">
        <v>180</v>
      </c>
      <c r="B98" s="92">
        <f t="shared" si="70"/>
        <v>7324218</v>
      </c>
      <c r="C98" s="89" t="s">
        <v>78</v>
      </c>
      <c r="D98" s="108" t="s">
        <v>120</v>
      </c>
      <c r="E98" s="89" t="s">
        <v>121</v>
      </c>
      <c r="F98" s="108" t="s">
        <v>734</v>
      </c>
      <c r="G98" s="89" t="s">
        <v>122</v>
      </c>
      <c r="H98" s="64"/>
      <c r="I98" s="140">
        <v>207</v>
      </c>
      <c r="J98" s="141">
        <f>7324218</f>
        <v>7324218</v>
      </c>
      <c r="K98" s="108">
        <v>330</v>
      </c>
      <c r="L98" s="108">
        <v>7324218</v>
      </c>
      <c r="M98" s="142">
        <v>341</v>
      </c>
      <c r="N98" s="144"/>
      <c r="O98" s="108"/>
      <c r="P98" s="108"/>
      <c r="Q98" s="108">
        <v>7080078</v>
      </c>
      <c r="R98" s="108">
        <v>244140</v>
      </c>
      <c r="S98" s="108"/>
      <c r="T98" s="108"/>
      <c r="U98" s="108"/>
      <c r="V98" s="108"/>
      <c r="W98" s="99"/>
      <c r="X98" s="99"/>
      <c r="Y98" s="143"/>
      <c r="Z98" s="155">
        <f t="shared" si="71"/>
        <v>7324218</v>
      </c>
      <c r="AA98" s="520">
        <f t="shared" si="72"/>
        <v>0</v>
      </c>
      <c r="AC98" s="83" t="s">
        <v>487</v>
      </c>
      <c r="AD98" s="88">
        <f t="shared" si="64"/>
        <v>207</v>
      </c>
      <c r="AE98" s="111">
        <f t="shared" si="65"/>
        <v>7324218</v>
      </c>
      <c r="AF98" s="117">
        <v>42795</v>
      </c>
      <c r="AG98" s="109">
        <f t="shared" si="66"/>
        <v>330</v>
      </c>
      <c r="AH98" s="111">
        <f t="shared" si="67"/>
        <v>7324218</v>
      </c>
      <c r="AI98" s="121">
        <v>42795</v>
      </c>
      <c r="AJ98" s="88" t="s">
        <v>517</v>
      </c>
      <c r="AK98" s="111">
        <f t="shared" si="68"/>
        <v>341</v>
      </c>
      <c r="AL98" s="111">
        <v>51619510</v>
      </c>
      <c r="AM98" s="101">
        <f t="shared" si="69"/>
        <v>0</v>
      </c>
    </row>
    <row r="99" spans="1:39" s="112" customFormat="1" ht="63.75">
      <c r="A99" s="522" t="s">
        <v>180</v>
      </c>
      <c r="B99" s="92">
        <f t="shared" si="70"/>
        <v>3000000</v>
      </c>
      <c r="C99" s="89" t="s">
        <v>78</v>
      </c>
      <c r="D99" s="108" t="s">
        <v>120</v>
      </c>
      <c r="E99" s="89" t="s">
        <v>121</v>
      </c>
      <c r="F99" s="108" t="s">
        <v>734</v>
      </c>
      <c r="G99" s="89" t="s">
        <v>122</v>
      </c>
      <c r="H99" s="64">
        <v>252</v>
      </c>
      <c r="I99" s="140">
        <v>209</v>
      </c>
      <c r="J99" s="141">
        <v>3000000</v>
      </c>
      <c r="K99" s="108">
        <v>354</v>
      </c>
      <c r="L99" s="108">
        <v>3000000</v>
      </c>
      <c r="M99" s="142">
        <v>163</v>
      </c>
      <c r="N99" s="144"/>
      <c r="O99" s="108"/>
      <c r="P99" s="108"/>
      <c r="Q99" s="108">
        <v>1800000</v>
      </c>
      <c r="R99" s="108">
        <v>1200000</v>
      </c>
      <c r="S99" s="108"/>
      <c r="T99" s="108"/>
      <c r="U99" s="108"/>
      <c r="V99" s="108"/>
      <c r="W99" s="99"/>
      <c r="X99" s="99"/>
      <c r="Y99" s="143"/>
      <c r="Z99" s="155">
        <f t="shared" si="71"/>
        <v>3000000</v>
      </c>
      <c r="AA99" s="520">
        <f t="shared" si="72"/>
        <v>0</v>
      </c>
      <c r="AC99" s="83" t="s">
        <v>489</v>
      </c>
      <c r="AD99" s="88">
        <f t="shared" si="64"/>
        <v>209</v>
      </c>
      <c r="AE99" s="111">
        <f t="shared" si="65"/>
        <v>3000000</v>
      </c>
      <c r="AF99" s="117">
        <v>42797</v>
      </c>
      <c r="AG99" s="109">
        <f t="shared" si="66"/>
        <v>354</v>
      </c>
      <c r="AH99" s="111">
        <f t="shared" si="67"/>
        <v>3000000</v>
      </c>
      <c r="AI99" s="121">
        <v>42804</v>
      </c>
      <c r="AJ99" s="88" t="s">
        <v>520</v>
      </c>
      <c r="AK99" s="111">
        <f t="shared" si="68"/>
        <v>163</v>
      </c>
      <c r="AL99" s="111">
        <v>1015395477</v>
      </c>
      <c r="AM99" s="101">
        <f t="shared" si="69"/>
        <v>0</v>
      </c>
    </row>
    <row r="100" spans="1:39" s="112" customFormat="1" ht="63.75">
      <c r="A100" s="522" t="s">
        <v>180</v>
      </c>
      <c r="B100" s="92">
        <f t="shared" si="70"/>
        <v>11840000</v>
      </c>
      <c r="C100" s="89" t="s">
        <v>78</v>
      </c>
      <c r="D100" s="108" t="s">
        <v>120</v>
      </c>
      <c r="E100" s="89" t="s">
        <v>121</v>
      </c>
      <c r="F100" s="108" t="s">
        <v>734</v>
      </c>
      <c r="G100" s="89" t="s">
        <v>122</v>
      </c>
      <c r="H100" s="64">
        <v>251</v>
      </c>
      <c r="I100" s="140" t="s">
        <v>652</v>
      </c>
      <c r="J100" s="141">
        <f>9600000+2240000</f>
        <v>11840000</v>
      </c>
      <c r="K100" s="108" t="s">
        <v>660</v>
      </c>
      <c r="L100" s="108">
        <f>9600000+2240000</f>
        <v>11840000</v>
      </c>
      <c r="M100" s="142">
        <v>164</v>
      </c>
      <c r="N100" s="144"/>
      <c r="O100" s="99"/>
      <c r="P100" s="99"/>
      <c r="Q100" s="108">
        <v>2240000</v>
      </c>
      <c r="R100" s="108">
        <v>3200000</v>
      </c>
      <c r="S100" s="108">
        <f>3200000</f>
        <v>3200000</v>
      </c>
      <c r="T100" s="108">
        <f>960000+2240000</f>
        <v>3200000</v>
      </c>
      <c r="U100" s="99"/>
      <c r="V100" s="99"/>
      <c r="W100" s="99"/>
      <c r="X100" s="99"/>
      <c r="Y100" s="143"/>
      <c r="Z100" s="155">
        <f t="shared" si="71"/>
        <v>11840000</v>
      </c>
      <c r="AA100" s="520">
        <f t="shared" si="72"/>
        <v>0</v>
      </c>
      <c r="AC100" s="83" t="s">
        <v>490</v>
      </c>
      <c r="AD100" s="88" t="str">
        <f t="shared" si="64"/>
        <v>213-350</v>
      </c>
      <c r="AE100" s="111">
        <f t="shared" si="65"/>
        <v>11840000</v>
      </c>
      <c r="AF100" s="117">
        <v>42800</v>
      </c>
      <c r="AG100" s="109" t="str">
        <f t="shared" si="66"/>
        <v>356-552</v>
      </c>
      <c r="AH100" s="111">
        <f t="shared" si="67"/>
        <v>11840000</v>
      </c>
      <c r="AI100" s="121">
        <v>42804</v>
      </c>
      <c r="AJ100" s="88" t="s">
        <v>522</v>
      </c>
      <c r="AK100" s="111">
        <f t="shared" si="68"/>
        <v>164</v>
      </c>
      <c r="AL100" s="111">
        <v>80182606</v>
      </c>
      <c r="AM100" s="101">
        <f t="shared" si="69"/>
        <v>0</v>
      </c>
    </row>
    <row r="101" spans="1:39" s="112" customFormat="1" ht="63.75">
      <c r="A101" s="522" t="s">
        <v>180</v>
      </c>
      <c r="B101" s="92">
        <f t="shared" si="70"/>
        <v>27410336</v>
      </c>
      <c r="C101" s="89" t="s">
        <v>78</v>
      </c>
      <c r="D101" s="108" t="s">
        <v>120</v>
      </c>
      <c r="E101" s="89" t="s">
        <v>121</v>
      </c>
      <c r="F101" s="108" t="s">
        <v>734</v>
      </c>
      <c r="G101" s="89" t="s">
        <v>122</v>
      </c>
      <c r="H101" s="64">
        <v>263</v>
      </c>
      <c r="I101" s="140" t="s">
        <v>966</v>
      </c>
      <c r="J101" s="141">
        <f>24052116+3358220</f>
        <v>27410336</v>
      </c>
      <c r="K101" s="108" t="s">
        <v>1149</v>
      </c>
      <c r="L101" s="108">
        <f>24052116+3358220</f>
        <v>27410336</v>
      </c>
      <c r="M101" s="142">
        <v>168</v>
      </c>
      <c r="N101" s="144"/>
      <c r="O101" s="99"/>
      <c r="P101" s="99"/>
      <c r="Q101" s="108">
        <v>1542966</v>
      </c>
      <c r="R101" s="108">
        <v>2722881</v>
      </c>
      <c r="S101" s="108">
        <f>2722881</f>
        <v>2722881</v>
      </c>
      <c r="T101" s="108">
        <v>2722881</v>
      </c>
      <c r="U101" s="108">
        <f>2722881</f>
        <v>2722881</v>
      </c>
      <c r="V101" s="108">
        <f>2722881</f>
        <v>2722881</v>
      </c>
      <c r="W101" s="108">
        <f>2722881</f>
        <v>2722881</v>
      </c>
      <c r="X101" s="108">
        <f>2722881</f>
        <v>2722881</v>
      </c>
      <c r="Y101" s="157">
        <f>2722881+726102+1996779</f>
        <v>5445762</v>
      </c>
      <c r="Z101" s="155">
        <f t="shared" si="71"/>
        <v>26048895</v>
      </c>
      <c r="AA101" s="520">
        <f t="shared" si="72"/>
        <v>1361441</v>
      </c>
      <c r="AC101" s="83" t="s">
        <v>497</v>
      </c>
      <c r="AD101" s="88" t="str">
        <f t="shared" si="64"/>
        <v>222 - 678</v>
      </c>
      <c r="AE101" s="111">
        <f t="shared" si="65"/>
        <v>27410336</v>
      </c>
      <c r="AF101" s="117">
        <v>42804</v>
      </c>
      <c r="AG101" s="109" t="str">
        <f t="shared" si="66"/>
        <v>359 - 1031</v>
      </c>
      <c r="AH101" s="111">
        <f t="shared" si="67"/>
        <v>27410336</v>
      </c>
      <c r="AI101" s="121">
        <v>42808</v>
      </c>
      <c r="AJ101" s="88" t="s">
        <v>540</v>
      </c>
      <c r="AK101" s="111">
        <f t="shared" si="68"/>
        <v>168</v>
      </c>
      <c r="AL101" s="111">
        <v>53101716</v>
      </c>
      <c r="AM101" s="101">
        <f t="shared" si="69"/>
        <v>0</v>
      </c>
    </row>
    <row r="102" spans="1:39" s="112" customFormat="1" ht="67.5" customHeight="1">
      <c r="A102" s="522" t="s">
        <v>180</v>
      </c>
      <c r="B102" s="92">
        <f t="shared" si="70"/>
        <v>20360000</v>
      </c>
      <c r="C102" s="89" t="s">
        <v>78</v>
      </c>
      <c r="D102" s="108" t="s">
        <v>120</v>
      </c>
      <c r="E102" s="89" t="s">
        <v>121</v>
      </c>
      <c r="F102" s="108" t="s">
        <v>734</v>
      </c>
      <c r="G102" s="89" t="s">
        <v>122</v>
      </c>
      <c r="H102" s="64">
        <v>276</v>
      </c>
      <c r="I102" s="140">
        <v>231</v>
      </c>
      <c r="J102" s="141">
        <v>20360000</v>
      </c>
      <c r="K102" s="108">
        <v>386</v>
      </c>
      <c r="L102" s="108">
        <v>20360000</v>
      </c>
      <c r="M102" s="142">
        <v>185</v>
      </c>
      <c r="N102" s="144"/>
      <c r="O102" s="99"/>
      <c r="P102" s="99"/>
      <c r="Q102" s="108"/>
      <c r="R102" s="108">
        <v>5022133</v>
      </c>
      <c r="S102" s="108">
        <f>4072000</f>
        <v>4072000</v>
      </c>
      <c r="T102" s="108">
        <v>4072000</v>
      </c>
      <c r="U102" s="108">
        <f>4072000</f>
        <v>4072000</v>
      </c>
      <c r="V102" s="108">
        <f>3121867</f>
        <v>3121867</v>
      </c>
      <c r="W102" s="99"/>
      <c r="X102" s="99"/>
      <c r="Y102" s="143"/>
      <c r="Z102" s="155">
        <f t="shared" si="71"/>
        <v>20360000</v>
      </c>
      <c r="AA102" s="520">
        <f t="shared" si="72"/>
        <v>0</v>
      </c>
      <c r="AC102" s="83" t="s">
        <v>499</v>
      </c>
      <c r="AD102" s="88">
        <f t="shared" si="64"/>
        <v>231</v>
      </c>
      <c r="AE102" s="111">
        <f t="shared" si="65"/>
        <v>20360000</v>
      </c>
      <c r="AF102" s="117">
        <v>42809</v>
      </c>
      <c r="AG102" s="109">
        <f t="shared" si="66"/>
        <v>386</v>
      </c>
      <c r="AH102" s="111">
        <f t="shared" si="67"/>
        <v>20360000</v>
      </c>
      <c r="AI102" s="121">
        <v>42818</v>
      </c>
      <c r="AJ102" s="88" t="s">
        <v>561</v>
      </c>
      <c r="AK102" s="111">
        <f t="shared" ref="AK102:AK108" si="73">M102</f>
        <v>185</v>
      </c>
      <c r="AL102" s="111">
        <v>1070304709</v>
      </c>
      <c r="AM102" s="101">
        <f t="shared" si="69"/>
        <v>0</v>
      </c>
    </row>
    <row r="103" spans="1:39" s="112" customFormat="1" ht="63.75">
      <c r="A103" s="522" t="s">
        <v>180</v>
      </c>
      <c r="B103" s="92">
        <f t="shared" si="70"/>
        <v>44056639</v>
      </c>
      <c r="C103" s="89" t="s">
        <v>78</v>
      </c>
      <c r="D103" s="108" t="s">
        <v>120</v>
      </c>
      <c r="E103" s="89" t="s">
        <v>121</v>
      </c>
      <c r="F103" s="108" t="s">
        <v>734</v>
      </c>
      <c r="G103" s="89" t="s">
        <v>122</v>
      </c>
      <c r="H103" s="64">
        <v>255</v>
      </c>
      <c r="I103" s="140" t="s">
        <v>968</v>
      </c>
      <c r="J103" s="141">
        <f>38726958-101960+5431641</f>
        <v>44056639</v>
      </c>
      <c r="K103" s="108" t="s">
        <v>1148</v>
      </c>
      <c r="L103" s="108">
        <f>38624998+5431641</f>
        <v>44056639</v>
      </c>
      <c r="M103" s="142">
        <v>189</v>
      </c>
      <c r="N103" s="144"/>
      <c r="O103" s="99"/>
      <c r="P103" s="99"/>
      <c r="Q103" s="108">
        <v>1056152</v>
      </c>
      <c r="R103" s="108">
        <v>4526367</v>
      </c>
      <c r="S103" s="108">
        <f>4526367</f>
        <v>4526367</v>
      </c>
      <c r="T103" s="108">
        <v>4526367</v>
      </c>
      <c r="U103" s="108">
        <f>4526367</f>
        <v>4526367</v>
      </c>
      <c r="V103" s="108">
        <f>4526367</f>
        <v>4526367</v>
      </c>
      <c r="W103" s="108">
        <f>4526367</f>
        <v>4526367</v>
      </c>
      <c r="X103" s="108">
        <f>4526367</f>
        <v>4526367</v>
      </c>
      <c r="Y103" s="157">
        <f>4526367+1357910+3168457</f>
        <v>9052734</v>
      </c>
      <c r="Z103" s="155">
        <f t="shared" si="71"/>
        <v>41793455</v>
      </c>
      <c r="AA103" s="520">
        <f t="shared" si="72"/>
        <v>2263184</v>
      </c>
      <c r="AC103" s="83" t="s">
        <v>528</v>
      </c>
      <c r="AD103" s="88" t="str">
        <f t="shared" si="64"/>
        <v>239 - 680</v>
      </c>
      <c r="AE103" s="111">
        <f t="shared" si="65"/>
        <v>44056639</v>
      </c>
      <c r="AF103" s="117">
        <v>42816</v>
      </c>
      <c r="AG103" s="109" t="str">
        <f t="shared" si="66"/>
        <v>390 - 1029</v>
      </c>
      <c r="AH103" s="111">
        <f t="shared" si="67"/>
        <v>44056639</v>
      </c>
      <c r="AI103" s="121">
        <v>42818</v>
      </c>
      <c r="AJ103" s="88" t="s">
        <v>563</v>
      </c>
      <c r="AK103" s="111">
        <f t="shared" si="73"/>
        <v>189</v>
      </c>
      <c r="AL103" s="111">
        <v>1013614194</v>
      </c>
      <c r="AM103" s="101">
        <f t="shared" si="69"/>
        <v>0</v>
      </c>
    </row>
    <row r="104" spans="1:39" s="112" customFormat="1" ht="63.75">
      <c r="A104" s="522" t="s">
        <v>180</v>
      </c>
      <c r="B104" s="92">
        <f t="shared" si="70"/>
        <v>25815233</v>
      </c>
      <c r="C104" s="89" t="s">
        <v>78</v>
      </c>
      <c r="D104" s="108" t="s">
        <v>120</v>
      </c>
      <c r="E104" s="89" t="s">
        <v>121</v>
      </c>
      <c r="F104" s="108" t="s">
        <v>734</v>
      </c>
      <c r="G104" s="89" t="s">
        <v>122</v>
      </c>
      <c r="H104" s="64">
        <v>264</v>
      </c>
      <c r="I104" s="140" t="s">
        <v>967</v>
      </c>
      <c r="J104" s="141">
        <f>22102083+3713150</f>
        <v>25815233</v>
      </c>
      <c r="K104" s="108" t="s">
        <v>1147</v>
      </c>
      <c r="L104" s="108">
        <f>22102083+3713150</f>
        <v>25815233</v>
      </c>
      <c r="M104" s="142">
        <v>182</v>
      </c>
      <c r="N104" s="144"/>
      <c r="O104" s="99"/>
      <c r="P104" s="99"/>
      <c r="Q104" s="108"/>
      <c r="R104" s="108">
        <v>3271108</v>
      </c>
      <c r="S104" s="108">
        <f>2652250</f>
        <v>2652250</v>
      </c>
      <c r="T104" s="108">
        <v>2652250</v>
      </c>
      <c r="U104" s="108">
        <f>2652250</f>
        <v>2652250</v>
      </c>
      <c r="V104" s="108">
        <f>2652250</f>
        <v>2652250</v>
      </c>
      <c r="W104" s="108">
        <f>2652250</f>
        <v>2652250</v>
      </c>
      <c r="X104" s="108">
        <f>2652250</f>
        <v>2652250</v>
      </c>
      <c r="Y104" s="157">
        <f>2652250+265225+2387025</f>
        <v>5304500</v>
      </c>
      <c r="Z104" s="155">
        <f t="shared" si="71"/>
        <v>24489108</v>
      </c>
      <c r="AA104" s="520">
        <f t="shared" si="72"/>
        <v>1326125</v>
      </c>
      <c r="AC104" s="83" t="s">
        <v>548</v>
      </c>
      <c r="AD104" s="88" t="str">
        <f t="shared" si="64"/>
        <v>240 - 679</v>
      </c>
      <c r="AE104" s="111">
        <f t="shared" si="65"/>
        <v>25815233</v>
      </c>
      <c r="AF104" s="117">
        <v>42816</v>
      </c>
      <c r="AG104" s="109" t="str">
        <f t="shared" si="66"/>
        <v>384 - 999</v>
      </c>
      <c r="AH104" s="111">
        <f t="shared" si="67"/>
        <v>25815233</v>
      </c>
      <c r="AI104" s="121">
        <v>42818</v>
      </c>
      <c r="AJ104" s="88" t="s">
        <v>560</v>
      </c>
      <c r="AK104" s="111">
        <f t="shared" si="73"/>
        <v>182</v>
      </c>
      <c r="AL104" s="111">
        <v>1022338965</v>
      </c>
      <c r="AM104" s="101">
        <f t="shared" si="69"/>
        <v>0</v>
      </c>
    </row>
    <row r="105" spans="1:39" s="112" customFormat="1" ht="63.75">
      <c r="A105" s="522" t="s">
        <v>180</v>
      </c>
      <c r="B105" s="92">
        <f t="shared" si="70"/>
        <v>695100</v>
      </c>
      <c r="C105" s="89" t="s">
        <v>78</v>
      </c>
      <c r="D105" s="108" t="s">
        <v>120</v>
      </c>
      <c r="E105" s="89" t="s">
        <v>121</v>
      </c>
      <c r="F105" s="108" t="s">
        <v>734</v>
      </c>
      <c r="G105" s="89" t="s">
        <v>122</v>
      </c>
      <c r="H105" s="64">
        <v>295</v>
      </c>
      <c r="I105" s="140">
        <v>261</v>
      </c>
      <c r="J105" s="141">
        <v>695100</v>
      </c>
      <c r="K105" s="108">
        <v>417</v>
      </c>
      <c r="L105" s="108">
        <v>695100</v>
      </c>
      <c r="M105" s="142">
        <v>1829</v>
      </c>
      <c r="N105" s="144"/>
      <c r="O105" s="99"/>
      <c r="P105" s="99"/>
      <c r="Q105" s="108">
        <v>695100</v>
      </c>
      <c r="R105" s="108"/>
      <c r="S105" s="108"/>
      <c r="T105" s="108"/>
      <c r="U105" s="108"/>
      <c r="V105" s="108"/>
      <c r="W105" s="99"/>
      <c r="X105" s="99"/>
      <c r="Y105" s="143"/>
      <c r="Z105" s="155">
        <f t="shared" si="71"/>
        <v>695100</v>
      </c>
      <c r="AA105" s="520">
        <f t="shared" si="72"/>
        <v>0</v>
      </c>
      <c r="AC105" s="83" t="s">
        <v>573</v>
      </c>
      <c r="AD105" s="88">
        <f t="shared" si="64"/>
        <v>261</v>
      </c>
      <c r="AE105" s="111">
        <f t="shared" si="65"/>
        <v>695100</v>
      </c>
      <c r="AF105" s="117">
        <v>42829</v>
      </c>
      <c r="AG105" s="109">
        <f t="shared" si="66"/>
        <v>417</v>
      </c>
      <c r="AH105" s="111">
        <f t="shared" si="67"/>
        <v>695100</v>
      </c>
      <c r="AI105" s="121">
        <v>42831</v>
      </c>
      <c r="AJ105" s="88" t="s">
        <v>594</v>
      </c>
      <c r="AK105" s="111">
        <f t="shared" si="73"/>
        <v>1829</v>
      </c>
      <c r="AL105" s="111">
        <v>860506170</v>
      </c>
      <c r="AM105" s="101">
        <f t="shared" si="69"/>
        <v>0</v>
      </c>
    </row>
    <row r="106" spans="1:39" s="112" customFormat="1" ht="63.75">
      <c r="A106" s="522" t="s">
        <v>180</v>
      </c>
      <c r="B106" s="92">
        <f t="shared" si="70"/>
        <v>61525333</v>
      </c>
      <c r="C106" s="89" t="s">
        <v>78</v>
      </c>
      <c r="D106" s="108" t="s">
        <v>120</v>
      </c>
      <c r="E106" s="89" t="s">
        <v>121</v>
      </c>
      <c r="F106" s="108" t="s">
        <v>734</v>
      </c>
      <c r="G106" s="89" t="s">
        <v>122</v>
      </c>
      <c r="H106" s="64">
        <v>253</v>
      </c>
      <c r="I106" s="140" t="s">
        <v>1001</v>
      </c>
      <c r="J106" s="141">
        <f>58229333+3296000</f>
        <v>61525333</v>
      </c>
      <c r="K106" s="108" t="s">
        <v>1146</v>
      </c>
      <c r="L106" s="108">
        <f>58229333+3296000</f>
        <v>61525333</v>
      </c>
      <c r="M106" s="142">
        <v>201</v>
      </c>
      <c r="N106" s="144"/>
      <c r="O106" s="99"/>
      <c r="P106" s="99"/>
      <c r="Q106" s="99"/>
      <c r="R106" s="108">
        <v>5493333</v>
      </c>
      <c r="S106" s="108">
        <f>6592000</f>
        <v>6592000</v>
      </c>
      <c r="T106" s="108">
        <v>6592000</v>
      </c>
      <c r="U106" s="108">
        <f>6592000</f>
        <v>6592000</v>
      </c>
      <c r="V106" s="108">
        <f>6592000</f>
        <v>6592000</v>
      </c>
      <c r="W106" s="108">
        <f>6592000</f>
        <v>6592000</v>
      </c>
      <c r="X106" s="108">
        <f>6592000</f>
        <v>6592000</v>
      </c>
      <c r="Y106" s="157">
        <f>6592000+6592000</f>
        <v>13184000</v>
      </c>
      <c r="Z106" s="155">
        <f t="shared" si="71"/>
        <v>58229333</v>
      </c>
      <c r="AA106" s="520">
        <f t="shared" si="72"/>
        <v>3296000</v>
      </c>
      <c r="AC106" s="83" t="s">
        <v>575</v>
      </c>
      <c r="AD106" s="88" t="str">
        <f t="shared" si="64"/>
        <v>262 - 731</v>
      </c>
      <c r="AE106" s="111">
        <f t="shared" si="65"/>
        <v>61525333</v>
      </c>
      <c r="AF106" s="117">
        <v>42829</v>
      </c>
      <c r="AG106" s="109" t="str">
        <f t="shared" si="66"/>
        <v>416 - 1132</v>
      </c>
      <c r="AH106" s="111">
        <f t="shared" si="67"/>
        <v>61525333</v>
      </c>
      <c r="AI106" s="121">
        <v>42831</v>
      </c>
      <c r="AJ106" s="88" t="s">
        <v>593</v>
      </c>
      <c r="AK106" s="111">
        <f t="shared" si="73"/>
        <v>201</v>
      </c>
      <c r="AL106" s="111">
        <v>52513584</v>
      </c>
      <c r="AM106" s="101">
        <f t="shared" si="69"/>
        <v>0</v>
      </c>
    </row>
    <row r="107" spans="1:39" s="112" customFormat="1" ht="63.75">
      <c r="A107" s="522" t="s">
        <v>180</v>
      </c>
      <c r="B107" s="92">
        <f t="shared" si="70"/>
        <v>13500000</v>
      </c>
      <c r="C107" s="89" t="s">
        <v>78</v>
      </c>
      <c r="D107" s="108" t="s">
        <v>120</v>
      </c>
      <c r="E107" s="89" t="s">
        <v>121</v>
      </c>
      <c r="F107" s="108" t="s">
        <v>734</v>
      </c>
      <c r="G107" s="89" t="s">
        <v>122</v>
      </c>
      <c r="H107" s="64">
        <v>257</v>
      </c>
      <c r="I107" s="140">
        <v>263</v>
      </c>
      <c r="J107" s="141">
        <v>13500000</v>
      </c>
      <c r="K107" s="108">
        <v>427</v>
      </c>
      <c r="L107" s="108">
        <v>13500000</v>
      </c>
      <c r="M107" s="142">
        <v>203</v>
      </c>
      <c r="N107" s="144"/>
      <c r="O107" s="99"/>
      <c r="P107" s="99"/>
      <c r="Q107" s="99"/>
      <c r="R107" s="108">
        <v>7200000</v>
      </c>
      <c r="S107" s="108">
        <f>4200000</f>
        <v>4200000</v>
      </c>
      <c r="T107" s="108">
        <v>2100000</v>
      </c>
      <c r="U107" s="99"/>
      <c r="V107" s="99"/>
      <c r="W107" s="99"/>
      <c r="X107" s="99"/>
      <c r="Y107" s="143"/>
      <c r="Z107" s="155">
        <f t="shared" si="71"/>
        <v>13500000</v>
      </c>
      <c r="AA107" s="520">
        <f t="shared" si="72"/>
        <v>0</v>
      </c>
      <c r="AC107" s="83" t="s">
        <v>576</v>
      </c>
      <c r="AD107" s="88">
        <f t="shared" si="64"/>
        <v>263</v>
      </c>
      <c r="AE107" s="111">
        <f t="shared" si="65"/>
        <v>13500000</v>
      </c>
      <c r="AF107" s="117">
        <v>42829</v>
      </c>
      <c r="AG107" s="109">
        <f t="shared" si="66"/>
        <v>427</v>
      </c>
      <c r="AH107" s="111">
        <f t="shared" si="67"/>
        <v>13500000</v>
      </c>
      <c r="AI107" s="121">
        <v>42832</v>
      </c>
      <c r="AJ107" s="88" t="s">
        <v>517</v>
      </c>
      <c r="AK107" s="111">
        <f t="shared" si="73"/>
        <v>203</v>
      </c>
      <c r="AL107" s="111">
        <v>51619510</v>
      </c>
      <c r="AM107" s="101">
        <f t="shared" si="69"/>
        <v>0</v>
      </c>
    </row>
    <row r="108" spans="1:39" s="112" customFormat="1" ht="63.75">
      <c r="A108" s="522" t="s">
        <v>180</v>
      </c>
      <c r="B108" s="92">
        <f t="shared" si="70"/>
        <v>66250000</v>
      </c>
      <c r="C108" s="89" t="s">
        <v>78</v>
      </c>
      <c r="D108" s="108" t="s">
        <v>120</v>
      </c>
      <c r="E108" s="89" t="s">
        <v>121</v>
      </c>
      <c r="F108" s="108" t="s">
        <v>734</v>
      </c>
      <c r="G108" s="89" t="s">
        <v>122</v>
      </c>
      <c r="H108" s="64">
        <v>262</v>
      </c>
      <c r="I108" s="140">
        <v>273</v>
      </c>
      <c r="J108" s="141">
        <v>66250000</v>
      </c>
      <c r="K108" s="108">
        <v>485</v>
      </c>
      <c r="L108" s="108">
        <v>66250000</v>
      </c>
      <c r="M108" s="142">
        <v>221</v>
      </c>
      <c r="N108" s="144"/>
      <c r="O108" s="99"/>
      <c r="P108" s="99"/>
      <c r="Q108" s="99"/>
      <c r="R108" s="99"/>
      <c r="S108" s="99"/>
      <c r="T108" s="99"/>
      <c r="U108" s="108">
        <f>5973333+18800000</f>
        <v>24773333</v>
      </c>
      <c r="V108" s="108">
        <f>2800000+9200000</f>
        <v>12000000</v>
      </c>
      <c r="W108" s="99"/>
      <c r="X108" s="108">
        <f>2800000+6000000</f>
        <v>8800000</v>
      </c>
      <c r="Y108" s="157">
        <f>9200000+9200000</f>
        <v>18400000</v>
      </c>
      <c r="Z108" s="155">
        <f t="shared" si="71"/>
        <v>63973333</v>
      </c>
      <c r="AA108" s="520">
        <f t="shared" si="72"/>
        <v>2276667</v>
      </c>
      <c r="AC108" s="83" t="s">
        <v>578</v>
      </c>
      <c r="AD108" s="88">
        <f t="shared" si="64"/>
        <v>273</v>
      </c>
      <c r="AE108" s="111">
        <f t="shared" si="65"/>
        <v>66250000</v>
      </c>
      <c r="AF108" s="117">
        <v>42836</v>
      </c>
      <c r="AG108" s="109">
        <f t="shared" si="66"/>
        <v>485</v>
      </c>
      <c r="AH108" s="111">
        <f t="shared" si="67"/>
        <v>66250000</v>
      </c>
      <c r="AI108" s="121">
        <v>42867</v>
      </c>
      <c r="AJ108" s="88" t="s">
        <v>619</v>
      </c>
      <c r="AK108" s="111">
        <f t="shared" si="73"/>
        <v>221</v>
      </c>
      <c r="AL108" s="111">
        <v>7162423</v>
      </c>
      <c r="AM108" s="101">
        <f t="shared" si="69"/>
        <v>0</v>
      </c>
    </row>
    <row r="109" spans="1:39" s="112" customFormat="1" ht="76.5">
      <c r="A109" s="522" t="s">
        <v>180</v>
      </c>
      <c r="B109" s="92">
        <f t="shared" si="70"/>
        <v>49400000</v>
      </c>
      <c r="C109" s="89" t="s">
        <v>78</v>
      </c>
      <c r="D109" s="108" t="s">
        <v>120</v>
      </c>
      <c r="E109" s="89" t="s">
        <v>121</v>
      </c>
      <c r="F109" s="108" t="s">
        <v>734</v>
      </c>
      <c r="G109" s="89" t="s">
        <v>122</v>
      </c>
      <c r="H109" s="64">
        <v>248</v>
      </c>
      <c r="I109" s="140" t="s">
        <v>939</v>
      </c>
      <c r="J109" s="141">
        <f>43506667-3306667+9200000</f>
        <v>49400000</v>
      </c>
      <c r="K109" s="108" t="s">
        <v>983</v>
      </c>
      <c r="L109" s="108">
        <f>40200000+9200000</f>
        <v>49400000</v>
      </c>
      <c r="M109" s="142">
        <v>219</v>
      </c>
      <c r="N109" s="144"/>
      <c r="O109" s="99"/>
      <c r="P109" s="99"/>
      <c r="Q109" s="99"/>
      <c r="R109" s="99"/>
      <c r="S109" s="108">
        <v>4400000</v>
      </c>
      <c r="T109" s="108">
        <v>6000000</v>
      </c>
      <c r="U109" s="108">
        <f>6000000</f>
        <v>6000000</v>
      </c>
      <c r="V109" s="108">
        <f>6000000</f>
        <v>6000000</v>
      </c>
      <c r="W109" s="108">
        <f>6000000</f>
        <v>6000000</v>
      </c>
      <c r="X109" s="108">
        <f>6000000</f>
        <v>6000000</v>
      </c>
      <c r="Y109" s="157">
        <f>5800000+200000+6000000</f>
        <v>12000000</v>
      </c>
      <c r="Z109" s="155">
        <f t="shared" si="71"/>
        <v>46400000</v>
      </c>
      <c r="AA109" s="520">
        <f t="shared" si="72"/>
        <v>3000000</v>
      </c>
      <c r="AC109" s="83" t="s">
        <v>599</v>
      </c>
      <c r="AD109" s="88" t="str">
        <f t="shared" si="64"/>
        <v>282 - 636</v>
      </c>
      <c r="AE109" s="111">
        <f t="shared" si="65"/>
        <v>49400000</v>
      </c>
      <c r="AF109" s="117">
        <v>42851</v>
      </c>
      <c r="AG109" s="109" t="str">
        <f t="shared" si="66"/>
        <v>479 - 987</v>
      </c>
      <c r="AH109" s="111">
        <f t="shared" si="67"/>
        <v>49400000</v>
      </c>
      <c r="AI109" s="121">
        <v>42863</v>
      </c>
      <c r="AJ109" s="88" t="s">
        <v>609</v>
      </c>
      <c r="AK109" s="111">
        <f t="shared" ref="AK109:AK115" si="74">M109</f>
        <v>219</v>
      </c>
      <c r="AL109" s="111">
        <v>21070742</v>
      </c>
      <c r="AM109" s="101">
        <f t="shared" si="69"/>
        <v>0</v>
      </c>
    </row>
    <row r="110" spans="1:39" s="112" customFormat="1" ht="63.75">
      <c r="A110" s="522" t="s">
        <v>180</v>
      </c>
      <c r="B110" s="92">
        <f t="shared" si="70"/>
        <v>59313333</v>
      </c>
      <c r="C110" s="89" t="s">
        <v>78</v>
      </c>
      <c r="D110" s="108" t="s">
        <v>120</v>
      </c>
      <c r="E110" s="89" t="s">
        <v>121</v>
      </c>
      <c r="F110" s="108" t="s">
        <v>734</v>
      </c>
      <c r="G110" s="89" t="s">
        <v>122</v>
      </c>
      <c r="H110" s="64">
        <v>239</v>
      </c>
      <c r="I110" s="140" t="s">
        <v>1002</v>
      </c>
      <c r="J110" s="141">
        <f>58900000-3100000+3513333</f>
        <v>59313333</v>
      </c>
      <c r="K110" s="108" t="s">
        <v>1150</v>
      </c>
      <c r="L110" s="108">
        <f>55800000+3513333</f>
        <v>59313333</v>
      </c>
      <c r="M110" s="142">
        <v>193</v>
      </c>
      <c r="N110" s="144"/>
      <c r="O110" s="99"/>
      <c r="P110" s="99"/>
      <c r="Q110" s="108"/>
      <c r="R110" s="108">
        <v>6613333</v>
      </c>
      <c r="S110" s="108">
        <f>6200000</f>
        <v>6200000</v>
      </c>
      <c r="T110" s="108">
        <v>6200000</v>
      </c>
      <c r="U110" s="108">
        <f>6200000</f>
        <v>6200000</v>
      </c>
      <c r="V110" s="108">
        <f>6200000</f>
        <v>6200000</v>
      </c>
      <c r="W110" s="108">
        <f>6200000</f>
        <v>6200000</v>
      </c>
      <c r="X110" s="108">
        <f>6200000</f>
        <v>6200000</v>
      </c>
      <c r="Y110" s="157">
        <f>6200000+5786667+413333</f>
        <v>12400000</v>
      </c>
      <c r="Z110" s="155">
        <f t="shared" si="71"/>
        <v>56213333</v>
      </c>
      <c r="AA110" s="520">
        <f t="shared" si="72"/>
        <v>3100000</v>
      </c>
      <c r="AC110" s="83" t="s">
        <v>498</v>
      </c>
      <c r="AD110" s="88" t="str">
        <f t="shared" si="64"/>
        <v>229 - 730</v>
      </c>
      <c r="AE110" s="111">
        <f t="shared" si="65"/>
        <v>59313333</v>
      </c>
      <c r="AF110" s="117">
        <v>42809</v>
      </c>
      <c r="AG110" s="109" t="str">
        <f t="shared" si="66"/>
        <v>405 - 1136</v>
      </c>
      <c r="AH110" s="111">
        <f t="shared" si="67"/>
        <v>59313333</v>
      </c>
      <c r="AI110" s="121">
        <v>42823</v>
      </c>
      <c r="AJ110" s="88" t="s">
        <v>568</v>
      </c>
      <c r="AK110" s="111">
        <f t="shared" si="74"/>
        <v>193</v>
      </c>
      <c r="AL110" s="111">
        <v>80897308</v>
      </c>
      <c r="AM110" s="101">
        <f t="shared" si="69"/>
        <v>0</v>
      </c>
    </row>
    <row r="111" spans="1:39" s="112" customFormat="1" ht="63.75">
      <c r="A111" s="522" t="s">
        <v>180</v>
      </c>
      <c r="B111" s="92">
        <f t="shared" si="70"/>
        <v>695100</v>
      </c>
      <c r="C111" s="89" t="s">
        <v>78</v>
      </c>
      <c r="D111" s="108" t="s">
        <v>120</v>
      </c>
      <c r="E111" s="89" t="s">
        <v>121</v>
      </c>
      <c r="F111" s="108" t="s">
        <v>734</v>
      </c>
      <c r="G111" s="89" t="s">
        <v>122</v>
      </c>
      <c r="H111" s="64">
        <v>319</v>
      </c>
      <c r="I111" s="140">
        <v>303</v>
      </c>
      <c r="J111" s="141">
        <v>695100</v>
      </c>
      <c r="K111" s="108">
        <v>504</v>
      </c>
      <c r="L111" s="108">
        <f>695100</f>
        <v>695100</v>
      </c>
      <c r="M111" s="160">
        <v>2383</v>
      </c>
      <c r="N111" s="144"/>
      <c r="O111" s="99"/>
      <c r="P111" s="99"/>
      <c r="Q111" s="99"/>
      <c r="R111" s="99"/>
      <c r="S111" s="108">
        <v>695100</v>
      </c>
      <c r="T111" s="99"/>
      <c r="U111" s="99"/>
      <c r="V111" s="99"/>
      <c r="W111" s="99"/>
      <c r="X111" s="99"/>
      <c r="Y111" s="143"/>
      <c r="Z111" s="155">
        <f t="shared" si="71"/>
        <v>695100</v>
      </c>
      <c r="AA111" s="520">
        <f t="shared" si="72"/>
        <v>0</v>
      </c>
      <c r="AC111" s="83" t="s">
        <v>615</v>
      </c>
      <c r="AD111" s="88">
        <f t="shared" si="64"/>
        <v>303</v>
      </c>
      <c r="AE111" s="111">
        <f t="shared" si="65"/>
        <v>695100</v>
      </c>
      <c r="AF111" s="117">
        <v>42865</v>
      </c>
      <c r="AG111" s="109">
        <f t="shared" si="66"/>
        <v>504</v>
      </c>
      <c r="AH111" s="111">
        <f t="shared" si="67"/>
        <v>695100</v>
      </c>
      <c r="AI111" s="121">
        <v>42877</v>
      </c>
      <c r="AJ111" s="88" t="s">
        <v>594</v>
      </c>
      <c r="AK111" s="111">
        <f t="shared" si="74"/>
        <v>2383</v>
      </c>
      <c r="AL111" s="111">
        <v>860506170</v>
      </c>
      <c r="AM111" s="101">
        <f t="shared" si="69"/>
        <v>0</v>
      </c>
    </row>
    <row r="112" spans="1:39" s="112" customFormat="1" ht="63.75">
      <c r="A112" s="522" t="s">
        <v>180</v>
      </c>
      <c r="B112" s="92">
        <f>J112</f>
        <v>21492000</v>
      </c>
      <c r="C112" s="89" t="s">
        <v>78</v>
      </c>
      <c r="D112" s="108" t="s">
        <v>120</v>
      </c>
      <c r="E112" s="89" t="s">
        <v>121</v>
      </c>
      <c r="F112" s="108" t="s">
        <v>734</v>
      </c>
      <c r="G112" s="89" t="s">
        <v>122</v>
      </c>
      <c r="H112" s="64">
        <v>254</v>
      </c>
      <c r="I112" s="140" t="s">
        <v>1003</v>
      </c>
      <c r="J112" s="141">
        <f>19440000+2052000</f>
        <v>21492000</v>
      </c>
      <c r="K112" s="108" t="s">
        <v>1151</v>
      </c>
      <c r="L112" s="108">
        <f>19440000+2052000</f>
        <v>21492000</v>
      </c>
      <c r="M112" s="142">
        <v>251</v>
      </c>
      <c r="N112" s="144"/>
      <c r="O112" s="99"/>
      <c r="P112" s="99"/>
      <c r="Q112" s="99"/>
      <c r="R112" s="99"/>
      <c r="S112" s="99"/>
      <c r="T112" s="99"/>
      <c r="U112" s="108">
        <f>3672000</f>
        <v>3672000</v>
      </c>
      <c r="V112" s="108">
        <f>3240000</f>
        <v>3240000</v>
      </c>
      <c r="W112" s="108">
        <f>3240000</f>
        <v>3240000</v>
      </c>
      <c r="X112" s="108">
        <f>3240000</f>
        <v>3240000</v>
      </c>
      <c r="Y112" s="157">
        <f>3240000+2808000+432000</f>
        <v>6480000</v>
      </c>
      <c r="Z112" s="155">
        <f t="shared" si="71"/>
        <v>19872000</v>
      </c>
      <c r="AA112" s="520">
        <f t="shared" si="72"/>
        <v>1620000</v>
      </c>
      <c r="AC112" s="83" t="s">
        <v>627</v>
      </c>
      <c r="AD112" s="88" t="str">
        <f t="shared" si="64"/>
        <v>333 - 706</v>
      </c>
      <c r="AE112" s="111">
        <f t="shared" si="65"/>
        <v>21492000</v>
      </c>
      <c r="AF112" s="117">
        <v>42878</v>
      </c>
      <c r="AG112" s="109" t="str">
        <f t="shared" si="66"/>
        <v>596 - 1137</v>
      </c>
      <c r="AH112" s="111">
        <f t="shared" si="67"/>
        <v>21492000</v>
      </c>
      <c r="AI112" s="121">
        <v>42913</v>
      </c>
      <c r="AJ112" s="88" t="s">
        <v>663</v>
      </c>
      <c r="AK112" s="111">
        <f t="shared" si="74"/>
        <v>251</v>
      </c>
      <c r="AL112" s="111"/>
      <c r="AM112" s="101">
        <f t="shared" si="69"/>
        <v>0</v>
      </c>
    </row>
    <row r="113" spans="1:39" s="112" customFormat="1" ht="63.75">
      <c r="A113" s="522" t="s">
        <v>180</v>
      </c>
      <c r="B113" s="92">
        <f>J113</f>
        <v>771200</v>
      </c>
      <c r="C113" s="89" t="s">
        <v>78</v>
      </c>
      <c r="D113" s="108" t="s">
        <v>120</v>
      </c>
      <c r="E113" s="89" t="s">
        <v>121</v>
      </c>
      <c r="F113" s="108" t="s">
        <v>734</v>
      </c>
      <c r="G113" s="89" t="s">
        <v>122</v>
      </c>
      <c r="H113" s="64">
        <v>338</v>
      </c>
      <c r="I113" s="140">
        <v>348</v>
      </c>
      <c r="J113" s="141">
        <f>771200</f>
        <v>771200</v>
      </c>
      <c r="K113" s="108">
        <v>554</v>
      </c>
      <c r="L113" s="108">
        <f>771200</f>
        <v>771200</v>
      </c>
      <c r="M113" s="142"/>
      <c r="N113" s="144"/>
      <c r="O113" s="99"/>
      <c r="P113" s="99"/>
      <c r="Q113" s="99"/>
      <c r="R113" s="99"/>
      <c r="S113" s="108">
        <v>771200</v>
      </c>
      <c r="T113" s="99"/>
      <c r="U113" s="99"/>
      <c r="V113" s="99"/>
      <c r="W113" s="99"/>
      <c r="X113" s="99"/>
      <c r="Y113" s="143"/>
      <c r="Z113" s="155">
        <f t="shared" si="71"/>
        <v>771200</v>
      </c>
      <c r="AA113" s="520">
        <f t="shared" si="72"/>
        <v>0</v>
      </c>
      <c r="AC113" s="83" t="s">
        <v>661</v>
      </c>
      <c r="AD113" s="88">
        <f t="shared" si="64"/>
        <v>348</v>
      </c>
      <c r="AE113" s="111">
        <f t="shared" si="65"/>
        <v>771200</v>
      </c>
      <c r="AF113" s="117">
        <v>42894</v>
      </c>
      <c r="AG113" s="109">
        <f t="shared" si="66"/>
        <v>554</v>
      </c>
      <c r="AH113" s="111">
        <f t="shared" si="67"/>
        <v>771200</v>
      </c>
      <c r="AI113" s="121">
        <v>42898</v>
      </c>
      <c r="AJ113" s="88" t="s">
        <v>594</v>
      </c>
      <c r="AK113" s="111">
        <f t="shared" si="74"/>
        <v>0</v>
      </c>
      <c r="AL113" s="111"/>
      <c r="AM113" s="101">
        <f t="shared" si="69"/>
        <v>0</v>
      </c>
    </row>
    <row r="114" spans="1:39" s="112" customFormat="1" ht="63.75">
      <c r="A114" s="522" t="s">
        <v>180</v>
      </c>
      <c r="B114" s="92">
        <f>J114</f>
        <v>771200</v>
      </c>
      <c r="C114" s="89" t="s">
        <v>78</v>
      </c>
      <c r="D114" s="108" t="s">
        <v>120</v>
      </c>
      <c r="E114" s="89" t="s">
        <v>121</v>
      </c>
      <c r="F114" s="108" t="s">
        <v>734</v>
      </c>
      <c r="G114" s="89" t="s">
        <v>122</v>
      </c>
      <c r="H114" s="64">
        <v>339</v>
      </c>
      <c r="I114" s="140">
        <v>349</v>
      </c>
      <c r="J114" s="141">
        <v>771200</v>
      </c>
      <c r="K114" s="108">
        <v>555</v>
      </c>
      <c r="L114" s="108">
        <f>771200</f>
        <v>771200</v>
      </c>
      <c r="M114" s="142"/>
      <c r="N114" s="144"/>
      <c r="O114" s="99"/>
      <c r="P114" s="99"/>
      <c r="Q114" s="99"/>
      <c r="R114" s="99"/>
      <c r="S114" s="108">
        <v>771200</v>
      </c>
      <c r="T114" s="99"/>
      <c r="U114" s="99"/>
      <c r="V114" s="99"/>
      <c r="W114" s="99"/>
      <c r="X114" s="99"/>
      <c r="Y114" s="143"/>
      <c r="Z114" s="155">
        <f t="shared" si="71"/>
        <v>771200</v>
      </c>
      <c r="AA114" s="520">
        <f t="shared" si="72"/>
        <v>0</v>
      </c>
      <c r="AC114" s="83" t="s">
        <v>662</v>
      </c>
      <c r="AD114" s="88">
        <f t="shared" si="64"/>
        <v>349</v>
      </c>
      <c r="AE114" s="111">
        <f t="shared" si="65"/>
        <v>771200</v>
      </c>
      <c r="AF114" s="117">
        <v>42894</v>
      </c>
      <c r="AG114" s="109">
        <f t="shared" si="66"/>
        <v>555</v>
      </c>
      <c r="AH114" s="111">
        <f t="shared" si="67"/>
        <v>771200</v>
      </c>
      <c r="AI114" s="121">
        <v>42898</v>
      </c>
      <c r="AJ114" s="88" t="s">
        <v>594</v>
      </c>
      <c r="AK114" s="111">
        <f t="shared" si="74"/>
        <v>0</v>
      </c>
      <c r="AL114" s="111"/>
      <c r="AM114" s="101">
        <f t="shared" si="69"/>
        <v>0</v>
      </c>
    </row>
    <row r="115" spans="1:39" s="112" customFormat="1" ht="76.5">
      <c r="A115" s="522" t="s">
        <v>180</v>
      </c>
      <c r="B115" s="92">
        <f>J115</f>
        <v>17360000</v>
      </c>
      <c r="C115" s="89" t="s">
        <v>78</v>
      </c>
      <c r="D115" s="108" t="s">
        <v>120</v>
      </c>
      <c r="E115" s="89" t="s">
        <v>121</v>
      </c>
      <c r="F115" s="108" t="s">
        <v>734</v>
      </c>
      <c r="G115" s="89" t="s">
        <v>122</v>
      </c>
      <c r="H115" s="64">
        <v>341</v>
      </c>
      <c r="I115" s="140">
        <v>361</v>
      </c>
      <c r="J115" s="141">
        <f>40300000-22940000</f>
        <v>17360000</v>
      </c>
      <c r="K115" s="108">
        <v>645</v>
      </c>
      <c r="L115" s="108">
        <f>32033333-14673333</f>
        <v>17360000</v>
      </c>
      <c r="M115" s="142">
        <f>276</f>
        <v>276</v>
      </c>
      <c r="N115" s="144"/>
      <c r="O115" s="99"/>
      <c r="P115" s="99"/>
      <c r="Q115" s="99"/>
      <c r="R115" s="99"/>
      <c r="S115" s="99"/>
      <c r="T115" s="99"/>
      <c r="U115" s="99"/>
      <c r="V115" s="108">
        <f>7233333</f>
        <v>7233333</v>
      </c>
      <c r="W115" s="108">
        <f>6200000</f>
        <v>6200000</v>
      </c>
      <c r="X115" s="108">
        <f>3926667</f>
        <v>3926667</v>
      </c>
      <c r="Y115" s="143"/>
      <c r="Z115" s="155">
        <f t="shared" si="71"/>
        <v>17360000</v>
      </c>
      <c r="AA115" s="520">
        <f t="shared" si="72"/>
        <v>0</v>
      </c>
      <c r="AC115" s="83" t="s">
        <v>689</v>
      </c>
      <c r="AD115" s="88">
        <f t="shared" si="64"/>
        <v>361</v>
      </c>
      <c r="AE115" s="111">
        <f t="shared" si="65"/>
        <v>17360000</v>
      </c>
      <c r="AF115" s="117">
        <v>42906</v>
      </c>
      <c r="AG115" s="109">
        <f t="shared" si="66"/>
        <v>645</v>
      </c>
      <c r="AH115" s="111">
        <f t="shared" si="67"/>
        <v>17360000</v>
      </c>
      <c r="AI115" s="121">
        <v>42942</v>
      </c>
      <c r="AJ115" s="88" t="s">
        <v>690</v>
      </c>
      <c r="AK115" s="111">
        <f t="shared" si="74"/>
        <v>276</v>
      </c>
      <c r="AL115" s="111"/>
      <c r="AM115" s="101">
        <f t="shared" si="69"/>
        <v>0</v>
      </c>
    </row>
    <row r="116" spans="1:39" s="112" customFormat="1" ht="63.75">
      <c r="A116" s="522" t="s">
        <v>180</v>
      </c>
      <c r="B116" s="92">
        <f t="shared" ref="B116:B121" si="75">J116</f>
        <v>36580000</v>
      </c>
      <c r="C116" s="89" t="s">
        <v>78</v>
      </c>
      <c r="D116" s="108" t="s">
        <v>120</v>
      </c>
      <c r="E116" s="89" t="s">
        <v>121</v>
      </c>
      <c r="F116" s="108" t="s">
        <v>734</v>
      </c>
      <c r="G116" s="89" t="s">
        <v>122</v>
      </c>
      <c r="H116" s="64">
        <v>361</v>
      </c>
      <c r="I116" s="140" t="s">
        <v>1004</v>
      </c>
      <c r="J116" s="141">
        <f>33893333-413333+3100000</f>
        <v>36580000</v>
      </c>
      <c r="K116" s="108" t="s">
        <v>1152</v>
      </c>
      <c r="L116" s="108">
        <f>33480000+3100000</f>
        <v>36580000</v>
      </c>
      <c r="M116" s="142">
        <f>265</f>
        <v>265</v>
      </c>
      <c r="N116" s="144"/>
      <c r="O116" s="99"/>
      <c r="P116" s="99"/>
      <c r="Q116" s="99"/>
      <c r="R116" s="99"/>
      <c r="S116" s="99"/>
      <c r="T116" s="99"/>
      <c r="U116" s="108">
        <f>2480000</f>
        <v>2480000</v>
      </c>
      <c r="V116" s="108">
        <f>6200000</f>
        <v>6200000</v>
      </c>
      <c r="W116" s="108">
        <f>6200000</f>
        <v>6200000</v>
      </c>
      <c r="X116" s="108">
        <f>6200000</f>
        <v>6200000</v>
      </c>
      <c r="Y116" s="157">
        <f>6200000+6200000</f>
        <v>12400000</v>
      </c>
      <c r="Z116" s="155">
        <f t="shared" si="71"/>
        <v>33480000</v>
      </c>
      <c r="AA116" s="520">
        <f t="shared" si="72"/>
        <v>3100000</v>
      </c>
      <c r="AC116" s="83" t="s">
        <v>295</v>
      </c>
      <c r="AD116" s="88" t="str">
        <f t="shared" si="64"/>
        <v>386 - 745</v>
      </c>
      <c r="AE116" s="111">
        <f t="shared" si="65"/>
        <v>36580000</v>
      </c>
      <c r="AF116" s="117">
        <v>42929</v>
      </c>
      <c r="AG116" s="109" t="str">
        <f t="shared" si="66"/>
        <v>631 - 1131</v>
      </c>
      <c r="AH116" s="111">
        <f t="shared" si="67"/>
        <v>36580000</v>
      </c>
      <c r="AI116" s="121">
        <v>42935</v>
      </c>
      <c r="AJ116" s="88" t="s">
        <v>405</v>
      </c>
      <c r="AK116" s="111">
        <f t="shared" ref="AK116:AK122" si="76">M116</f>
        <v>265</v>
      </c>
      <c r="AL116" s="111"/>
      <c r="AM116" s="101">
        <f t="shared" si="69"/>
        <v>0</v>
      </c>
    </row>
    <row r="117" spans="1:39" s="112" customFormat="1" ht="63.75">
      <c r="A117" s="522" t="s">
        <v>180</v>
      </c>
      <c r="B117" s="92">
        <f t="shared" si="75"/>
        <v>31166667</v>
      </c>
      <c r="C117" s="89" t="s">
        <v>78</v>
      </c>
      <c r="D117" s="108" t="s">
        <v>120</v>
      </c>
      <c r="E117" s="89" t="s">
        <v>121</v>
      </c>
      <c r="F117" s="108" t="s">
        <v>734</v>
      </c>
      <c r="G117" s="89" t="s">
        <v>122</v>
      </c>
      <c r="H117" s="64">
        <v>358</v>
      </c>
      <c r="I117" s="140" t="s">
        <v>1005</v>
      </c>
      <c r="J117" s="141">
        <f>30066667-1650000+2750000</f>
        <v>31166667</v>
      </c>
      <c r="K117" s="108" t="s">
        <v>1153</v>
      </c>
      <c r="L117" s="108">
        <f>28416667+2750000</f>
        <v>31166667</v>
      </c>
      <c r="M117" s="142">
        <v>273</v>
      </c>
      <c r="N117" s="144"/>
      <c r="O117" s="99"/>
      <c r="P117" s="99"/>
      <c r="Q117" s="99"/>
      <c r="R117" s="99"/>
      <c r="S117" s="99"/>
      <c r="T117" s="99"/>
      <c r="U117" s="99"/>
      <c r="V117" s="108">
        <f>6416667</f>
        <v>6416667</v>
      </c>
      <c r="W117" s="108">
        <f>5500000</f>
        <v>5500000</v>
      </c>
      <c r="X117" s="108">
        <f>5500000</f>
        <v>5500000</v>
      </c>
      <c r="Y117" s="157">
        <f>5500000+5500000</f>
        <v>11000000</v>
      </c>
      <c r="Z117" s="155">
        <f t="shared" si="71"/>
        <v>28416667</v>
      </c>
      <c r="AA117" s="520">
        <f t="shared" si="72"/>
        <v>2750000</v>
      </c>
      <c r="AC117" s="83" t="s">
        <v>269</v>
      </c>
      <c r="AD117" s="88" t="str">
        <f t="shared" si="64"/>
        <v>395 - 725</v>
      </c>
      <c r="AE117" s="111">
        <f t="shared" si="65"/>
        <v>31166667</v>
      </c>
      <c r="AF117" s="117">
        <v>42937</v>
      </c>
      <c r="AG117" s="109" t="str">
        <f t="shared" si="66"/>
        <v>644 - 1168</v>
      </c>
      <c r="AH117" s="111">
        <f t="shared" si="67"/>
        <v>31166667</v>
      </c>
      <c r="AI117" s="121">
        <v>42942</v>
      </c>
      <c r="AJ117" s="88" t="s">
        <v>300</v>
      </c>
      <c r="AK117" s="111">
        <f t="shared" si="76"/>
        <v>273</v>
      </c>
      <c r="AL117" s="111"/>
      <c r="AM117" s="101">
        <f t="shared" si="69"/>
        <v>0</v>
      </c>
    </row>
    <row r="118" spans="1:39" s="112" customFormat="1" ht="63.75">
      <c r="A118" s="522" t="s">
        <v>180</v>
      </c>
      <c r="B118" s="92">
        <f t="shared" si="75"/>
        <v>7233333</v>
      </c>
      <c r="C118" s="89" t="s">
        <v>78</v>
      </c>
      <c r="D118" s="108" t="s">
        <v>120</v>
      </c>
      <c r="E118" s="89" t="s">
        <v>121</v>
      </c>
      <c r="F118" s="108" t="s">
        <v>734</v>
      </c>
      <c r="G118" s="89" t="s">
        <v>122</v>
      </c>
      <c r="H118" s="64">
        <v>359</v>
      </c>
      <c r="I118" s="140">
        <v>396</v>
      </c>
      <c r="J118" s="141">
        <f>33893333-26660000</f>
        <v>7233333</v>
      </c>
      <c r="K118" s="108">
        <v>647</v>
      </c>
      <c r="L118" s="108">
        <f>32033333-24800000</f>
        <v>7233333</v>
      </c>
      <c r="M118" s="157">
        <v>275</v>
      </c>
      <c r="N118" s="144"/>
      <c r="O118" s="99"/>
      <c r="P118" s="99"/>
      <c r="Q118" s="99"/>
      <c r="R118" s="99"/>
      <c r="S118" s="99"/>
      <c r="T118" s="99"/>
      <c r="U118" s="99"/>
      <c r="V118" s="108">
        <f>7233333</f>
        <v>7233333</v>
      </c>
      <c r="W118" s="99"/>
      <c r="X118" s="99"/>
      <c r="Y118" s="143"/>
      <c r="Z118" s="155">
        <f t="shared" si="71"/>
        <v>7233333</v>
      </c>
      <c r="AA118" s="520">
        <f t="shared" si="72"/>
        <v>0</v>
      </c>
      <c r="AC118" s="83" t="s">
        <v>271</v>
      </c>
      <c r="AD118" s="88">
        <f t="shared" si="64"/>
        <v>396</v>
      </c>
      <c r="AE118" s="111">
        <f t="shared" si="65"/>
        <v>7233333</v>
      </c>
      <c r="AF118" s="117">
        <v>42937</v>
      </c>
      <c r="AG118" s="109">
        <f t="shared" si="66"/>
        <v>647</v>
      </c>
      <c r="AH118" s="111">
        <f t="shared" si="67"/>
        <v>7233333</v>
      </c>
      <c r="AI118" s="121">
        <v>42942</v>
      </c>
      <c r="AJ118" s="88" t="s">
        <v>302</v>
      </c>
      <c r="AK118" s="111">
        <f t="shared" si="76"/>
        <v>275</v>
      </c>
      <c r="AL118" s="111"/>
      <c r="AM118" s="106"/>
    </row>
    <row r="119" spans="1:39" s="112" customFormat="1" ht="63.75">
      <c r="A119" s="522" t="s">
        <v>180</v>
      </c>
      <c r="B119" s="92">
        <f t="shared" si="75"/>
        <v>29883334</v>
      </c>
      <c r="C119" s="89" t="s">
        <v>78</v>
      </c>
      <c r="D119" s="108" t="s">
        <v>120</v>
      </c>
      <c r="E119" s="89" t="s">
        <v>121</v>
      </c>
      <c r="F119" s="108" t="s">
        <v>734</v>
      </c>
      <c r="G119" s="89" t="s">
        <v>122</v>
      </c>
      <c r="H119" s="64">
        <v>360</v>
      </c>
      <c r="I119" s="140" t="s">
        <v>1006</v>
      </c>
      <c r="J119" s="141">
        <f>30066667+2750000-1650000-1283333</f>
        <v>29883334</v>
      </c>
      <c r="K119" s="108" t="s">
        <v>1154</v>
      </c>
      <c r="L119" s="108">
        <f>28416667+1466667</f>
        <v>29883334</v>
      </c>
      <c r="M119" s="157">
        <v>274</v>
      </c>
      <c r="N119" s="144"/>
      <c r="O119" s="99"/>
      <c r="P119" s="99"/>
      <c r="Q119" s="99"/>
      <c r="R119" s="99"/>
      <c r="S119" s="99"/>
      <c r="T119" s="99"/>
      <c r="U119" s="99"/>
      <c r="V119" s="108">
        <f>6416667</f>
        <v>6416667</v>
      </c>
      <c r="W119" s="108">
        <f>5500000</f>
        <v>5500000</v>
      </c>
      <c r="X119" s="108">
        <f>4216667</f>
        <v>4216667</v>
      </c>
      <c r="Y119" s="157">
        <f>5500000+5500000</f>
        <v>11000000</v>
      </c>
      <c r="Z119" s="155">
        <f t="shared" si="71"/>
        <v>27133334</v>
      </c>
      <c r="AA119" s="520">
        <f t="shared" si="72"/>
        <v>2750000</v>
      </c>
      <c r="AC119" s="83" t="s">
        <v>272</v>
      </c>
      <c r="AD119" s="88" t="str">
        <f t="shared" si="64"/>
        <v>397 - 747</v>
      </c>
      <c r="AE119" s="111">
        <f t="shared" si="65"/>
        <v>29883334</v>
      </c>
      <c r="AF119" s="117">
        <v>42937</v>
      </c>
      <c r="AG119" s="109" t="str">
        <f t="shared" si="66"/>
        <v>646 - 1165</v>
      </c>
      <c r="AH119" s="111">
        <f t="shared" si="67"/>
        <v>29883334</v>
      </c>
      <c r="AI119" s="121">
        <v>42942</v>
      </c>
      <c r="AJ119" s="88" t="s">
        <v>303</v>
      </c>
      <c r="AK119" s="111">
        <f t="shared" si="76"/>
        <v>274</v>
      </c>
      <c r="AL119" s="111"/>
      <c r="AM119" s="106"/>
    </row>
    <row r="120" spans="1:39" s="112" customFormat="1" ht="76.5">
      <c r="A120" s="522" t="s">
        <v>180</v>
      </c>
      <c r="B120" s="92">
        <f t="shared" si="75"/>
        <v>353400</v>
      </c>
      <c r="C120" s="89" t="s">
        <v>78</v>
      </c>
      <c r="D120" s="108" t="s">
        <v>120</v>
      </c>
      <c r="E120" s="89" t="s">
        <v>121</v>
      </c>
      <c r="F120" s="108" t="s">
        <v>734</v>
      </c>
      <c r="G120" s="89" t="s">
        <v>122</v>
      </c>
      <c r="H120" s="64">
        <v>370</v>
      </c>
      <c r="I120" s="140">
        <v>393</v>
      </c>
      <c r="J120" s="141">
        <v>353400</v>
      </c>
      <c r="K120" s="108">
        <v>682</v>
      </c>
      <c r="L120" s="108">
        <f>353400</f>
        <v>353400</v>
      </c>
      <c r="M120" s="157">
        <v>3551</v>
      </c>
      <c r="N120" s="144"/>
      <c r="O120" s="99"/>
      <c r="P120" s="99"/>
      <c r="Q120" s="99"/>
      <c r="R120" s="99"/>
      <c r="S120" s="99"/>
      <c r="T120" s="99"/>
      <c r="U120" s="108">
        <v>353400</v>
      </c>
      <c r="V120" s="99"/>
      <c r="W120" s="99"/>
      <c r="X120" s="99"/>
      <c r="Y120" s="143"/>
      <c r="Z120" s="155">
        <f t="shared" si="71"/>
        <v>353400</v>
      </c>
      <c r="AA120" s="520">
        <f t="shared" si="72"/>
        <v>0</v>
      </c>
      <c r="AC120" s="83" t="s">
        <v>713</v>
      </c>
      <c r="AD120" s="88">
        <f t="shared" si="64"/>
        <v>393</v>
      </c>
      <c r="AE120" s="111">
        <f t="shared" si="65"/>
        <v>353400</v>
      </c>
      <c r="AF120" s="117">
        <v>42937</v>
      </c>
      <c r="AG120" s="109">
        <f t="shared" si="66"/>
        <v>682</v>
      </c>
      <c r="AH120" s="111">
        <f t="shared" si="67"/>
        <v>353400</v>
      </c>
      <c r="AI120" s="121">
        <v>42956</v>
      </c>
      <c r="AJ120" s="88" t="s">
        <v>594</v>
      </c>
      <c r="AK120" s="111">
        <f t="shared" si="76"/>
        <v>3551</v>
      </c>
      <c r="AL120" s="111"/>
      <c r="AM120" s="106"/>
    </row>
    <row r="121" spans="1:39" s="112" customFormat="1" ht="63.75">
      <c r="A121" s="522" t="s">
        <v>180</v>
      </c>
      <c r="B121" s="92">
        <f t="shared" si="75"/>
        <v>476200</v>
      </c>
      <c r="C121" s="89" t="s">
        <v>78</v>
      </c>
      <c r="D121" s="108" t="s">
        <v>120</v>
      </c>
      <c r="E121" s="89" t="s">
        <v>121</v>
      </c>
      <c r="F121" s="108" t="s">
        <v>734</v>
      </c>
      <c r="G121" s="89" t="s">
        <v>122</v>
      </c>
      <c r="H121" s="64"/>
      <c r="I121" s="140">
        <v>422</v>
      </c>
      <c r="J121" s="141">
        <f>476200</f>
        <v>476200</v>
      </c>
      <c r="K121" s="108">
        <v>700</v>
      </c>
      <c r="L121" s="108">
        <v>476200</v>
      </c>
      <c r="M121" s="157">
        <v>3904</v>
      </c>
      <c r="N121" s="144"/>
      <c r="O121" s="99"/>
      <c r="P121" s="99"/>
      <c r="Q121" s="99"/>
      <c r="R121" s="99"/>
      <c r="S121" s="99"/>
      <c r="T121" s="99"/>
      <c r="U121" s="108">
        <f>476200</f>
        <v>476200</v>
      </c>
      <c r="V121" s="99"/>
      <c r="W121" s="99"/>
      <c r="X121" s="99"/>
      <c r="Y121" s="143"/>
      <c r="Z121" s="155">
        <f t="shared" si="71"/>
        <v>476200</v>
      </c>
      <c r="AA121" s="520">
        <f t="shared" si="72"/>
        <v>0</v>
      </c>
      <c r="AC121" s="83" t="s">
        <v>707</v>
      </c>
      <c r="AD121" s="88">
        <f t="shared" si="64"/>
        <v>422</v>
      </c>
      <c r="AE121" s="111">
        <f t="shared" si="65"/>
        <v>476200</v>
      </c>
      <c r="AF121" s="117">
        <v>42962</v>
      </c>
      <c r="AG121" s="109">
        <f t="shared" si="66"/>
        <v>700</v>
      </c>
      <c r="AH121" s="111">
        <f t="shared" si="67"/>
        <v>476200</v>
      </c>
      <c r="AI121" s="121">
        <v>42963</v>
      </c>
      <c r="AJ121" s="88" t="s">
        <v>594</v>
      </c>
      <c r="AK121" s="111">
        <f t="shared" si="76"/>
        <v>3904</v>
      </c>
      <c r="AL121" s="111"/>
      <c r="AM121" s="106"/>
    </row>
    <row r="122" spans="1:39" s="112" customFormat="1" ht="76.5">
      <c r="A122" s="522" t="s">
        <v>180</v>
      </c>
      <c r="B122" s="92">
        <f>J122</f>
        <v>751800</v>
      </c>
      <c r="C122" s="89" t="s">
        <v>78</v>
      </c>
      <c r="D122" s="108" t="s">
        <v>120</v>
      </c>
      <c r="E122" s="89" t="s">
        <v>121</v>
      </c>
      <c r="F122" s="108" t="s">
        <v>734</v>
      </c>
      <c r="G122" s="89" t="s">
        <v>122</v>
      </c>
      <c r="H122" s="64"/>
      <c r="I122" s="140">
        <v>459</v>
      </c>
      <c r="J122" s="141">
        <f>751800</f>
        <v>751800</v>
      </c>
      <c r="K122" s="108">
        <v>783</v>
      </c>
      <c r="L122" s="108">
        <f>751800</f>
        <v>751800</v>
      </c>
      <c r="M122" s="157">
        <v>4383</v>
      </c>
      <c r="N122" s="144"/>
      <c r="O122" s="99"/>
      <c r="P122" s="99"/>
      <c r="Q122" s="99"/>
      <c r="R122" s="99"/>
      <c r="S122" s="99"/>
      <c r="T122" s="99"/>
      <c r="U122" s="99"/>
      <c r="V122" s="108">
        <v>751800</v>
      </c>
      <c r="W122" s="99"/>
      <c r="X122" s="99"/>
      <c r="Y122" s="143"/>
      <c r="Z122" s="155">
        <f t="shared" si="71"/>
        <v>751800</v>
      </c>
      <c r="AA122" s="520">
        <f t="shared" si="72"/>
        <v>0</v>
      </c>
      <c r="AC122" s="83" t="s">
        <v>787</v>
      </c>
      <c r="AD122" s="88">
        <f t="shared" si="64"/>
        <v>459</v>
      </c>
      <c r="AE122" s="111">
        <f t="shared" si="65"/>
        <v>751800</v>
      </c>
      <c r="AF122" s="117">
        <v>42986</v>
      </c>
      <c r="AG122" s="109">
        <f t="shared" si="66"/>
        <v>783</v>
      </c>
      <c r="AH122" s="111">
        <f t="shared" si="67"/>
        <v>751800</v>
      </c>
      <c r="AI122" s="121">
        <v>42992</v>
      </c>
      <c r="AJ122" s="88" t="s">
        <v>594</v>
      </c>
      <c r="AK122" s="111">
        <f t="shared" si="76"/>
        <v>4383</v>
      </c>
      <c r="AL122" s="111"/>
      <c r="AM122" s="106"/>
    </row>
    <row r="123" spans="1:39" s="112" customFormat="1" ht="63.75">
      <c r="A123" s="522" t="s">
        <v>180</v>
      </c>
      <c r="B123" s="92">
        <f>J123</f>
        <v>11372358</v>
      </c>
      <c r="C123" s="89" t="s">
        <v>78</v>
      </c>
      <c r="D123" s="108" t="s">
        <v>120</v>
      </c>
      <c r="E123" s="89" t="s">
        <v>121</v>
      </c>
      <c r="F123" s="108" t="s">
        <v>734</v>
      </c>
      <c r="G123" s="89" t="s">
        <v>122</v>
      </c>
      <c r="H123" s="64">
        <v>453</v>
      </c>
      <c r="I123" s="140" t="s">
        <v>1069</v>
      </c>
      <c r="J123" s="141">
        <f>9747735+1624623</f>
        <v>11372358</v>
      </c>
      <c r="K123" s="108" t="s">
        <v>1155</v>
      </c>
      <c r="L123" s="108">
        <f>9747735+1624623</f>
        <v>11372358</v>
      </c>
      <c r="M123" s="157">
        <v>318</v>
      </c>
      <c r="N123" s="144"/>
      <c r="O123" s="99"/>
      <c r="P123" s="99"/>
      <c r="Q123" s="99"/>
      <c r="R123" s="99"/>
      <c r="S123" s="99"/>
      <c r="T123" s="99"/>
      <c r="U123" s="99"/>
      <c r="V123" s="99"/>
      <c r="W123" s="99"/>
      <c r="X123" s="108">
        <f>2916000</f>
        <v>2916000</v>
      </c>
      <c r="Y123" s="157">
        <f>3240000+3240000</f>
        <v>6480000</v>
      </c>
      <c r="Z123" s="155">
        <f t="shared" si="71"/>
        <v>9396000</v>
      </c>
      <c r="AA123" s="520">
        <f t="shared" si="72"/>
        <v>1976358</v>
      </c>
      <c r="AC123" s="83" t="s">
        <v>791</v>
      </c>
      <c r="AD123" s="88" t="str">
        <f t="shared" si="64"/>
        <v>485 - 776</v>
      </c>
      <c r="AE123" s="111">
        <f t="shared" si="65"/>
        <v>11372358</v>
      </c>
      <c r="AF123" s="117">
        <v>42999</v>
      </c>
      <c r="AG123" s="109" t="str">
        <f t="shared" si="66"/>
        <v>834 - 1173</v>
      </c>
      <c r="AH123" s="111">
        <f t="shared" si="67"/>
        <v>11372358</v>
      </c>
      <c r="AI123" s="121">
        <v>43012</v>
      </c>
      <c r="AJ123" s="88" t="s">
        <v>843</v>
      </c>
      <c r="AK123" s="111">
        <f>M123</f>
        <v>318</v>
      </c>
      <c r="AL123" s="111"/>
      <c r="AM123" s="106"/>
    </row>
    <row r="124" spans="1:39" s="112" customFormat="1" ht="76.5">
      <c r="A124" s="522" t="s">
        <v>180</v>
      </c>
      <c r="B124" s="92">
        <f t="shared" ref="B124:B131" si="77">J124</f>
        <v>612600</v>
      </c>
      <c r="C124" s="89" t="s">
        <v>78</v>
      </c>
      <c r="D124" s="108" t="s">
        <v>120</v>
      </c>
      <c r="E124" s="89" t="s">
        <v>121</v>
      </c>
      <c r="F124" s="108" t="s">
        <v>734</v>
      </c>
      <c r="G124" s="89" t="s">
        <v>122</v>
      </c>
      <c r="H124" s="64"/>
      <c r="I124" s="140">
        <v>545</v>
      </c>
      <c r="J124" s="115">
        <f>612600</f>
        <v>612600</v>
      </c>
      <c r="K124" s="108">
        <v>865</v>
      </c>
      <c r="L124" s="108">
        <v>612600</v>
      </c>
      <c r="M124" s="157">
        <v>5107</v>
      </c>
      <c r="N124" s="144"/>
      <c r="O124" s="99"/>
      <c r="P124" s="99"/>
      <c r="Q124" s="99"/>
      <c r="R124" s="99"/>
      <c r="S124" s="99"/>
      <c r="T124" s="99"/>
      <c r="U124" s="99"/>
      <c r="V124" s="99"/>
      <c r="W124" s="108"/>
      <c r="X124" s="108">
        <v>612600</v>
      </c>
      <c r="Y124" s="143"/>
      <c r="Z124" s="155">
        <f t="shared" si="71"/>
        <v>612600</v>
      </c>
      <c r="AA124" s="520">
        <f t="shared" si="72"/>
        <v>0</v>
      </c>
      <c r="AC124" s="83" t="s">
        <v>849</v>
      </c>
      <c r="AD124" s="88">
        <f t="shared" si="64"/>
        <v>545</v>
      </c>
      <c r="AE124" s="111">
        <f t="shared" si="65"/>
        <v>612600</v>
      </c>
      <c r="AF124" s="117">
        <v>42996</v>
      </c>
      <c r="AG124" s="109">
        <f t="shared" si="66"/>
        <v>865</v>
      </c>
      <c r="AH124" s="111">
        <f t="shared" si="67"/>
        <v>612600</v>
      </c>
      <c r="AI124" s="121">
        <v>43026</v>
      </c>
      <c r="AJ124" s="88" t="s">
        <v>594</v>
      </c>
      <c r="AK124" s="111">
        <f>M124</f>
        <v>5107</v>
      </c>
      <c r="AL124" s="111"/>
      <c r="AM124" s="106"/>
    </row>
    <row r="125" spans="1:39" s="112" customFormat="1" ht="63.75">
      <c r="A125" s="522" t="s">
        <v>180</v>
      </c>
      <c r="B125" s="92">
        <f t="shared" si="77"/>
        <v>250600</v>
      </c>
      <c r="C125" s="89" t="s">
        <v>78</v>
      </c>
      <c r="D125" s="108" t="s">
        <v>120</v>
      </c>
      <c r="E125" s="89" t="s">
        <v>121</v>
      </c>
      <c r="F125" s="108" t="s">
        <v>734</v>
      </c>
      <c r="G125" s="89" t="s">
        <v>122</v>
      </c>
      <c r="H125" s="64"/>
      <c r="I125" s="140">
        <v>593</v>
      </c>
      <c r="J125" s="115">
        <v>250600</v>
      </c>
      <c r="K125" s="108">
        <v>941</v>
      </c>
      <c r="L125" s="108">
        <v>250600</v>
      </c>
      <c r="M125" s="145">
        <v>267</v>
      </c>
      <c r="N125" s="144"/>
      <c r="O125" s="99"/>
      <c r="P125" s="99"/>
      <c r="Q125" s="99"/>
      <c r="R125" s="99"/>
      <c r="S125" s="99"/>
      <c r="T125" s="99"/>
      <c r="U125" s="99"/>
      <c r="V125" s="99"/>
      <c r="W125" s="99"/>
      <c r="X125" s="108">
        <f>250600</f>
        <v>250600</v>
      </c>
      <c r="Y125" s="143"/>
      <c r="Z125" s="155">
        <f t="shared" si="71"/>
        <v>250600</v>
      </c>
      <c r="AA125" s="520">
        <f t="shared" si="72"/>
        <v>0</v>
      </c>
      <c r="AC125" s="83" t="s">
        <v>943</v>
      </c>
      <c r="AD125" s="89">
        <f t="shared" ref="AD125:AD131" si="78">+I125</f>
        <v>593</v>
      </c>
      <c r="AE125" s="111">
        <f t="shared" ref="AE125:AE132" si="79">J125</f>
        <v>250600</v>
      </c>
      <c r="AF125" s="117">
        <v>43053</v>
      </c>
      <c r="AG125" s="109">
        <f>+K125</f>
        <v>941</v>
      </c>
      <c r="AH125" s="111">
        <f t="shared" ref="AH125:AH132" si="80">L125</f>
        <v>250600</v>
      </c>
      <c r="AI125" s="121">
        <v>43053</v>
      </c>
      <c r="AJ125" s="88" t="s">
        <v>594</v>
      </c>
      <c r="AK125" s="111"/>
      <c r="AL125" s="111"/>
      <c r="AM125" s="106"/>
    </row>
    <row r="126" spans="1:39" s="112" customFormat="1" ht="63.75">
      <c r="A126" s="522" t="s">
        <v>180</v>
      </c>
      <c r="B126" s="92">
        <f t="shared" si="77"/>
        <v>11333333</v>
      </c>
      <c r="C126" s="89" t="s">
        <v>78</v>
      </c>
      <c r="D126" s="108" t="s">
        <v>120</v>
      </c>
      <c r="E126" s="89" t="s">
        <v>121</v>
      </c>
      <c r="F126" s="108" t="s">
        <v>734</v>
      </c>
      <c r="G126" s="89" t="s">
        <v>122</v>
      </c>
      <c r="H126" s="64">
        <v>542</v>
      </c>
      <c r="I126" s="140">
        <v>690</v>
      </c>
      <c r="J126" s="115">
        <f>11333333</f>
        <v>11333333</v>
      </c>
      <c r="K126" s="108">
        <v>1094</v>
      </c>
      <c r="L126" s="108">
        <f>11333333</f>
        <v>11333333</v>
      </c>
      <c r="M126" s="157">
        <v>398</v>
      </c>
      <c r="N126" s="144"/>
      <c r="O126" s="99"/>
      <c r="P126" s="99"/>
      <c r="Q126" s="99"/>
      <c r="R126" s="99"/>
      <c r="S126" s="99"/>
      <c r="T126" s="99"/>
      <c r="U126" s="99"/>
      <c r="V126" s="99"/>
      <c r="W126" s="99"/>
      <c r="X126" s="99"/>
      <c r="Y126" s="143"/>
      <c r="Z126" s="155">
        <f t="shared" si="71"/>
        <v>0</v>
      </c>
      <c r="AA126" s="520">
        <f t="shared" si="72"/>
        <v>11333333</v>
      </c>
      <c r="AC126" s="83" t="s">
        <v>1098</v>
      </c>
      <c r="AD126" s="88">
        <f t="shared" si="78"/>
        <v>690</v>
      </c>
      <c r="AE126" s="111">
        <f t="shared" si="79"/>
        <v>11333333</v>
      </c>
      <c r="AF126" s="117">
        <v>43070</v>
      </c>
      <c r="AG126" s="109">
        <f t="shared" ref="AG126:AG131" si="81">K126</f>
        <v>1094</v>
      </c>
      <c r="AH126" s="111">
        <f t="shared" si="80"/>
        <v>11333333</v>
      </c>
      <c r="AI126" s="121">
        <v>43084</v>
      </c>
      <c r="AJ126" s="88" t="s">
        <v>1156</v>
      </c>
      <c r="AK126" s="111">
        <f t="shared" ref="AK126:AK131" si="82">M126</f>
        <v>398</v>
      </c>
      <c r="AL126" s="111"/>
      <c r="AM126" s="106"/>
    </row>
    <row r="127" spans="1:39" s="112" customFormat="1" ht="63.75">
      <c r="A127" s="522" t="s">
        <v>180</v>
      </c>
      <c r="B127" s="92">
        <f t="shared" si="77"/>
        <v>15236664</v>
      </c>
      <c r="C127" s="89" t="s">
        <v>78</v>
      </c>
      <c r="D127" s="108" t="s">
        <v>120</v>
      </c>
      <c r="E127" s="89" t="s">
        <v>121</v>
      </c>
      <c r="F127" s="108" t="s">
        <v>734</v>
      </c>
      <c r="G127" s="89" t="s">
        <v>122</v>
      </c>
      <c r="H127" s="529">
        <v>529</v>
      </c>
      <c r="I127" s="140">
        <v>791</v>
      </c>
      <c r="J127" s="115">
        <f>15236664</f>
        <v>15236664</v>
      </c>
      <c r="K127" s="108">
        <v>1224</v>
      </c>
      <c r="L127" s="108">
        <f>15236664</f>
        <v>15236664</v>
      </c>
      <c r="M127" s="157">
        <v>417</v>
      </c>
      <c r="N127" s="144"/>
      <c r="O127" s="99"/>
      <c r="P127" s="99"/>
      <c r="Q127" s="99"/>
      <c r="R127" s="99"/>
      <c r="S127" s="99"/>
      <c r="T127" s="99"/>
      <c r="U127" s="99"/>
      <c r="V127" s="99"/>
      <c r="W127" s="99"/>
      <c r="X127" s="99"/>
      <c r="Y127" s="143"/>
      <c r="Z127" s="155">
        <f t="shared" si="71"/>
        <v>0</v>
      </c>
      <c r="AA127" s="520">
        <f t="shared" si="72"/>
        <v>15236664</v>
      </c>
      <c r="AC127" s="83" t="s">
        <v>1157</v>
      </c>
      <c r="AD127" s="88">
        <f t="shared" si="78"/>
        <v>791</v>
      </c>
      <c r="AE127" s="111">
        <f t="shared" si="79"/>
        <v>15236664</v>
      </c>
      <c r="AF127" s="117"/>
      <c r="AG127" s="109">
        <f t="shared" si="81"/>
        <v>1224</v>
      </c>
      <c r="AH127" s="111">
        <f t="shared" si="80"/>
        <v>15236664</v>
      </c>
      <c r="AI127" s="121">
        <v>43097</v>
      </c>
      <c r="AJ127" s="88" t="s">
        <v>1158</v>
      </c>
      <c r="AK127" s="111">
        <f t="shared" si="82"/>
        <v>417</v>
      </c>
      <c r="AL127" s="111"/>
      <c r="AM127" s="106"/>
    </row>
    <row r="128" spans="1:39" s="112" customFormat="1" ht="63.75">
      <c r="A128" s="522" t="s">
        <v>180</v>
      </c>
      <c r="B128" s="92">
        <f t="shared" si="77"/>
        <v>5078888</v>
      </c>
      <c r="C128" s="89" t="s">
        <v>78</v>
      </c>
      <c r="D128" s="108" t="s">
        <v>120</v>
      </c>
      <c r="E128" s="89" t="s">
        <v>121</v>
      </c>
      <c r="F128" s="108" t="s">
        <v>734</v>
      </c>
      <c r="G128" s="89" t="s">
        <v>122</v>
      </c>
      <c r="H128" s="477">
        <v>530</v>
      </c>
      <c r="I128" s="140">
        <v>789</v>
      </c>
      <c r="J128" s="115">
        <f>5078888</f>
        <v>5078888</v>
      </c>
      <c r="K128" s="108">
        <v>1228</v>
      </c>
      <c r="L128" s="108">
        <f>5078888</f>
        <v>5078888</v>
      </c>
      <c r="M128" s="157">
        <v>419</v>
      </c>
      <c r="N128" s="144"/>
      <c r="O128" s="99"/>
      <c r="P128" s="99"/>
      <c r="Q128" s="99"/>
      <c r="R128" s="99"/>
      <c r="S128" s="99"/>
      <c r="T128" s="99"/>
      <c r="U128" s="99"/>
      <c r="V128" s="99"/>
      <c r="W128" s="99"/>
      <c r="X128" s="99"/>
      <c r="Y128" s="143"/>
      <c r="Z128" s="155">
        <f t="shared" si="71"/>
        <v>0</v>
      </c>
      <c r="AA128" s="520">
        <f t="shared" si="72"/>
        <v>5078888</v>
      </c>
      <c r="AC128" s="83" t="s">
        <v>1157</v>
      </c>
      <c r="AD128" s="88">
        <f t="shared" si="78"/>
        <v>789</v>
      </c>
      <c r="AE128" s="111">
        <f t="shared" si="79"/>
        <v>5078888</v>
      </c>
      <c r="AF128" s="117"/>
      <c r="AG128" s="109">
        <f t="shared" si="81"/>
        <v>1228</v>
      </c>
      <c r="AH128" s="111">
        <f t="shared" si="80"/>
        <v>5078888</v>
      </c>
      <c r="AI128" s="121">
        <v>43097</v>
      </c>
      <c r="AJ128" s="88" t="s">
        <v>1159</v>
      </c>
      <c r="AK128" s="111">
        <f t="shared" si="82"/>
        <v>419</v>
      </c>
      <c r="AL128" s="111"/>
      <c r="AM128" s="106"/>
    </row>
    <row r="129" spans="1:39" s="112" customFormat="1" ht="63.75">
      <c r="A129" s="522" t="s">
        <v>180</v>
      </c>
      <c r="B129" s="92">
        <f t="shared" si="77"/>
        <v>15236664</v>
      </c>
      <c r="C129" s="89" t="s">
        <v>78</v>
      </c>
      <c r="D129" s="108" t="s">
        <v>120</v>
      </c>
      <c r="E129" s="89" t="s">
        <v>121</v>
      </c>
      <c r="F129" s="108" t="s">
        <v>734</v>
      </c>
      <c r="G129" s="89" t="s">
        <v>122</v>
      </c>
      <c r="H129" s="477">
        <v>531</v>
      </c>
      <c r="I129" s="140">
        <v>798</v>
      </c>
      <c r="J129" s="115">
        <f>15236664</f>
        <v>15236664</v>
      </c>
      <c r="K129" s="108">
        <v>1225</v>
      </c>
      <c r="L129" s="108">
        <f>15236664</f>
        <v>15236664</v>
      </c>
      <c r="M129" s="157">
        <v>414</v>
      </c>
      <c r="N129" s="144"/>
      <c r="O129" s="99"/>
      <c r="P129" s="99"/>
      <c r="Q129" s="99"/>
      <c r="R129" s="99"/>
      <c r="S129" s="99"/>
      <c r="T129" s="99"/>
      <c r="U129" s="99"/>
      <c r="V129" s="99"/>
      <c r="W129" s="99"/>
      <c r="X129" s="99"/>
      <c r="Y129" s="143"/>
      <c r="Z129" s="155">
        <f t="shared" si="71"/>
        <v>0</v>
      </c>
      <c r="AA129" s="520">
        <f t="shared" si="72"/>
        <v>15236664</v>
      </c>
      <c r="AC129" s="83" t="s">
        <v>1157</v>
      </c>
      <c r="AD129" s="88">
        <f t="shared" si="78"/>
        <v>798</v>
      </c>
      <c r="AE129" s="111">
        <f t="shared" si="79"/>
        <v>15236664</v>
      </c>
      <c r="AF129" s="117"/>
      <c r="AG129" s="109">
        <f t="shared" si="81"/>
        <v>1225</v>
      </c>
      <c r="AH129" s="111">
        <f t="shared" si="80"/>
        <v>15236664</v>
      </c>
      <c r="AI129" s="121">
        <v>43097</v>
      </c>
      <c r="AJ129" s="88" t="s">
        <v>1160</v>
      </c>
      <c r="AK129" s="111">
        <f t="shared" si="82"/>
        <v>414</v>
      </c>
      <c r="AL129" s="111"/>
      <c r="AM129" s="106"/>
    </row>
    <row r="130" spans="1:39" s="112" customFormat="1" ht="63.75">
      <c r="A130" s="522" t="s">
        <v>180</v>
      </c>
      <c r="B130" s="92">
        <f t="shared" si="77"/>
        <v>15236664</v>
      </c>
      <c r="C130" s="89" t="s">
        <v>78</v>
      </c>
      <c r="D130" s="108" t="s">
        <v>120</v>
      </c>
      <c r="E130" s="89" t="s">
        <v>121</v>
      </c>
      <c r="F130" s="108" t="s">
        <v>734</v>
      </c>
      <c r="G130" s="89" t="s">
        <v>122</v>
      </c>
      <c r="H130" s="477">
        <v>532</v>
      </c>
      <c r="I130" s="140">
        <v>799</v>
      </c>
      <c r="J130" s="115">
        <v>15236664</v>
      </c>
      <c r="K130" s="108">
        <v>1227</v>
      </c>
      <c r="L130" s="108">
        <f>15236664</f>
        <v>15236664</v>
      </c>
      <c r="M130" s="157">
        <v>415</v>
      </c>
      <c r="N130" s="144"/>
      <c r="O130" s="99"/>
      <c r="P130" s="99"/>
      <c r="Q130" s="99"/>
      <c r="R130" s="99"/>
      <c r="S130" s="99"/>
      <c r="T130" s="99"/>
      <c r="U130" s="99"/>
      <c r="V130" s="99"/>
      <c r="W130" s="99"/>
      <c r="X130" s="99"/>
      <c r="Y130" s="143"/>
      <c r="Z130" s="155">
        <f t="shared" si="71"/>
        <v>0</v>
      </c>
      <c r="AA130" s="520">
        <f t="shared" si="72"/>
        <v>15236664</v>
      </c>
      <c r="AC130" s="83" t="s">
        <v>1157</v>
      </c>
      <c r="AD130" s="88">
        <f t="shared" si="78"/>
        <v>799</v>
      </c>
      <c r="AE130" s="111">
        <f t="shared" si="79"/>
        <v>15236664</v>
      </c>
      <c r="AF130" s="117"/>
      <c r="AG130" s="109">
        <f t="shared" si="81"/>
        <v>1227</v>
      </c>
      <c r="AH130" s="111">
        <f t="shared" si="80"/>
        <v>15236664</v>
      </c>
      <c r="AI130" s="121">
        <v>43097</v>
      </c>
      <c r="AJ130" s="88" t="s">
        <v>1161</v>
      </c>
      <c r="AK130" s="111">
        <f t="shared" si="82"/>
        <v>415</v>
      </c>
      <c r="AL130" s="111"/>
      <c r="AM130" s="106"/>
    </row>
    <row r="131" spans="1:39" s="112" customFormat="1" ht="63.75">
      <c r="A131" s="522" t="s">
        <v>180</v>
      </c>
      <c r="B131" s="92">
        <f t="shared" si="77"/>
        <v>15236664</v>
      </c>
      <c r="C131" s="89" t="s">
        <v>78</v>
      </c>
      <c r="D131" s="108" t="s">
        <v>120</v>
      </c>
      <c r="E131" s="89" t="s">
        <v>121</v>
      </c>
      <c r="F131" s="108" t="s">
        <v>734</v>
      </c>
      <c r="G131" s="89" t="s">
        <v>122</v>
      </c>
      <c r="H131" s="477">
        <v>534</v>
      </c>
      <c r="I131" s="140">
        <v>800</v>
      </c>
      <c r="J131" s="115">
        <v>15236664</v>
      </c>
      <c r="K131" s="108">
        <v>1223</v>
      </c>
      <c r="L131" s="108">
        <f>15236664</f>
        <v>15236664</v>
      </c>
      <c r="M131" s="157">
        <v>413</v>
      </c>
      <c r="N131" s="144"/>
      <c r="O131" s="99"/>
      <c r="P131" s="99"/>
      <c r="Q131" s="99"/>
      <c r="R131" s="99"/>
      <c r="S131" s="99"/>
      <c r="T131" s="99"/>
      <c r="U131" s="99"/>
      <c r="V131" s="99"/>
      <c r="W131" s="99"/>
      <c r="X131" s="99"/>
      <c r="Y131" s="143"/>
      <c r="Z131" s="155">
        <f t="shared" si="71"/>
        <v>0</v>
      </c>
      <c r="AA131" s="520">
        <f t="shared" si="72"/>
        <v>15236664</v>
      </c>
      <c r="AC131" s="83" t="s">
        <v>1157</v>
      </c>
      <c r="AD131" s="88">
        <f t="shared" si="78"/>
        <v>800</v>
      </c>
      <c r="AE131" s="111">
        <f t="shared" si="79"/>
        <v>15236664</v>
      </c>
      <c r="AF131" s="117"/>
      <c r="AG131" s="109">
        <f t="shared" si="81"/>
        <v>1223</v>
      </c>
      <c r="AH131" s="111">
        <f t="shared" si="80"/>
        <v>15236664</v>
      </c>
      <c r="AI131" s="121">
        <v>43097</v>
      </c>
      <c r="AJ131" s="88" t="s">
        <v>1162</v>
      </c>
      <c r="AK131" s="111">
        <f t="shared" si="82"/>
        <v>413</v>
      </c>
      <c r="AL131" s="111"/>
      <c r="AM131" s="106"/>
    </row>
    <row r="132" spans="1:39" s="112" customFormat="1" ht="63.75">
      <c r="A132" s="522" t="s">
        <v>180</v>
      </c>
      <c r="B132" s="92">
        <f>J132</f>
        <v>0</v>
      </c>
      <c r="C132" s="89" t="s">
        <v>78</v>
      </c>
      <c r="D132" s="108" t="s">
        <v>120</v>
      </c>
      <c r="E132" s="89" t="s">
        <v>121</v>
      </c>
      <c r="F132" s="108" t="s">
        <v>734</v>
      </c>
      <c r="G132" s="89" t="s">
        <v>122</v>
      </c>
      <c r="H132" s="477"/>
      <c r="I132" s="140"/>
      <c r="J132" s="115"/>
      <c r="K132" s="108"/>
      <c r="L132" s="108"/>
      <c r="M132" s="157"/>
      <c r="N132" s="144"/>
      <c r="O132" s="99"/>
      <c r="P132" s="99"/>
      <c r="Q132" s="99"/>
      <c r="R132" s="99"/>
      <c r="S132" s="99"/>
      <c r="T132" s="99"/>
      <c r="U132" s="99"/>
      <c r="V132" s="99"/>
      <c r="W132" s="99"/>
      <c r="X132" s="99"/>
      <c r="Y132" s="143"/>
      <c r="Z132" s="155">
        <f t="shared" si="71"/>
        <v>0</v>
      </c>
      <c r="AA132" s="520">
        <f t="shared" si="72"/>
        <v>0</v>
      </c>
      <c r="AC132" s="83"/>
      <c r="AD132" s="88"/>
      <c r="AE132" s="111">
        <f t="shared" si="79"/>
        <v>0</v>
      </c>
      <c r="AF132" s="117"/>
      <c r="AG132" s="109"/>
      <c r="AH132" s="111">
        <f t="shared" si="80"/>
        <v>0</v>
      </c>
      <c r="AI132" s="121"/>
      <c r="AJ132" s="88"/>
      <c r="AK132" s="111"/>
      <c r="AL132" s="111"/>
      <c r="AM132" s="106"/>
    </row>
    <row r="133" spans="1:39" s="112" customFormat="1" ht="76.5">
      <c r="A133" s="522" t="s">
        <v>180</v>
      </c>
      <c r="B133" s="92">
        <f t="shared" ref="B133:B134" si="83">J133</f>
        <v>775224</v>
      </c>
      <c r="C133" s="89" t="s">
        <v>78</v>
      </c>
      <c r="D133" s="108" t="s">
        <v>120</v>
      </c>
      <c r="E133" s="89" t="s">
        <v>121</v>
      </c>
      <c r="F133" s="108" t="s">
        <v>734</v>
      </c>
      <c r="G133" s="89" t="s">
        <v>122</v>
      </c>
      <c r="H133" s="478"/>
      <c r="I133" s="85">
        <v>807</v>
      </c>
      <c r="J133" s="141">
        <f>775224</f>
        <v>775224</v>
      </c>
      <c r="K133" s="108">
        <v>1125</v>
      </c>
      <c r="L133" s="108">
        <f>775224</f>
        <v>775224</v>
      </c>
      <c r="M133" s="142">
        <v>6845</v>
      </c>
      <c r="N133" s="144"/>
      <c r="O133" s="99"/>
      <c r="P133" s="99"/>
      <c r="Q133" s="99"/>
      <c r="R133" s="99"/>
      <c r="S133" s="99"/>
      <c r="T133" s="99"/>
      <c r="U133" s="99"/>
      <c r="V133" s="99"/>
      <c r="W133" s="99"/>
      <c r="X133" s="99"/>
      <c r="Y133" s="191">
        <f>775224</f>
        <v>775224</v>
      </c>
      <c r="Z133" s="155">
        <f t="shared" si="71"/>
        <v>775224</v>
      </c>
      <c r="AA133" s="520">
        <f t="shared" si="72"/>
        <v>0</v>
      </c>
      <c r="AC133" s="83" t="s">
        <v>1038</v>
      </c>
      <c r="AD133" s="89">
        <f>+I133</f>
        <v>807</v>
      </c>
      <c r="AE133" s="108">
        <f>+J133</f>
        <v>775224</v>
      </c>
      <c r="AF133" s="117"/>
      <c r="AG133" s="109">
        <f>+K133</f>
        <v>1125</v>
      </c>
      <c r="AH133" s="110">
        <f>+L133</f>
        <v>775224</v>
      </c>
      <c r="AI133" s="121">
        <v>43089</v>
      </c>
      <c r="AJ133" s="89" t="s">
        <v>594</v>
      </c>
      <c r="AK133" s="111">
        <f t="shared" ref="AK133" si="84">+M133</f>
        <v>6845</v>
      </c>
      <c r="AL133" s="111"/>
      <c r="AM133" s="106"/>
    </row>
    <row r="134" spans="1:39" s="112" customFormat="1" ht="76.5">
      <c r="A134" s="522" t="s">
        <v>180</v>
      </c>
      <c r="B134" s="92">
        <f t="shared" si="83"/>
        <v>300448</v>
      </c>
      <c r="C134" s="89" t="s">
        <v>78</v>
      </c>
      <c r="D134" s="108" t="s">
        <v>120</v>
      </c>
      <c r="E134" s="89" t="s">
        <v>121</v>
      </c>
      <c r="F134" s="108" t="s">
        <v>734</v>
      </c>
      <c r="G134" s="89" t="s">
        <v>122</v>
      </c>
      <c r="H134" s="478"/>
      <c r="I134" s="85">
        <v>826</v>
      </c>
      <c r="J134" s="141">
        <v>300448</v>
      </c>
      <c r="K134" s="108">
        <v>1229</v>
      </c>
      <c r="L134" s="108">
        <f>300448</f>
        <v>300448</v>
      </c>
      <c r="M134" s="157">
        <v>7310</v>
      </c>
      <c r="N134" s="144"/>
      <c r="O134" s="99"/>
      <c r="P134" s="99"/>
      <c r="Q134" s="99"/>
      <c r="R134" s="99"/>
      <c r="S134" s="99"/>
      <c r="T134" s="99"/>
      <c r="U134" s="99"/>
      <c r="V134" s="99"/>
      <c r="W134" s="99"/>
      <c r="X134" s="99"/>
      <c r="Y134" s="143"/>
      <c r="Z134" s="155">
        <f t="shared" si="71"/>
        <v>0</v>
      </c>
      <c r="AA134" s="520">
        <f t="shared" si="72"/>
        <v>300448</v>
      </c>
      <c r="AC134" s="83" t="s">
        <v>1039</v>
      </c>
      <c r="AD134" s="88">
        <f>I134</f>
        <v>826</v>
      </c>
      <c r="AE134" s="110">
        <f>J134</f>
        <v>300448</v>
      </c>
      <c r="AF134" s="117"/>
      <c r="AG134" s="109">
        <f>K134</f>
        <v>1229</v>
      </c>
      <c r="AH134" s="110">
        <f>+L134</f>
        <v>300448</v>
      </c>
      <c r="AI134" s="121">
        <v>43097</v>
      </c>
      <c r="AJ134" s="89" t="s">
        <v>594</v>
      </c>
      <c r="AK134" s="111">
        <f>M134</f>
        <v>7310</v>
      </c>
      <c r="AL134" s="111"/>
      <c r="AM134" s="106"/>
    </row>
    <row r="135" spans="1:39" s="116" customFormat="1">
      <c r="A135" s="255" t="s">
        <v>132</v>
      </c>
      <c r="B135" s="99">
        <f>B90-B91-B92-B93-B94-B95-B96-B97-B98-B99-B100-B101-B102-B103-B104-B105-B106-B107-B108-B109-B110-B111-B112-B113-B114-B115-B116-B117-B118-B119-B120-B121-B122-B123-B124-B125-B126-B127-B128-B129-B130-B131-B132-B133-B134</f>
        <v>38216661</v>
      </c>
      <c r="C135" s="99">
        <f>15236664</f>
        <v>15236664</v>
      </c>
      <c r="D135" s="99"/>
      <c r="E135" s="99"/>
      <c r="F135" s="99"/>
      <c r="G135" s="164"/>
      <c r="H135" s="144"/>
      <c r="I135" s="144"/>
      <c r="J135" s="135">
        <f>SUM(J90:J134)</f>
        <v>1006044533</v>
      </c>
      <c r="K135" s="99"/>
      <c r="L135" s="99">
        <f>SUM(L90:L134)</f>
        <v>1006044533</v>
      </c>
      <c r="M135" s="136"/>
      <c r="N135" s="144">
        <f>SUM(N90:N111)</f>
        <v>0</v>
      </c>
      <c r="O135" s="99">
        <f>SUM(O90:O117)</f>
        <v>10250000</v>
      </c>
      <c r="P135" s="99">
        <f>SUM(P90:P117)</f>
        <v>28486667</v>
      </c>
      <c r="Q135" s="99">
        <f>SUM(Q90:Q117)</f>
        <v>68627629</v>
      </c>
      <c r="R135" s="99">
        <f>SUM(R90:R117)</f>
        <v>85593295</v>
      </c>
      <c r="S135" s="99">
        <f>SUM(S90:S117)</f>
        <v>86902998</v>
      </c>
      <c r="T135" s="99">
        <f t="shared" ref="T135:W135" si="85">SUM(T90:T132)</f>
        <v>84165498</v>
      </c>
      <c r="U135" s="99">
        <f t="shared" si="85"/>
        <v>92930431</v>
      </c>
      <c r="V135" s="99">
        <f t="shared" si="85"/>
        <v>104007165</v>
      </c>
      <c r="W135" s="99">
        <f t="shared" si="85"/>
        <v>78033498</v>
      </c>
      <c r="X135" s="99">
        <f>SUM(X90:X134)</f>
        <v>84596032</v>
      </c>
      <c r="Y135" s="99">
        <f>SUM(Y90:Y134)</f>
        <v>169322220</v>
      </c>
      <c r="Z135" s="99">
        <f t="shared" ref="Z135" si="86">SUM(Z90:Z134)</f>
        <v>892915433</v>
      </c>
      <c r="AA135" s="523">
        <f>SUM(AA90:AA134)</f>
        <v>113129100</v>
      </c>
      <c r="AC135" s="100"/>
      <c r="AD135" s="44"/>
      <c r="AE135" s="99">
        <f>SUM(AE90:AE111)</f>
        <v>768535292</v>
      </c>
      <c r="AF135" s="118"/>
      <c r="AG135" s="109"/>
      <c r="AH135" s="99">
        <f>SUM(AH90:AH111)</f>
        <v>768535292</v>
      </c>
      <c r="AI135" s="54"/>
      <c r="AJ135" s="54"/>
      <c r="AK135" s="101"/>
      <c r="AL135" s="101"/>
      <c r="AM135" s="99">
        <f>SUM(AM90:AM111)</f>
        <v>0</v>
      </c>
    </row>
    <row r="136" spans="1:39" s="112" customFormat="1" ht="90" customHeight="1">
      <c r="A136" s="373" t="s">
        <v>155</v>
      </c>
      <c r="B136" s="54">
        <f>80000000+5893333</f>
        <v>85893333</v>
      </c>
      <c r="C136" s="374" t="s">
        <v>78</v>
      </c>
      <c r="D136" s="374" t="s">
        <v>156</v>
      </c>
      <c r="E136" s="374" t="s">
        <v>121</v>
      </c>
      <c r="F136" s="374" t="s">
        <v>734</v>
      </c>
      <c r="G136" s="374" t="s">
        <v>122</v>
      </c>
      <c r="H136" s="65"/>
      <c r="I136" s="134"/>
      <c r="J136" s="135"/>
      <c r="K136" s="99"/>
      <c r="L136" s="99"/>
      <c r="M136" s="136"/>
      <c r="N136" s="137"/>
      <c r="O136" s="54"/>
      <c r="P136" s="54"/>
      <c r="Q136" s="54"/>
      <c r="R136" s="54"/>
      <c r="S136" s="54"/>
      <c r="T136" s="54"/>
      <c r="U136" s="54"/>
      <c r="V136" s="54"/>
      <c r="W136" s="54"/>
      <c r="X136" s="54"/>
      <c r="Y136" s="136"/>
      <c r="Z136" s="155">
        <f>SUM(N136:Y136)</f>
        <v>0</v>
      </c>
      <c r="AA136" s="520">
        <f>L136-Z136</f>
        <v>0</v>
      </c>
      <c r="AC136" s="83"/>
      <c r="AD136" s="88">
        <f>I136</f>
        <v>0</v>
      </c>
      <c r="AE136" s="111">
        <f>J136</f>
        <v>0</v>
      </c>
      <c r="AF136" s="117"/>
      <c r="AG136" s="109">
        <f t="shared" ref="AG136:AH138" si="87">K136</f>
        <v>0</v>
      </c>
      <c r="AH136" s="111">
        <f t="shared" si="87"/>
        <v>0</v>
      </c>
      <c r="AI136" s="88"/>
      <c r="AJ136" s="88"/>
      <c r="AK136" s="111">
        <f>M136</f>
        <v>0</v>
      </c>
      <c r="AL136" s="111"/>
      <c r="AM136" s="101">
        <f>AE136-AH136</f>
        <v>0</v>
      </c>
    </row>
    <row r="137" spans="1:39" s="112" customFormat="1" ht="63.75">
      <c r="A137" s="375" t="s">
        <v>155</v>
      </c>
      <c r="B137" s="92">
        <f>J137</f>
        <v>52000000</v>
      </c>
      <c r="C137" s="374" t="s">
        <v>78</v>
      </c>
      <c r="D137" s="374" t="s">
        <v>156</v>
      </c>
      <c r="E137" s="374" t="s">
        <v>121</v>
      </c>
      <c r="F137" s="374" t="s">
        <v>734</v>
      </c>
      <c r="G137" s="374" t="s">
        <v>122</v>
      </c>
      <c r="H137" s="64">
        <v>204</v>
      </c>
      <c r="I137" s="140" t="s">
        <v>912</v>
      </c>
      <c r="J137" s="141">
        <f>67458133-67458133+41600000+10400000</f>
        <v>52000000</v>
      </c>
      <c r="K137" s="108" t="s">
        <v>981</v>
      </c>
      <c r="L137" s="108">
        <f>41600000+10400000</f>
        <v>52000000</v>
      </c>
      <c r="M137" s="142">
        <v>173</v>
      </c>
      <c r="N137" s="137"/>
      <c r="O137" s="54"/>
      <c r="P137" s="54"/>
      <c r="Q137" s="89">
        <v>2773333</v>
      </c>
      <c r="R137" s="89">
        <v>5200000</v>
      </c>
      <c r="S137" s="89">
        <f>5200000</f>
        <v>5200000</v>
      </c>
      <c r="T137" s="89">
        <v>5200000</v>
      </c>
      <c r="U137" s="89">
        <f>5200000</f>
        <v>5200000</v>
      </c>
      <c r="V137" s="89">
        <f>5200000</f>
        <v>5200000</v>
      </c>
      <c r="W137" s="89">
        <f>5200000</f>
        <v>5200000</v>
      </c>
      <c r="X137" s="89">
        <f>5200000</f>
        <v>5200000</v>
      </c>
      <c r="Y137" s="142">
        <f>2426667+2773333+5200000</f>
        <v>10400000</v>
      </c>
      <c r="Z137" s="155">
        <f>SUM(N137:Y137)</f>
        <v>49573333</v>
      </c>
      <c r="AA137" s="520">
        <f>L137-Z137</f>
        <v>2426667</v>
      </c>
      <c r="AC137" s="83" t="s">
        <v>461</v>
      </c>
      <c r="AD137" s="88" t="str">
        <f>I137</f>
        <v>223 - 591</v>
      </c>
      <c r="AE137" s="111">
        <f>J137</f>
        <v>52000000</v>
      </c>
      <c r="AF137" s="117">
        <v>42804</v>
      </c>
      <c r="AG137" s="109" t="str">
        <f t="shared" si="87"/>
        <v>365 - 946</v>
      </c>
      <c r="AH137" s="111">
        <f t="shared" si="87"/>
        <v>52000000</v>
      </c>
      <c r="AI137" s="121">
        <v>42809</v>
      </c>
      <c r="AJ137" s="88" t="s">
        <v>542</v>
      </c>
      <c r="AK137" s="111">
        <f>M137</f>
        <v>173</v>
      </c>
      <c r="AL137" s="111">
        <v>52516200</v>
      </c>
      <c r="AM137" s="101">
        <f>AE137-AH137</f>
        <v>0</v>
      </c>
    </row>
    <row r="138" spans="1:39" s="112" customFormat="1" ht="63.75">
      <c r="A138" s="375" t="s">
        <v>155</v>
      </c>
      <c r="B138" s="92">
        <f>J138</f>
        <v>9971572</v>
      </c>
      <c r="C138" s="374" t="s">
        <v>78</v>
      </c>
      <c r="D138" s="374" t="s">
        <v>156</v>
      </c>
      <c r="E138" s="374" t="s">
        <v>121</v>
      </c>
      <c r="F138" s="374" t="s">
        <v>734</v>
      </c>
      <c r="G138" s="374" t="s">
        <v>122</v>
      </c>
      <c r="H138" s="64">
        <v>437</v>
      </c>
      <c r="I138" s="140">
        <v>510</v>
      </c>
      <c r="J138" s="141">
        <f>33893333-23921761</f>
        <v>9971572</v>
      </c>
      <c r="K138" s="108">
        <f>933</f>
        <v>933</v>
      </c>
      <c r="L138" s="108">
        <f>9971572</f>
        <v>9971572</v>
      </c>
      <c r="M138" s="142">
        <v>355</v>
      </c>
      <c r="N138" s="144"/>
      <c r="O138" s="144"/>
      <c r="P138" s="144"/>
      <c r="Q138" s="146"/>
      <c r="R138" s="146"/>
      <c r="S138" s="146"/>
      <c r="T138" s="146"/>
      <c r="U138" s="146"/>
      <c r="V138" s="144"/>
      <c r="W138" s="144"/>
      <c r="X138" s="144"/>
      <c r="Y138" s="136"/>
      <c r="Z138" s="155">
        <f>SUM(N138:Y138)</f>
        <v>0</v>
      </c>
      <c r="AA138" s="520">
        <f>L138-Z138</f>
        <v>9971572</v>
      </c>
      <c r="AC138" s="83" t="s">
        <v>754</v>
      </c>
      <c r="AD138" s="88">
        <f>I138</f>
        <v>510</v>
      </c>
      <c r="AE138" s="111">
        <f>+J138</f>
        <v>9971572</v>
      </c>
      <c r="AF138" s="117">
        <v>43007</v>
      </c>
      <c r="AG138" s="109">
        <f t="shared" si="87"/>
        <v>933</v>
      </c>
      <c r="AH138" s="111">
        <f t="shared" si="87"/>
        <v>9971572</v>
      </c>
      <c r="AI138" s="121">
        <v>43049</v>
      </c>
      <c r="AJ138" s="88" t="s">
        <v>970</v>
      </c>
      <c r="AK138" s="111">
        <f t="shared" ref="AK138" si="88">M138</f>
        <v>355</v>
      </c>
      <c r="AL138" s="111"/>
      <c r="AM138" s="101"/>
    </row>
    <row r="139" spans="1:39" s="116" customFormat="1">
      <c r="A139" s="255" t="s">
        <v>132</v>
      </c>
      <c r="B139" s="99">
        <f>B136-B137-B138</f>
        <v>23921761</v>
      </c>
      <c r="C139" s="99"/>
      <c r="D139" s="99"/>
      <c r="E139" s="99"/>
      <c r="F139" s="99"/>
      <c r="G139" s="164"/>
      <c r="H139" s="144"/>
      <c r="I139" s="99"/>
      <c r="J139" s="135">
        <f>SUM(J136:J138)</f>
        <v>61971572</v>
      </c>
      <c r="K139" s="99"/>
      <c r="L139" s="99">
        <f>SUM(L136:L138)</f>
        <v>61971572</v>
      </c>
      <c r="M139" s="136"/>
      <c r="N139" s="144">
        <f>SUM(N136:N137)</f>
        <v>0</v>
      </c>
      <c r="O139" s="144">
        <f>SUM(O136:O137)</f>
        <v>0</v>
      </c>
      <c r="P139" s="144">
        <f>SUM(P136:P137)</f>
        <v>0</v>
      </c>
      <c r="Q139" s="144">
        <f t="shared" ref="Q139:W139" si="89">SUM(Q136:Q138)</f>
        <v>2773333</v>
      </c>
      <c r="R139" s="144">
        <f t="shared" si="89"/>
        <v>5200000</v>
      </c>
      <c r="S139" s="144">
        <f t="shared" si="89"/>
        <v>5200000</v>
      </c>
      <c r="T139" s="144">
        <f t="shared" si="89"/>
        <v>5200000</v>
      </c>
      <c r="U139" s="144">
        <f t="shared" si="89"/>
        <v>5200000</v>
      </c>
      <c r="V139" s="144">
        <f t="shared" si="89"/>
        <v>5200000</v>
      </c>
      <c r="W139" s="144">
        <f t="shared" si="89"/>
        <v>5200000</v>
      </c>
      <c r="X139" s="144">
        <f>SUM(X136:X138)</f>
        <v>5200000</v>
      </c>
      <c r="Y139" s="144">
        <f>SUM(Y136:Y138)</f>
        <v>10400000</v>
      </c>
      <c r="Z139" s="144">
        <f t="shared" ref="Z139" si="90">SUM(Z136:Z138)</f>
        <v>49573333</v>
      </c>
      <c r="AA139" s="524">
        <f>SUM(AA136:AA138)</f>
        <v>12398239</v>
      </c>
      <c r="AC139" s="100"/>
      <c r="AD139" s="44"/>
      <c r="AE139" s="101">
        <f>SUM(AE136:AE137)</f>
        <v>52000000</v>
      </c>
      <c r="AF139" s="118"/>
      <c r="AG139" s="109"/>
      <c r="AH139" s="101">
        <f>SUM(AH136:AH137)</f>
        <v>52000000</v>
      </c>
      <c r="AI139" s="54"/>
      <c r="AJ139" s="54"/>
      <c r="AK139" s="101"/>
      <c r="AL139" s="101"/>
      <c r="AM139" s="101">
        <f>SUM(AM136:AM137)</f>
        <v>0</v>
      </c>
    </row>
    <row r="140" spans="1:39" s="112" customFormat="1" ht="63.75">
      <c r="A140" s="252" t="s">
        <v>150</v>
      </c>
      <c r="B140" s="55">
        <f>366786000+520839026-5172019-5893333-6784029-7163454</f>
        <v>862612191</v>
      </c>
      <c r="C140" s="88" t="s">
        <v>78</v>
      </c>
      <c r="D140" s="88" t="s">
        <v>120</v>
      </c>
      <c r="E140" s="88" t="s">
        <v>121</v>
      </c>
      <c r="F140" s="88" t="s">
        <v>734</v>
      </c>
      <c r="G140" s="88" t="s">
        <v>122</v>
      </c>
      <c r="H140" s="65"/>
      <c r="I140" s="134"/>
      <c r="J140" s="135"/>
      <c r="K140" s="99"/>
      <c r="L140" s="99"/>
      <c r="M140" s="136"/>
      <c r="N140" s="137"/>
      <c r="O140" s="54"/>
      <c r="P140" s="54"/>
      <c r="Q140" s="54"/>
      <c r="R140" s="54"/>
      <c r="S140" s="54"/>
      <c r="T140" s="54"/>
      <c r="U140" s="54"/>
      <c r="V140" s="54"/>
      <c r="W140" s="54"/>
      <c r="X140" s="54"/>
      <c r="Y140" s="136"/>
      <c r="Z140" s="155">
        <f>SUM(N140:Y140)</f>
        <v>0</v>
      </c>
      <c r="AA140" s="520">
        <f t="shared" ref="AA140" si="91">L140-Z140</f>
        <v>0</v>
      </c>
      <c r="AC140" s="83"/>
      <c r="AD140" s="88">
        <f t="shared" ref="AD140:AD159" si="92">I140</f>
        <v>0</v>
      </c>
      <c r="AE140" s="111">
        <f t="shared" ref="AE140:AE159" si="93">J140</f>
        <v>0</v>
      </c>
      <c r="AF140" s="117"/>
      <c r="AG140" s="109">
        <f t="shared" ref="AG140:AG159" si="94">K140</f>
        <v>0</v>
      </c>
      <c r="AH140" s="111">
        <f t="shared" ref="AH140:AH159" si="95">L140</f>
        <v>0</v>
      </c>
      <c r="AI140" s="88"/>
      <c r="AJ140" s="88"/>
      <c r="AK140" s="111">
        <f t="shared" ref="AK140:AK159" si="96">M140</f>
        <v>0</v>
      </c>
      <c r="AL140" s="111"/>
      <c r="AM140" s="101">
        <f t="shared" ref="AM140:AM159" si="97">AE140-AH140</f>
        <v>0</v>
      </c>
    </row>
    <row r="141" spans="1:39" s="112" customFormat="1" ht="63.75">
      <c r="A141" s="254" t="s">
        <v>150</v>
      </c>
      <c r="B141" s="92">
        <f t="shared" ref="B141:B149" si="98">J141</f>
        <v>43848805</v>
      </c>
      <c r="C141" s="88" t="s">
        <v>78</v>
      </c>
      <c r="D141" s="88" t="s">
        <v>120</v>
      </c>
      <c r="E141" s="88" t="s">
        <v>121</v>
      </c>
      <c r="F141" s="88" t="s">
        <v>734</v>
      </c>
      <c r="G141" s="88" t="s">
        <v>122</v>
      </c>
      <c r="H141" s="64">
        <v>280</v>
      </c>
      <c r="I141" s="140" t="s">
        <v>941</v>
      </c>
      <c r="J141" s="141">
        <f>40588646-1124722+4384881</f>
        <v>43848805</v>
      </c>
      <c r="K141" s="108" t="s">
        <v>1326</v>
      </c>
      <c r="L141" s="108">
        <f>39463924+1124722-1124722+4384881</f>
        <v>43848805</v>
      </c>
      <c r="M141" s="142">
        <v>52</v>
      </c>
      <c r="N141" s="139"/>
      <c r="O141" s="89"/>
      <c r="P141" s="89">
        <v>4384880</v>
      </c>
      <c r="Q141" s="89">
        <v>3758469</v>
      </c>
      <c r="R141" s="89">
        <v>3758469</v>
      </c>
      <c r="S141" s="89">
        <f>3758469</f>
        <v>3758469</v>
      </c>
      <c r="T141" s="89">
        <v>3758469</v>
      </c>
      <c r="U141" s="89">
        <f>3758469</f>
        <v>3758469</v>
      </c>
      <c r="V141" s="89">
        <f>3758469</f>
        <v>3758469</v>
      </c>
      <c r="W141" s="89">
        <f>3758469</f>
        <v>3758469</v>
      </c>
      <c r="X141" s="89">
        <f>3758469</f>
        <v>3758469</v>
      </c>
      <c r="Y141" s="142">
        <f>3758469+1252823+2505646</f>
        <v>7516938</v>
      </c>
      <c r="Z141" s="155">
        <f>SUM(N141:Y141)</f>
        <v>41969570</v>
      </c>
      <c r="AA141" s="520">
        <f>L141-Z141</f>
        <v>1879235</v>
      </c>
      <c r="AC141" s="83" t="s">
        <v>284</v>
      </c>
      <c r="AD141" s="88" t="str">
        <f t="shared" si="92"/>
        <v>51 - 639</v>
      </c>
      <c r="AE141" s="111">
        <f t="shared" si="93"/>
        <v>43848805</v>
      </c>
      <c r="AF141" s="117">
        <v>42751</v>
      </c>
      <c r="AG141" s="109" t="str">
        <f t="shared" si="94"/>
        <v>130-131-1027</v>
      </c>
      <c r="AH141" s="111">
        <f t="shared" si="95"/>
        <v>43848805</v>
      </c>
      <c r="AI141" s="121">
        <v>42761</v>
      </c>
      <c r="AJ141" s="88" t="s">
        <v>315</v>
      </c>
      <c r="AK141" s="111">
        <f t="shared" si="96"/>
        <v>52</v>
      </c>
      <c r="AL141" s="111">
        <v>1026286414</v>
      </c>
      <c r="AM141" s="101">
        <f t="shared" si="97"/>
        <v>0</v>
      </c>
    </row>
    <row r="142" spans="1:39" s="112" customFormat="1" ht="63.75">
      <c r="A142" s="254" t="s">
        <v>150</v>
      </c>
      <c r="B142" s="92">
        <f t="shared" si="98"/>
        <v>58625000</v>
      </c>
      <c r="C142" s="88" t="s">
        <v>78</v>
      </c>
      <c r="D142" s="88" t="s">
        <v>120</v>
      </c>
      <c r="E142" s="88" t="s">
        <v>121</v>
      </c>
      <c r="F142" s="88" t="s">
        <v>734</v>
      </c>
      <c r="G142" s="88" t="s">
        <v>122</v>
      </c>
      <c r="H142" s="64">
        <v>279</v>
      </c>
      <c r="I142" s="140" t="s">
        <v>969</v>
      </c>
      <c r="J142" s="141">
        <f>53232589-1475089+6867500</f>
        <v>58625000</v>
      </c>
      <c r="K142" s="108" t="s">
        <v>1327</v>
      </c>
      <c r="L142" s="108">
        <f>51757500+1475089-1475089+6867500</f>
        <v>58625000</v>
      </c>
      <c r="M142" s="142">
        <v>51</v>
      </c>
      <c r="N142" s="146"/>
      <c r="O142" s="108"/>
      <c r="P142" s="108">
        <v>5862500</v>
      </c>
      <c r="Q142" s="108">
        <v>5025000</v>
      </c>
      <c r="R142" s="108">
        <v>5025000</v>
      </c>
      <c r="S142" s="108">
        <f>5025000</f>
        <v>5025000</v>
      </c>
      <c r="T142" s="108">
        <v>5025000</v>
      </c>
      <c r="U142" s="108">
        <f>5025000</f>
        <v>5025000</v>
      </c>
      <c r="V142" s="108">
        <f>5025000</f>
        <v>5025000</v>
      </c>
      <c r="W142" s="108">
        <f>5025000</f>
        <v>5025000</v>
      </c>
      <c r="X142" s="108">
        <f>5025000</f>
        <v>5025000</v>
      </c>
      <c r="Y142" s="157">
        <f>5025000+670000+4355000</f>
        <v>10050000</v>
      </c>
      <c r="Z142" s="155">
        <f t="shared" ref="Z142:Z159" si="99">SUM(N142:Y142)</f>
        <v>56112500</v>
      </c>
      <c r="AA142" s="520">
        <f t="shared" ref="AA142:AA159" si="100">L142-Z142</f>
        <v>2512500</v>
      </c>
      <c r="AC142" s="83" t="s">
        <v>287</v>
      </c>
      <c r="AD142" s="88" t="str">
        <f t="shared" si="92"/>
        <v>68 - 638</v>
      </c>
      <c r="AE142" s="111">
        <f t="shared" si="93"/>
        <v>58625000</v>
      </c>
      <c r="AF142" s="117">
        <v>42753</v>
      </c>
      <c r="AG142" s="109" t="str">
        <f t="shared" si="94"/>
        <v>124-125-1013</v>
      </c>
      <c r="AH142" s="111">
        <f t="shared" si="95"/>
        <v>58625000</v>
      </c>
      <c r="AI142" s="121">
        <v>42761</v>
      </c>
      <c r="AJ142" s="88" t="s">
        <v>319</v>
      </c>
      <c r="AK142" s="111">
        <f t="shared" si="96"/>
        <v>51</v>
      </c>
      <c r="AL142" s="111">
        <v>80111283</v>
      </c>
      <c r="AM142" s="101">
        <f t="shared" si="97"/>
        <v>0</v>
      </c>
    </row>
    <row r="143" spans="1:39" s="112" customFormat="1" ht="63.75">
      <c r="A143" s="254" t="s">
        <v>150</v>
      </c>
      <c r="B143" s="92">
        <f t="shared" si="98"/>
        <v>40324500</v>
      </c>
      <c r="C143" s="88" t="s">
        <v>78</v>
      </c>
      <c r="D143" s="88" t="s">
        <v>120</v>
      </c>
      <c r="E143" s="88" t="s">
        <v>121</v>
      </c>
      <c r="F143" s="88" t="s">
        <v>734</v>
      </c>
      <c r="G143" s="88" t="s">
        <v>122</v>
      </c>
      <c r="H143" s="64">
        <v>277</v>
      </c>
      <c r="I143" s="140">
        <v>166</v>
      </c>
      <c r="J143" s="141">
        <v>40324500</v>
      </c>
      <c r="K143" s="108">
        <v>302</v>
      </c>
      <c r="L143" s="108">
        <v>40324500</v>
      </c>
      <c r="M143" s="142">
        <v>139</v>
      </c>
      <c r="N143" s="146"/>
      <c r="O143" s="108"/>
      <c r="P143" s="108">
        <v>1236000</v>
      </c>
      <c r="Q143" s="108"/>
      <c r="R143" s="108">
        <f>4635000+4635000</f>
        <v>9270000</v>
      </c>
      <c r="S143" s="108">
        <f>4635000</f>
        <v>4635000</v>
      </c>
      <c r="T143" s="108">
        <v>4635000</v>
      </c>
      <c r="U143" s="108">
        <f>4635000</f>
        <v>4635000</v>
      </c>
      <c r="V143" s="108">
        <f>4635000</f>
        <v>4635000</v>
      </c>
      <c r="W143" s="108">
        <f>4635000</f>
        <v>4635000</v>
      </c>
      <c r="X143" s="108">
        <f>4635000</f>
        <v>4635000</v>
      </c>
      <c r="Y143" s="157">
        <f>2008500</f>
        <v>2008500</v>
      </c>
      <c r="Z143" s="155">
        <f t="shared" si="99"/>
        <v>40324500</v>
      </c>
      <c r="AA143" s="520">
        <f t="shared" si="100"/>
        <v>0</v>
      </c>
      <c r="AC143" s="83" t="s">
        <v>370</v>
      </c>
      <c r="AD143" s="88">
        <f t="shared" si="92"/>
        <v>166</v>
      </c>
      <c r="AE143" s="111">
        <f t="shared" si="93"/>
        <v>40324500</v>
      </c>
      <c r="AF143" s="117">
        <v>42779</v>
      </c>
      <c r="AG143" s="109">
        <f t="shared" si="94"/>
        <v>302</v>
      </c>
      <c r="AH143" s="111">
        <f t="shared" si="95"/>
        <v>40324500</v>
      </c>
      <c r="AI143" s="121">
        <v>42789</v>
      </c>
      <c r="AJ143" s="88" t="s">
        <v>471</v>
      </c>
      <c r="AK143" s="111">
        <f t="shared" si="96"/>
        <v>139</v>
      </c>
      <c r="AL143" s="111">
        <v>53166489</v>
      </c>
      <c r="AM143" s="101">
        <f t="shared" si="97"/>
        <v>0</v>
      </c>
    </row>
    <row r="144" spans="1:39" s="112" customFormat="1" ht="63.75">
      <c r="A144" s="254" t="s">
        <v>150</v>
      </c>
      <c r="B144" s="92">
        <f t="shared" si="98"/>
        <v>38400000</v>
      </c>
      <c r="C144" s="88" t="s">
        <v>78</v>
      </c>
      <c r="D144" s="88" t="s">
        <v>120</v>
      </c>
      <c r="E144" s="88" t="s">
        <v>121</v>
      </c>
      <c r="F144" s="88" t="s">
        <v>734</v>
      </c>
      <c r="G144" s="88" t="s">
        <v>122</v>
      </c>
      <c r="H144" s="64">
        <v>281</v>
      </c>
      <c r="I144" s="140" t="s">
        <v>1328</v>
      </c>
      <c r="J144" s="141">
        <f>38400000+4650000-4650000</f>
        <v>38400000</v>
      </c>
      <c r="K144" s="108">
        <v>406</v>
      </c>
      <c r="L144" s="108">
        <v>38400000</v>
      </c>
      <c r="M144" s="142">
        <v>192</v>
      </c>
      <c r="N144" s="146"/>
      <c r="O144" s="108"/>
      <c r="P144" s="108"/>
      <c r="Q144" s="108"/>
      <c r="R144" s="108">
        <v>4800000</v>
      </c>
      <c r="S144" s="108">
        <f>4500000</f>
        <v>4500000</v>
      </c>
      <c r="T144" s="108">
        <v>4500000</v>
      </c>
      <c r="U144" s="108">
        <f>4500000</f>
        <v>4500000</v>
      </c>
      <c r="V144" s="108">
        <f>4500000</f>
        <v>4500000</v>
      </c>
      <c r="W144" s="108">
        <f>4500000</f>
        <v>4500000</v>
      </c>
      <c r="X144" s="108">
        <f>4500000</f>
        <v>4500000</v>
      </c>
      <c r="Y144" s="157">
        <f>4500000+2100000</f>
        <v>6600000</v>
      </c>
      <c r="Z144" s="155">
        <f t="shared" si="99"/>
        <v>38400000</v>
      </c>
      <c r="AA144" s="520">
        <f t="shared" si="100"/>
        <v>0</v>
      </c>
      <c r="AC144" s="83" t="s">
        <v>529</v>
      </c>
      <c r="AD144" s="88" t="str">
        <f t="shared" si="92"/>
        <v>242 - 699</v>
      </c>
      <c r="AE144" s="111">
        <f t="shared" si="93"/>
        <v>38400000</v>
      </c>
      <c r="AF144" s="117">
        <v>42816</v>
      </c>
      <c r="AG144" s="109">
        <f t="shared" si="94"/>
        <v>406</v>
      </c>
      <c r="AH144" s="111">
        <f t="shared" si="95"/>
        <v>38400000</v>
      </c>
      <c r="AI144" s="121">
        <v>42823</v>
      </c>
      <c r="AJ144" s="88" t="s">
        <v>569</v>
      </c>
      <c r="AK144" s="111">
        <f t="shared" si="96"/>
        <v>192</v>
      </c>
      <c r="AL144" s="111">
        <v>1030549242</v>
      </c>
      <c r="AM144" s="101">
        <f t="shared" si="97"/>
        <v>0</v>
      </c>
    </row>
    <row r="145" spans="1:39" s="112" customFormat="1" ht="63.75">
      <c r="A145" s="254" t="s">
        <v>150</v>
      </c>
      <c r="B145" s="92">
        <f t="shared" si="98"/>
        <v>56833333</v>
      </c>
      <c r="C145" s="88" t="s">
        <v>78</v>
      </c>
      <c r="D145" s="88" t="s">
        <v>120</v>
      </c>
      <c r="E145" s="88" t="s">
        <v>121</v>
      </c>
      <c r="F145" s="88" t="s">
        <v>734</v>
      </c>
      <c r="G145" s="88" t="s">
        <v>122</v>
      </c>
      <c r="H145" s="64">
        <v>278</v>
      </c>
      <c r="I145" s="140" t="s">
        <v>1329</v>
      </c>
      <c r="J145" s="141">
        <f>57866667-1033334+3513333-3513333</f>
        <v>56833333</v>
      </c>
      <c r="K145" s="108">
        <v>391</v>
      </c>
      <c r="L145" s="108">
        <f>57866667-1033334</f>
        <v>56833333</v>
      </c>
      <c r="M145" s="142">
        <v>188</v>
      </c>
      <c r="N145" s="146"/>
      <c r="O145" s="108"/>
      <c r="P145" s="108"/>
      <c r="Q145" s="108"/>
      <c r="R145" s="108">
        <v>7646667</v>
      </c>
      <c r="S145" s="108">
        <f>6200000</f>
        <v>6200000</v>
      </c>
      <c r="T145" s="108">
        <v>6200000</v>
      </c>
      <c r="U145" s="108">
        <f>6200000</f>
        <v>6200000</v>
      </c>
      <c r="V145" s="108">
        <f>6200000</f>
        <v>6200000</v>
      </c>
      <c r="W145" s="108">
        <f>6200000</f>
        <v>6200000</v>
      </c>
      <c r="X145" s="108">
        <f>6200000</f>
        <v>6200000</v>
      </c>
      <c r="Y145" s="157">
        <f>6200000+5786666</f>
        <v>11986666</v>
      </c>
      <c r="Z145" s="155">
        <f t="shared" si="99"/>
        <v>56833333</v>
      </c>
      <c r="AA145" s="520">
        <f t="shared" si="100"/>
        <v>0</v>
      </c>
      <c r="AC145" s="83" t="s">
        <v>549</v>
      </c>
      <c r="AD145" s="88" t="str">
        <f t="shared" si="92"/>
        <v>241 - 707</v>
      </c>
      <c r="AE145" s="111">
        <f t="shared" si="93"/>
        <v>56833333</v>
      </c>
      <c r="AF145" s="117">
        <v>42816</v>
      </c>
      <c r="AG145" s="109">
        <f t="shared" si="94"/>
        <v>391</v>
      </c>
      <c r="AH145" s="111">
        <f t="shared" si="95"/>
        <v>56833333</v>
      </c>
      <c r="AI145" s="121">
        <v>42818</v>
      </c>
      <c r="AJ145" s="88" t="s">
        <v>564</v>
      </c>
      <c r="AK145" s="111">
        <f t="shared" si="96"/>
        <v>188</v>
      </c>
      <c r="AL145" s="111">
        <v>1090395948</v>
      </c>
      <c r="AM145" s="101">
        <f t="shared" si="97"/>
        <v>0</v>
      </c>
    </row>
    <row r="146" spans="1:39" s="112" customFormat="1" ht="76.5">
      <c r="A146" s="254" t="s">
        <v>150</v>
      </c>
      <c r="B146" s="92">
        <f t="shared" si="98"/>
        <v>381540684</v>
      </c>
      <c r="C146" s="88" t="s">
        <v>78</v>
      </c>
      <c r="D146" s="88" t="s">
        <v>120</v>
      </c>
      <c r="E146" s="88" t="s">
        <v>121</v>
      </c>
      <c r="F146" s="88" t="s">
        <v>734</v>
      </c>
      <c r="G146" s="88" t="s">
        <v>122</v>
      </c>
      <c r="H146" s="64">
        <v>283</v>
      </c>
      <c r="I146" s="140">
        <v>319</v>
      </c>
      <c r="J146" s="141">
        <f>470457616-88916932</f>
        <v>381540684</v>
      </c>
      <c r="K146" s="108">
        <v>535</v>
      </c>
      <c r="L146" s="108">
        <f>381540684</f>
        <v>381540684</v>
      </c>
      <c r="M146" s="142">
        <v>239</v>
      </c>
      <c r="N146" s="146"/>
      <c r="O146" s="108"/>
      <c r="P146" s="108"/>
      <c r="Q146" s="108"/>
      <c r="R146" s="99"/>
      <c r="S146" s="99"/>
      <c r="T146" s="99"/>
      <c r="U146" s="108">
        <f>57231103</f>
        <v>57231103</v>
      </c>
      <c r="V146" s="108">
        <f>95385171</f>
        <v>95385171</v>
      </c>
      <c r="W146" s="99"/>
      <c r="X146" s="108">
        <f>95385171</f>
        <v>95385171</v>
      </c>
      <c r="Y146" s="157">
        <f>95385171</f>
        <v>95385171</v>
      </c>
      <c r="Z146" s="155">
        <f t="shared" si="99"/>
        <v>343386616</v>
      </c>
      <c r="AA146" s="520">
        <f t="shared" si="100"/>
        <v>38154068</v>
      </c>
      <c r="AC146" s="83" t="s">
        <v>640</v>
      </c>
      <c r="AD146" s="88">
        <f t="shared" si="92"/>
        <v>319</v>
      </c>
      <c r="AE146" s="111">
        <f t="shared" si="93"/>
        <v>381540684</v>
      </c>
      <c r="AF146" s="117">
        <v>42870</v>
      </c>
      <c r="AG146" s="109">
        <f t="shared" si="94"/>
        <v>535</v>
      </c>
      <c r="AH146" s="111">
        <f t="shared" si="95"/>
        <v>381540684</v>
      </c>
      <c r="AI146" s="121">
        <v>42886</v>
      </c>
      <c r="AJ146" s="88" t="s">
        <v>641</v>
      </c>
      <c r="AK146" s="111">
        <f t="shared" si="96"/>
        <v>239</v>
      </c>
      <c r="AL146" s="111">
        <v>900062049</v>
      </c>
      <c r="AM146" s="101">
        <f t="shared" si="97"/>
        <v>0</v>
      </c>
    </row>
    <row r="147" spans="1:39" s="112" customFormat="1" ht="63.75">
      <c r="A147" s="254" t="s">
        <v>150</v>
      </c>
      <c r="B147" s="92">
        <f t="shared" si="98"/>
        <v>29739863</v>
      </c>
      <c r="C147" s="88" t="s">
        <v>78</v>
      </c>
      <c r="D147" s="88" t="s">
        <v>120</v>
      </c>
      <c r="E147" s="88" t="s">
        <v>121</v>
      </c>
      <c r="F147" s="88" t="s">
        <v>734</v>
      </c>
      <c r="G147" s="88" t="s">
        <v>122</v>
      </c>
      <c r="H147" s="64">
        <v>282</v>
      </c>
      <c r="I147" s="140" t="s">
        <v>914</v>
      </c>
      <c r="J147" s="141">
        <f>22682946+7056917</f>
        <v>29739863</v>
      </c>
      <c r="K147" s="108" t="s">
        <v>982</v>
      </c>
      <c r="L147" s="108">
        <f>22682946+7056917</f>
        <v>29739863</v>
      </c>
      <c r="M147" s="142">
        <v>228</v>
      </c>
      <c r="N147" s="146"/>
      <c r="O147" s="108"/>
      <c r="P147" s="108"/>
      <c r="Q147" s="108"/>
      <c r="R147" s="99"/>
      <c r="S147" s="108">
        <f>1638213</f>
        <v>1638213</v>
      </c>
      <c r="T147" s="108">
        <v>3780491</v>
      </c>
      <c r="U147" s="108">
        <f>3780491</f>
        <v>3780491</v>
      </c>
      <c r="V147" s="108">
        <f>3780491</f>
        <v>3780491</v>
      </c>
      <c r="W147" s="108">
        <f>3780491</f>
        <v>3780491</v>
      </c>
      <c r="X147" s="108">
        <f>3780491</f>
        <v>3780491</v>
      </c>
      <c r="Y147" s="157">
        <f>2142278+1638213+3780491</f>
        <v>7560982</v>
      </c>
      <c r="Z147" s="155">
        <f t="shared" si="99"/>
        <v>28101650</v>
      </c>
      <c r="AA147" s="520">
        <f t="shared" si="100"/>
        <v>1638213</v>
      </c>
      <c r="AC147" s="83" t="s">
        <v>638</v>
      </c>
      <c r="AD147" s="88" t="str">
        <f t="shared" si="92"/>
        <v>318 - 600</v>
      </c>
      <c r="AE147" s="110">
        <f t="shared" si="93"/>
        <v>29739863</v>
      </c>
      <c r="AF147" s="117">
        <v>42867</v>
      </c>
      <c r="AG147" s="109" t="str">
        <f t="shared" si="94"/>
        <v>499 - 953</v>
      </c>
      <c r="AH147" s="111">
        <f t="shared" si="95"/>
        <v>29739863</v>
      </c>
      <c r="AI147" s="121">
        <v>42873</v>
      </c>
      <c r="AJ147" s="88" t="s">
        <v>639</v>
      </c>
      <c r="AK147" s="111">
        <f t="shared" si="96"/>
        <v>228</v>
      </c>
      <c r="AL147" s="111">
        <v>1032451655</v>
      </c>
      <c r="AM147" s="101">
        <f t="shared" si="97"/>
        <v>0</v>
      </c>
    </row>
    <row r="148" spans="1:39" s="112" customFormat="1" ht="63.75">
      <c r="A148" s="254" t="s">
        <v>150</v>
      </c>
      <c r="B148" s="92">
        <f t="shared" si="98"/>
        <v>23952500</v>
      </c>
      <c r="C148" s="88" t="s">
        <v>78</v>
      </c>
      <c r="D148" s="88" t="s">
        <v>120</v>
      </c>
      <c r="E148" s="88" t="s">
        <v>121</v>
      </c>
      <c r="F148" s="88" t="s">
        <v>734</v>
      </c>
      <c r="G148" s="88" t="s">
        <v>122</v>
      </c>
      <c r="H148" s="64">
        <v>377</v>
      </c>
      <c r="I148" s="140" t="s">
        <v>1007</v>
      </c>
      <c r="J148" s="141">
        <f>25125000+2680000-3852500</f>
        <v>23952500</v>
      </c>
      <c r="K148" s="108" t="s">
        <v>1163</v>
      </c>
      <c r="L148" s="108">
        <f>21272500+2680000</f>
        <v>23952500</v>
      </c>
      <c r="M148" s="142">
        <v>295</v>
      </c>
      <c r="N148" s="146"/>
      <c r="O148" s="108"/>
      <c r="P148" s="108"/>
      <c r="Q148" s="108"/>
      <c r="R148" s="99"/>
      <c r="S148" s="99"/>
      <c r="T148" s="99"/>
      <c r="U148" s="99"/>
      <c r="V148" s="99"/>
      <c r="W148" s="108">
        <f>1172500+5025000</f>
        <v>6197500</v>
      </c>
      <c r="X148" s="108">
        <f>5025000</f>
        <v>5025000</v>
      </c>
      <c r="Y148" s="157">
        <f>5025000+4690000+335000</f>
        <v>10050000</v>
      </c>
      <c r="Z148" s="155">
        <f t="shared" si="99"/>
        <v>21272500</v>
      </c>
      <c r="AA148" s="520">
        <f t="shared" si="100"/>
        <v>2680000</v>
      </c>
      <c r="AC148" s="83" t="s">
        <v>722</v>
      </c>
      <c r="AD148" s="88" t="str">
        <f t="shared" si="92"/>
        <v>408 - 708</v>
      </c>
      <c r="AE148" s="110">
        <f t="shared" si="93"/>
        <v>23952500</v>
      </c>
      <c r="AF148" s="117">
        <v>42948</v>
      </c>
      <c r="AG148" s="109" t="str">
        <f t="shared" si="94"/>
        <v>721 - 1167</v>
      </c>
      <c r="AH148" s="111">
        <f t="shared" si="95"/>
        <v>23952500</v>
      </c>
      <c r="AI148" s="121">
        <v>42971</v>
      </c>
      <c r="AJ148" s="88" t="s">
        <v>723</v>
      </c>
      <c r="AK148" s="111">
        <f t="shared" si="96"/>
        <v>295</v>
      </c>
      <c r="AL148" s="111"/>
      <c r="AM148" s="101">
        <f t="shared" si="97"/>
        <v>0</v>
      </c>
    </row>
    <row r="149" spans="1:39" s="112" customFormat="1" ht="63.75">
      <c r="A149" s="254" t="s">
        <v>150</v>
      </c>
      <c r="B149" s="92">
        <f t="shared" si="98"/>
        <v>23313028</v>
      </c>
      <c r="C149" s="88" t="s">
        <v>78</v>
      </c>
      <c r="D149" s="88" t="s">
        <v>120</v>
      </c>
      <c r="E149" s="88" t="s">
        <v>121</v>
      </c>
      <c r="F149" s="88" t="s">
        <v>734</v>
      </c>
      <c r="G149" s="88" t="s">
        <v>122</v>
      </c>
      <c r="H149" s="64">
        <v>380</v>
      </c>
      <c r="I149" s="140" t="s">
        <v>1008</v>
      </c>
      <c r="J149" s="141">
        <f>15752046+7560982</f>
        <v>23313028</v>
      </c>
      <c r="K149" s="108" t="s">
        <v>1164</v>
      </c>
      <c r="L149" s="108">
        <f>15752046+7560982</f>
        <v>23313028</v>
      </c>
      <c r="M149" s="142">
        <v>299</v>
      </c>
      <c r="N149" s="146"/>
      <c r="O149" s="108"/>
      <c r="P149" s="108"/>
      <c r="Q149" s="108"/>
      <c r="R149" s="99"/>
      <c r="S149" s="99"/>
      <c r="T149" s="99"/>
      <c r="U149" s="99"/>
      <c r="V149" s="99"/>
      <c r="W149" s="108">
        <f>756098+3780491</f>
        <v>4536589</v>
      </c>
      <c r="X149" s="108">
        <f>3780491</f>
        <v>3780491</v>
      </c>
      <c r="Y149" s="157">
        <f>3780491+3654475</f>
        <v>7434966</v>
      </c>
      <c r="Z149" s="155">
        <f t="shared" si="99"/>
        <v>15752046</v>
      </c>
      <c r="AA149" s="520">
        <f t="shared" si="100"/>
        <v>7560982</v>
      </c>
      <c r="AC149" s="83" t="s">
        <v>727</v>
      </c>
      <c r="AD149" s="88" t="str">
        <f t="shared" si="92"/>
        <v>432 - 726</v>
      </c>
      <c r="AE149" s="110">
        <f t="shared" si="93"/>
        <v>23313028</v>
      </c>
      <c r="AF149" s="117">
        <v>42969</v>
      </c>
      <c r="AG149" s="109" t="str">
        <f t="shared" si="94"/>
        <v>730 - 1216</v>
      </c>
      <c r="AH149" s="111">
        <f t="shared" si="95"/>
        <v>23313028</v>
      </c>
      <c r="AI149" s="121">
        <v>42972</v>
      </c>
      <c r="AJ149" s="88" t="s">
        <v>729</v>
      </c>
      <c r="AK149" s="111">
        <f t="shared" si="96"/>
        <v>299</v>
      </c>
      <c r="AL149" s="111"/>
      <c r="AM149" s="101">
        <f t="shared" si="97"/>
        <v>0</v>
      </c>
    </row>
    <row r="150" spans="1:39" s="112" customFormat="1" ht="63.75">
      <c r="A150" s="254" t="s">
        <v>150</v>
      </c>
      <c r="B150" s="92">
        <f t="shared" ref="B150:B159" si="101">J150</f>
        <v>18398390</v>
      </c>
      <c r="C150" s="88" t="s">
        <v>78</v>
      </c>
      <c r="D150" s="88" t="s">
        <v>120</v>
      </c>
      <c r="E150" s="88" t="s">
        <v>121</v>
      </c>
      <c r="F150" s="88" t="s">
        <v>734</v>
      </c>
      <c r="G150" s="88" t="s">
        <v>122</v>
      </c>
      <c r="H150" s="64">
        <v>379</v>
      </c>
      <c r="I150" s="140" t="s">
        <v>1009</v>
      </c>
      <c r="J150" s="141">
        <f>15752046+2646344</f>
        <v>18398390</v>
      </c>
      <c r="K150" s="108" t="s">
        <v>1165</v>
      </c>
      <c r="L150" s="108">
        <f>15752046+2646344</f>
        <v>18398390</v>
      </c>
      <c r="M150" s="142">
        <v>300</v>
      </c>
      <c r="N150" s="146"/>
      <c r="O150" s="108"/>
      <c r="P150" s="108"/>
      <c r="Q150" s="108"/>
      <c r="R150" s="99"/>
      <c r="S150" s="99"/>
      <c r="T150" s="99"/>
      <c r="U150" s="99"/>
      <c r="V150" s="99"/>
      <c r="W150" s="108">
        <f>756098+3780491</f>
        <v>4536589</v>
      </c>
      <c r="X150" s="108">
        <f>3780491</f>
        <v>3780491</v>
      </c>
      <c r="Y150" s="157">
        <f>3780491+3654475+126016</f>
        <v>7560982</v>
      </c>
      <c r="Z150" s="155">
        <f t="shared" si="99"/>
        <v>15878062</v>
      </c>
      <c r="AA150" s="520">
        <f t="shared" si="100"/>
        <v>2520328</v>
      </c>
      <c r="AC150" s="83" t="s">
        <v>727</v>
      </c>
      <c r="AD150" s="88" t="str">
        <f t="shared" si="92"/>
        <v>433 - 727</v>
      </c>
      <c r="AE150" s="110">
        <f t="shared" si="93"/>
        <v>18398390</v>
      </c>
      <c r="AF150" s="117">
        <v>42969</v>
      </c>
      <c r="AG150" s="109" t="str">
        <f t="shared" si="94"/>
        <v>729 - 1120</v>
      </c>
      <c r="AH150" s="111">
        <f t="shared" si="95"/>
        <v>18398390</v>
      </c>
      <c r="AI150" s="121">
        <v>42972</v>
      </c>
      <c r="AJ150" s="88" t="s">
        <v>728</v>
      </c>
      <c r="AK150" s="111">
        <f t="shared" si="96"/>
        <v>300</v>
      </c>
      <c r="AL150" s="111"/>
      <c r="AM150" s="101">
        <f t="shared" si="97"/>
        <v>0</v>
      </c>
    </row>
    <row r="151" spans="1:39" s="112" customFormat="1" ht="63.75">
      <c r="A151" s="254" t="s">
        <v>150</v>
      </c>
      <c r="B151" s="92">
        <f t="shared" si="101"/>
        <v>23952500</v>
      </c>
      <c r="C151" s="88" t="s">
        <v>78</v>
      </c>
      <c r="D151" s="88" t="s">
        <v>120</v>
      </c>
      <c r="E151" s="88" t="s">
        <v>121</v>
      </c>
      <c r="F151" s="88" t="s">
        <v>734</v>
      </c>
      <c r="G151" s="88" t="s">
        <v>122</v>
      </c>
      <c r="H151" s="64">
        <v>378</v>
      </c>
      <c r="I151" s="140" t="s">
        <v>1010</v>
      </c>
      <c r="J151" s="141">
        <f>23785000+3015000-2847500</f>
        <v>23952500</v>
      </c>
      <c r="K151" s="108" t="s">
        <v>1166</v>
      </c>
      <c r="L151" s="108">
        <f>20937500+3015000</f>
        <v>23952500</v>
      </c>
      <c r="M151" s="142">
        <v>296</v>
      </c>
      <c r="N151" s="146"/>
      <c r="O151" s="108"/>
      <c r="P151" s="108"/>
      <c r="Q151" s="108"/>
      <c r="R151" s="99"/>
      <c r="S151" s="99"/>
      <c r="T151" s="99"/>
      <c r="U151" s="99"/>
      <c r="V151" s="99"/>
      <c r="W151" s="108">
        <f>1172500+5025000</f>
        <v>6197500</v>
      </c>
      <c r="X151" s="108">
        <f>5025000</f>
        <v>5025000</v>
      </c>
      <c r="Y151" s="157">
        <f>5025000+4690000+335000</f>
        <v>10050000</v>
      </c>
      <c r="Z151" s="155">
        <f t="shared" si="99"/>
        <v>21272500</v>
      </c>
      <c r="AA151" s="520">
        <f t="shared" si="100"/>
        <v>2680000</v>
      </c>
      <c r="AC151" s="83" t="s">
        <v>724</v>
      </c>
      <c r="AD151" s="88" t="str">
        <f t="shared" si="92"/>
        <v>421 - 709</v>
      </c>
      <c r="AE151" s="110">
        <f t="shared" si="93"/>
        <v>23952500</v>
      </c>
      <c r="AF151" s="117">
        <v>42957</v>
      </c>
      <c r="AG151" s="109" t="str">
        <f t="shared" si="94"/>
        <v>722 - 1118</v>
      </c>
      <c r="AH151" s="111">
        <f t="shared" si="95"/>
        <v>23952500</v>
      </c>
      <c r="AI151" s="121">
        <v>42971</v>
      </c>
      <c r="AJ151" s="88" t="s">
        <v>725</v>
      </c>
      <c r="AK151" s="111">
        <f t="shared" si="96"/>
        <v>296</v>
      </c>
      <c r="AL151" s="111"/>
      <c r="AM151" s="101">
        <f t="shared" si="97"/>
        <v>0</v>
      </c>
    </row>
    <row r="152" spans="1:39" s="112" customFormat="1" ht="63.75">
      <c r="A152" s="254" t="s">
        <v>150</v>
      </c>
      <c r="B152" s="92">
        <f t="shared" si="101"/>
        <v>20496588</v>
      </c>
      <c r="C152" s="88" t="s">
        <v>78</v>
      </c>
      <c r="D152" s="88" t="s">
        <v>120</v>
      </c>
      <c r="E152" s="88" t="s">
        <v>121</v>
      </c>
      <c r="F152" s="88" t="s">
        <v>734</v>
      </c>
      <c r="G152" s="88" t="s">
        <v>122</v>
      </c>
      <c r="H152" s="64">
        <v>381</v>
      </c>
      <c r="I152" s="140" t="s">
        <v>1056</v>
      </c>
      <c r="J152" s="141">
        <f>20199536+2673468-2376416</f>
        <v>20496588</v>
      </c>
      <c r="K152" s="108" t="s">
        <v>1167</v>
      </c>
      <c r="L152" s="108">
        <f>17823120+2673468</f>
        <v>20496588</v>
      </c>
      <c r="M152" s="142">
        <v>302</v>
      </c>
      <c r="N152" s="146"/>
      <c r="O152" s="108"/>
      <c r="P152" s="108"/>
      <c r="Q152" s="108"/>
      <c r="R152" s="99"/>
      <c r="S152" s="99"/>
      <c r="T152" s="99"/>
      <c r="U152" s="99"/>
      <c r="V152" s="99"/>
      <c r="W152" s="99"/>
      <c r="X152" s="108">
        <f>4901358+4455780</f>
        <v>9357138</v>
      </c>
      <c r="Y152" s="157">
        <f>4455780+4010202</f>
        <v>8465982</v>
      </c>
      <c r="Z152" s="155">
        <f t="shared" si="99"/>
        <v>17823120</v>
      </c>
      <c r="AA152" s="520">
        <f t="shared" si="100"/>
        <v>2673468</v>
      </c>
      <c r="AC152" s="83" t="s">
        <v>730</v>
      </c>
      <c r="AD152" s="88" t="str">
        <f t="shared" si="92"/>
        <v>430 - 805</v>
      </c>
      <c r="AE152" s="110">
        <f t="shared" si="93"/>
        <v>20496588</v>
      </c>
      <c r="AF152" s="117">
        <v>42965</v>
      </c>
      <c r="AG152" s="109" t="str">
        <f t="shared" si="94"/>
        <v>736 - 1187</v>
      </c>
      <c r="AH152" s="111">
        <f t="shared" si="95"/>
        <v>20496588</v>
      </c>
      <c r="AI152" s="121">
        <v>42975</v>
      </c>
      <c r="AJ152" s="88" t="s">
        <v>731</v>
      </c>
      <c r="AK152" s="111">
        <f t="shared" si="96"/>
        <v>302</v>
      </c>
      <c r="AL152" s="111"/>
      <c r="AM152" s="101">
        <f t="shared" si="97"/>
        <v>0</v>
      </c>
    </row>
    <row r="153" spans="1:39" s="112" customFormat="1" ht="63.75">
      <c r="A153" s="254" t="s">
        <v>150</v>
      </c>
      <c r="B153" s="92">
        <f t="shared" si="101"/>
        <v>19377086</v>
      </c>
      <c r="C153" s="88" t="s">
        <v>78</v>
      </c>
      <c r="D153" s="88" t="s">
        <v>120</v>
      </c>
      <c r="E153" s="88" t="s">
        <v>121</v>
      </c>
      <c r="F153" s="88" t="s">
        <v>734</v>
      </c>
      <c r="G153" s="88" t="s">
        <v>122</v>
      </c>
      <c r="H153" s="64">
        <v>362</v>
      </c>
      <c r="I153" s="140" t="s">
        <v>1011</v>
      </c>
      <c r="J153" s="141">
        <f>17224076+2153010</f>
        <v>19377086</v>
      </c>
      <c r="K153" s="108" t="s">
        <v>1168</v>
      </c>
      <c r="L153" s="108">
        <f>17224076+2153010</f>
        <v>19377086</v>
      </c>
      <c r="M153" s="142">
        <v>297</v>
      </c>
      <c r="N153" s="146"/>
      <c r="O153" s="108"/>
      <c r="P153" s="108"/>
      <c r="Q153" s="108"/>
      <c r="R153" s="99"/>
      <c r="S153" s="99"/>
      <c r="T153" s="99"/>
      <c r="U153" s="99"/>
      <c r="V153" s="99"/>
      <c r="W153" s="108">
        <f>861204+4306019</f>
        <v>5167223</v>
      </c>
      <c r="X153" s="108">
        <f>4306019</f>
        <v>4306019</v>
      </c>
      <c r="Y153" s="157">
        <f>4306019+3444815+861204</f>
        <v>8612038</v>
      </c>
      <c r="Z153" s="155">
        <f t="shared" si="99"/>
        <v>18085280</v>
      </c>
      <c r="AA153" s="520">
        <f t="shared" si="100"/>
        <v>1291806</v>
      </c>
      <c r="AC153" s="83" t="s">
        <v>499</v>
      </c>
      <c r="AD153" s="88" t="str">
        <f t="shared" si="92"/>
        <v>435 - 705</v>
      </c>
      <c r="AE153" s="110">
        <f t="shared" si="93"/>
        <v>19377086</v>
      </c>
      <c r="AF153" s="117" t="s">
        <v>944</v>
      </c>
      <c r="AG153" s="109" t="str">
        <f t="shared" si="94"/>
        <v xml:space="preserve">724 - 1138 </v>
      </c>
      <c r="AH153" s="111">
        <f t="shared" si="95"/>
        <v>19377086</v>
      </c>
      <c r="AI153" s="121">
        <v>42972</v>
      </c>
      <c r="AJ153" s="88" t="s">
        <v>561</v>
      </c>
      <c r="AK153" s="111">
        <f t="shared" si="96"/>
        <v>297</v>
      </c>
      <c r="AL153" s="111"/>
      <c r="AM153" s="101">
        <f t="shared" si="97"/>
        <v>0</v>
      </c>
    </row>
    <row r="154" spans="1:39" s="112" customFormat="1" ht="63.75">
      <c r="A154" s="254" t="s">
        <v>150</v>
      </c>
      <c r="B154" s="92">
        <f t="shared" si="101"/>
        <v>20051010</v>
      </c>
      <c r="C154" s="88" t="s">
        <v>78</v>
      </c>
      <c r="D154" s="88" t="s">
        <v>120</v>
      </c>
      <c r="E154" s="88" t="s">
        <v>121</v>
      </c>
      <c r="F154" s="88" t="s">
        <v>734</v>
      </c>
      <c r="G154" s="88" t="s">
        <v>122</v>
      </c>
      <c r="H154" s="64">
        <v>381</v>
      </c>
      <c r="I154" s="140" t="s">
        <v>1330</v>
      </c>
      <c r="J154" s="141">
        <f>17080490-3713150+2673468-2673468+6683670</f>
        <v>20051010</v>
      </c>
      <c r="K154" s="108" t="s">
        <v>1171</v>
      </c>
      <c r="L154" s="108">
        <f>13367340+6683670</f>
        <v>20051010</v>
      </c>
      <c r="M154" s="142">
        <v>315</v>
      </c>
      <c r="N154" s="146"/>
      <c r="O154" s="108"/>
      <c r="P154" s="108"/>
      <c r="Q154" s="108"/>
      <c r="R154" s="99"/>
      <c r="S154" s="99"/>
      <c r="T154" s="99"/>
      <c r="U154" s="99"/>
      <c r="V154" s="99"/>
      <c r="W154" s="99"/>
      <c r="X154" s="108">
        <f>4752832</f>
        <v>4752832</v>
      </c>
      <c r="Y154" s="157">
        <f>4455780+4158728</f>
        <v>8614508</v>
      </c>
      <c r="Z154" s="155">
        <f t="shared" si="99"/>
        <v>13367340</v>
      </c>
      <c r="AA154" s="520">
        <f t="shared" si="100"/>
        <v>6683670</v>
      </c>
      <c r="AC154" s="83" t="s">
        <v>735</v>
      </c>
      <c r="AD154" s="88" t="str">
        <f t="shared" si="92"/>
        <v>450 - 741 - 813</v>
      </c>
      <c r="AE154" s="110">
        <f t="shared" si="93"/>
        <v>20051010</v>
      </c>
      <c r="AF154" s="117">
        <v>42982</v>
      </c>
      <c r="AG154" s="109" t="str">
        <f t="shared" si="94"/>
        <v>803 - 1218</v>
      </c>
      <c r="AH154" s="111">
        <f t="shared" si="95"/>
        <v>20051010</v>
      </c>
      <c r="AI154" s="88"/>
      <c r="AJ154" s="88"/>
      <c r="AK154" s="111">
        <f t="shared" si="96"/>
        <v>315</v>
      </c>
      <c r="AL154" s="111"/>
      <c r="AM154" s="101">
        <f t="shared" si="97"/>
        <v>0</v>
      </c>
    </row>
    <row r="155" spans="1:39" s="112" customFormat="1" ht="63.75">
      <c r="A155" s="254" t="s">
        <v>150</v>
      </c>
      <c r="B155" s="92">
        <f t="shared" si="101"/>
        <v>15595230</v>
      </c>
      <c r="C155" s="88" t="s">
        <v>78</v>
      </c>
      <c r="D155" s="88" t="s">
        <v>120</v>
      </c>
      <c r="E155" s="88" t="s">
        <v>121</v>
      </c>
      <c r="F155" s="88" t="s">
        <v>734</v>
      </c>
      <c r="G155" s="88" t="s">
        <v>122</v>
      </c>
      <c r="H155" s="64">
        <v>382</v>
      </c>
      <c r="I155" s="140" t="s">
        <v>1331</v>
      </c>
      <c r="J155" s="141">
        <f>17080490+2821994-6683670-2821994+5198410</f>
        <v>15595230</v>
      </c>
      <c r="K155" s="108" t="s">
        <v>1169</v>
      </c>
      <c r="L155" s="108">
        <f>10396820+5198410</f>
        <v>15595230</v>
      </c>
      <c r="M155" s="142">
        <v>332</v>
      </c>
      <c r="N155" s="146"/>
      <c r="O155" s="108"/>
      <c r="P155" s="108"/>
      <c r="Q155" s="108"/>
      <c r="R155" s="99"/>
      <c r="S155" s="99"/>
      <c r="T155" s="99"/>
      <c r="U155" s="99"/>
      <c r="V155" s="99"/>
      <c r="W155" s="99"/>
      <c r="X155" s="99">
        <v>1930838</v>
      </c>
      <c r="Y155" s="157">
        <f>4455780+4010202</f>
        <v>8465982</v>
      </c>
      <c r="Z155" s="155">
        <f t="shared" si="99"/>
        <v>10396820</v>
      </c>
      <c r="AA155" s="520">
        <f t="shared" si="100"/>
        <v>5198410</v>
      </c>
      <c r="AC155" s="83" t="s">
        <v>735</v>
      </c>
      <c r="AD155" s="88" t="str">
        <f t="shared" si="92"/>
        <v>451 - 743 - 812</v>
      </c>
      <c r="AE155" s="110">
        <f t="shared" si="93"/>
        <v>15595230</v>
      </c>
      <c r="AF155" s="117">
        <v>42982</v>
      </c>
      <c r="AG155" s="109" t="str">
        <f t="shared" si="94"/>
        <v>862 -1196</v>
      </c>
      <c r="AH155" s="111">
        <f t="shared" si="95"/>
        <v>15595230</v>
      </c>
      <c r="AI155" s="121">
        <v>43025</v>
      </c>
      <c r="AJ155" s="88" t="s">
        <v>848</v>
      </c>
      <c r="AK155" s="111">
        <f t="shared" si="96"/>
        <v>332</v>
      </c>
      <c r="AL155" s="111"/>
      <c r="AM155" s="101">
        <f t="shared" si="97"/>
        <v>0</v>
      </c>
    </row>
    <row r="156" spans="1:39" s="112" customFormat="1" ht="63.75">
      <c r="A156" s="254" t="s">
        <v>150</v>
      </c>
      <c r="B156" s="92">
        <f t="shared" ref="B156:B157" si="102">J156</f>
        <v>29900000</v>
      </c>
      <c r="C156" s="88" t="s">
        <v>78</v>
      </c>
      <c r="D156" s="88" t="s">
        <v>120</v>
      </c>
      <c r="E156" s="88" t="s">
        <v>121</v>
      </c>
      <c r="F156" s="88" t="s">
        <v>734</v>
      </c>
      <c r="G156" s="88" t="s">
        <v>122</v>
      </c>
      <c r="H156" s="64">
        <v>311</v>
      </c>
      <c r="I156" s="140">
        <v>599</v>
      </c>
      <c r="J156" s="141">
        <f>30000000-100000</f>
        <v>29900000</v>
      </c>
      <c r="K156" s="108">
        <v>1195</v>
      </c>
      <c r="L156" s="108">
        <f>29900000</f>
        <v>29900000</v>
      </c>
      <c r="M156" s="142">
        <v>412</v>
      </c>
      <c r="N156" s="146"/>
      <c r="O156" s="108"/>
      <c r="P156" s="108"/>
      <c r="Q156" s="108"/>
      <c r="R156" s="99"/>
      <c r="S156" s="99"/>
      <c r="T156" s="99"/>
      <c r="U156" s="99"/>
      <c r="V156" s="99"/>
      <c r="W156" s="99"/>
      <c r="X156" s="99"/>
      <c r="Y156" s="143"/>
      <c r="Z156" s="155">
        <f t="shared" si="99"/>
        <v>0</v>
      </c>
      <c r="AA156" s="520">
        <f t="shared" si="100"/>
        <v>29900000</v>
      </c>
      <c r="AC156" s="83" t="s">
        <v>1012</v>
      </c>
      <c r="AD156" s="88">
        <f t="shared" si="92"/>
        <v>599</v>
      </c>
      <c r="AE156" s="110">
        <f t="shared" si="93"/>
        <v>29900000</v>
      </c>
      <c r="AF156" s="117">
        <v>43055</v>
      </c>
      <c r="AG156" s="109">
        <f t="shared" si="94"/>
        <v>1195</v>
      </c>
      <c r="AH156" s="111">
        <f t="shared" si="95"/>
        <v>29900000</v>
      </c>
      <c r="AI156" s="121">
        <v>43096</v>
      </c>
      <c r="AJ156" s="88" t="s">
        <v>1170</v>
      </c>
      <c r="AK156" s="111">
        <f t="shared" ref="AK156:AK157" si="103">M156</f>
        <v>412</v>
      </c>
      <c r="AL156" s="111"/>
      <c r="AM156" s="101">
        <f t="shared" ref="AM156:AM157" si="104">AE156-AH156</f>
        <v>0</v>
      </c>
    </row>
    <row r="157" spans="1:39" s="112" customFormat="1" ht="63.75">
      <c r="A157" s="254" t="s">
        <v>150</v>
      </c>
      <c r="B157" s="92">
        <f t="shared" si="102"/>
        <v>6180000</v>
      </c>
      <c r="C157" s="88" t="s">
        <v>78</v>
      </c>
      <c r="D157" s="88" t="s">
        <v>120</v>
      </c>
      <c r="E157" s="88" t="s">
        <v>121</v>
      </c>
      <c r="F157" s="88" t="s">
        <v>734</v>
      </c>
      <c r="G157" s="88" t="s">
        <v>122</v>
      </c>
      <c r="H157" s="64">
        <v>548</v>
      </c>
      <c r="I157" s="140">
        <v>693</v>
      </c>
      <c r="J157" s="141">
        <f>6180000</f>
        <v>6180000</v>
      </c>
      <c r="K157" s="108">
        <v>1085</v>
      </c>
      <c r="L157" s="108">
        <f>6180000</f>
        <v>6180000</v>
      </c>
      <c r="M157" s="142">
        <v>402</v>
      </c>
      <c r="N157" s="146"/>
      <c r="O157" s="108"/>
      <c r="P157" s="108"/>
      <c r="Q157" s="108"/>
      <c r="R157" s="99"/>
      <c r="S157" s="99"/>
      <c r="T157" s="99"/>
      <c r="U157" s="99"/>
      <c r="V157" s="99"/>
      <c r="W157" s="99"/>
      <c r="X157" s="99"/>
      <c r="Y157" s="157">
        <f>2008500</f>
        <v>2008500</v>
      </c>
      <c r="Z157" s="155">
        <f t="shared" si="99"/>
        <v>2008500</v>
      </c>
      <c r="AA157" s="520">
        <f t="shared" si="100"/>
        <v>4171500</v>
      </c>
      <c r="AC157" s="83" t="s">
        <v>370</v>
      </c>
      <c r="AD157" s="88">
        <f t="shared" si="92"/>
        <v>693</v>
      </c>
      <c r="AE157" s="110">
        <f t="shared" si="93"/>
        <v>6180000</v>
      </c>
      <c r="AF157" s="117">
        <v>43073</v>
      </c>
      <c r="AG157" s="109">
        <f t="shared" si="94"/>
        <v>1085</v>
      </c>
      <c r="AH157" s="111">
        <f t="shared" si="95"/>
        <v>6180000</v>
      </c>
      <c r="AI157" s="121">
        <v>43084</v>
      </c>
      <c r="AJ157" s="88" t="s">
        <v>471</v>
      </c>
      <c r="AK157" s="111">
        <f t="shared" si="103"/>
        <v>402</v>
      </c>
      <c r="AL157" s="111"/>
      <c r="AM157" s="101">
        <f t="shared" si="104"/>
        <v>0</v>
      </c>
    </row>
    <row r="158" spans="1:39" s="112" customFormat="1" ht="76.5">
      <c r="A158" s="254" t="s">
        <v>150</v>
      </c>
      <c r="B158" s="92">
        <f t="shared" si="101"/>
        <v>258229</v>
      </c>
      <c r="C158" s="88" t="s">
        <v>78</v>
      </c>
      <c r="D158" s="88" t="s">
        <v>120</v>
      </c>
      <c r="E158" s="88" t="s">
        <v>121</v>
      </c>
      <c r="F158" s="88" t="s">
        <v>734</v>
      </c>
      <c r="G158" s="88" t="s">
        <v>122</v>
      </c>
      <c r="H158" s="64"/>
      <c r="I158" s="140">
        <v>826</v>
      </c>
      <c r="J158" s="141">
        <v>258229</v>
      </c>
      <c r="K158" s="108">
        <v>1229</v>
      </c>
      <c r="L158" s="108">
        <f>258229</f>
        <v>258229</v>
      </c>
      <c r="M158" s="157">
        <v>7310</v>
      </c>
      <c r="N158" s="146"/>
      <c r="O158" s="108"/>
      <c r="P158" s="108"/>
      <c r="Q158" s="108"/>
      <c r="R158" s="99"/>
      <c r="S158" s="99"/>
      <c r="T158" s="99"/>
      <c r="U158" s="99"/>
      <c r="V158" s="99"/>
      <c r="W158" s="99"/>
      <c r="X158" s="99"/>
      <c r="Y158" s="143"/>
      <c r="Z158" s="155">
        <f t="shared" si="99"/>
        <v>0</v>
      </c>
      <c r="AA158" s="520">
        <f t="shared" si="100"/>
        <v>258229</v>
      </c>
      <c r="AC158" s="83" t="s">
        <v>1039</v>
      </c>
      <c r="AD158" s="88">
        <f t="shared" si="92"/>
        <v>826</v>
      </c>
      <c r="AE158" s="110">
        <f t="shared" si="93"/>
        <v>258229</v>
      </c>
      <c r="AF158" s="117"/>
      <c r="AG158" s="109">
        <f t="shared" si="94"/>
        <v>1229</v>
      </c>
      <c r="AH158" s="111">
        <f t="shared" si="95"/>
        <v>258229</v>
      </c>
      <c r="AI158" s="121">
        <v>43097</v>
      </c>
      <c r="AJ158" s="89" t="s">
        <v>594</v>
      </c>
      <c r="AK158" s="111">
        <f t="shared" si="96"/>
        <v>7310</v>
      </c>
      <c r="AL158" s="111"/>
      <c r="AM158" s="101">
        <f t="shared" si="97"/>
        <v>0</v>
      </c>
    </row>
    <row r="159" spans="1:39" s="112" customFormat="1" ht="63.75">
      <c r="A159" s="254" t="s">
        <v>150</v>
      </c>
      <c r="B159" s="92">
        <f t="shared" si="101"/>
        <v>0</v>
      </c>
      <c r="C159" s="88" t="s">
        <v>78</v>
      </c>
      <c r="D159" s="88" t="s">
        <v>120</v>
      </c>
      <c r="E159" s="88" t="s">
        <v>121</v>
      </c>
      <c r="F159" s="88" t="s">
        <v>734</v>
      </c>
      <c r="G159" s="88" t="s">
        <v>122</v>
      </c>
      <c r="H159" s="64"/>
      <c r="I159" s="140"/>
      <c r="J159" s="141"/>
      <c r="K159" s="108"/>
      <c r="L159" s="108"/>
      <c r="M159" s="142"/>
      <c r="N159" s="146"/>
      <c r="O159" s="108"/>
      <c r="P159" s="108"/>
      <c r="Q159" s="108"/>
      <c r="R159" s="99"/>
      <c r="S159" s="99"/>
      <c r="T159" s="99"/>
      <c r="U159" s="99"/>
      <c r="V159" s="99"/>
      <c r="W159" s="99"/>
      <c r="X159" s="99"/>
      <c r="Y159" s="143"/>
      <c r="Z159" s="155">
        <f t="shared" si="99"/>
        <v>0</v>
      </c>
      <c r="AA159" s="520">
        <f t="shared" si="100"/>
        <v>0</v>
      </c>
      <c r="AC159" s="83"/>
      <c r="AD159" s="88">
        <f t="shared" si="92"/>
        <v>0</v>
      </c>
      <c r="AE159" s="110">
        <f t="shared" si="93"/>
        <v>0</v>
      </c>
      <c r="AF159" s="117"/>
      <c r="AG159" s="109">
        <f t="shared" si="94"/>
        <v>0</v>
      </c>
      <c r="AH159" s="111">
        <f t="shared" si="95"/>
        <v>0</v>
      </c>
      <c r="AI159" s="88"/>
      <c r="AJ159" s="88"/>
      <c r="AK159" s="111">
        <f t="shared" si="96"/>
        <v>0</v>
      </c>
      <c r="AL159" s="111"/>
      <c r="AM159" s="101">
        <f t="shared" si="97"/>
        <v>0</v>
      </c>
    </row>
    <row r="160" spans="1:39" s="116" customFormat="1" ht="15" customHeight="1">
      <c r="A160" s="255" t="s">
        <v>132</v>
      </c>
      <c r="B160" s="99">
        <f>B140-B141-B142-B143-B144-B145-B146-B147-B148-B149-B150-B151-B152-B153-B154-B155-B156-B157-B158-B159</f>
        <v>11825445</v>
      </c>
      <c r="C160" s="99"/>
      <c r="D160" s="99"/>
      <c r="E160" s="99"/>
      <c r="F160" s="99"/>
      <c r="G160" s="54"/>
      <c r="H160" s="54" t="s">
        <v>1017</v>
      </c>
      <c r="I160" s="54"/>
      <c r="J160" s="54">
        <f>SUM(J140:J159)</f>
        <v>850786746</v>
      </c>
      <c r="K160" s="54"/>
      <c r="L160" s="54">
        <f>SUM(L140:L159)</f>
        <v>850786746</v>
      </c>
      <c r="M160" s="136"/>
      <c r="N160" s="137">
        <f>SUM(N140:N149)</f>
        <v>0</v>
      </c>
      <c r="O160" s="54">
        <f>SUM(O140:O149)</f>
        <v>0</v>
      </c>
      <c r="P160" s="54">
        <f>SUM(P140:P152)</f>
        <v>11483380</v>
      </c>
      <c r="Q160" s="54">
        <f>SUM(Q140:Q152)</f>
        <v>8783469</v>
      </c>
      <c r="R160" s="54">
        <f>SUM(R140:R152)</f>
        <v>30500136</v>
      </c>
      <c r="S160" s="54">
        <f>SUM(S140:S152)</f>
        <v>25756682</v>
      </c>
      <c r="T160" s="54">
        <f>SUM(T140:T152)</f>
        <v>27898960</v>
      </c>
      <c r="U160" s="54">
        <f t="shared" ref="U160:W160" si="105">SUM(U140:U159)</f>
        <v>85130063</v>
      </c>
      <c r="V160" s="54">
        <f t="shared" si="105"/>
        <v>123284131</v>
      </c>
      <c r="W160" s="54">
        <f t="shared" si="105"/>
        <v>54534361</v>
      </c>
      <c r="X160" s="54">
        <f>SUM(X140:X159)</f>
        <v>161241940</v>
      </c>
      <c r="Y160" s="54">
        <f>SUM(Y140:Y159)</f>
        <v>212371215</v>
      </c>
      <c r="Z160" s="54">
        <f t="shared" ref="Z160" si="106">SUM(Z140:Z159)</f>
        <v>740984337</v>
      </c>
      <c r="AA160" s="528">
        <f>SUM(AA140:AA159)</f>
        <v>109802409</v>
      </c>
      <c r="AB160" s="137">
        <f t="shared" ref="AB160:AM160" si="107">SUM(AB140:AB152)</f>
        <v>0</v>
      </c>
      <c r="AC160" s="54">
        <f t="shared" si="107"/>
        <v>0</v>
      </c>
      <c r="AD160" s="54">
        <f t="shared" si="107"/>
        <v>485</v>
      </c>
      <c r="AE160" s="54">
        <f t="shared" si="107"/>
        <v>759425191</v>
      </c>
      <c r="AF160" s="479">
        <f t="shared" si="107"/>
        <v>514460</v>
      </c>
      <c r="AG160" s="54">
        <f t="shared" si="107"/>
        <v>1634</v>
      </c>
      <c r="AH160" s="54">
        <f t="shared" si="107"/>
        <v>759425191</v>
      </c>
      <c r="AI160" s="54">
        <f t="shared" si="107"/>
        <v>514572</v>
      </c>
      <c r="AJ160" s="54">
        <f t="shared" si="107"/>
        <v>0</v>
      </c>
      <c r="AK160" s="54">
        <f t="shared" si="107"/>
        <v>2581</v>
      </c>
      <c r="AL160" s="54">
        <f t="shared" si="107"/>
        <v>5213023080</v>
      </c>
      <c r="AM160" s="54">
        <f t="shared" si="107"/>
        <v>0</v>
      </c>
    </row>
    <row r="161" spans="1:39" s="116" customFormat="1" ht="63.75">
      <c r="A161" s="252" t="s">
        <v>150</v>
      </c>
      <c r="B161" s="113">
        <f>1000000000</f>
        <v>1000000000</v>
      </c>
      <c r="C161" s="88" t="s">
        <v>670</v>
      </c>
      <c r="D161" s="88" t="s">
        <v>120</v>
      </c>
      <c r="E161" s="88" t="s">
        <v>121</v>
      </c>
      <c r="F161" s="88" t="s">
        <v>734</v>
      </c>
      <c r="G161" s="88" t="s">
        <v>122</v>
      </c>
      <c r="H161" s="144"/>
      <c r="I161" s="99"/>
      <c r="J161" s="135"/>
      <c r="K161" s="99"/>
      <c r="L161" s="99"/>
      <c r="M161" s="136"/>
      <c r="N161" s="144"/>
      <c r="O161" s="99"/>
      <c r="P161" s="99"/>
      <c r="Q161" s="99"/>
      <c r="R161" s="99"/>
      <c r="S161" s="99"/>
      <c r="T161" s="99"/>
      <c r="U161" s="99"/>
      <c r="V161" s="99"/>
      <c r="W161" s="99"/>
      <c r="X161" s="99"/>
      <c r="Y161" s="143"/>
      <c r="Z161" s="161"/>
      <c r="AA161" s="520"/>
      <c r="AC161" s="100"/>
      <c r="AD161" s="44"/>
      <c r="AE161" s="89">
        <f t="shared" ref="AE161:AE207" si="108">J161</f>
        <v>0</v>
      </c>
      <c r="AF161" s="118"/>
      <c r="AG161" s="109"/>
      <c r="AH161" s="99"/>
      <c r="AI161" s="120"/>
      <c r="AJ161" s="54"/>
      <c r="AK161" s="101"/>
      <c r="AL161" s="101"/>
      <c r="AM161" s="99"/>
    </row>
    <row r="162" spans="1:39" s="116" customFormat="1" ht="63.75">
      <c r="A162" s="254" t="s">
        <v>150</v>
      </c>
      <c r="B162" s="115">
        <f>+J162</f>
        <v>21674815</v>
      </c>
      <c r="C162" s="88" t="s">
        <v>670</v>
      </c>
      <c r="D162" s="88" t="s">
        <v>120</v>
      </c>
      <c r="E162" s="88" t="s">
        <v>121</v>
      </c>
      <c r="F162" s="88" t="s">
        <v>734</v>
      </c>
      <c r="G162" s="88" t="s">
        <v>122</v>
      </c>
      <c r="H162" s="146">
        <v>435</v>
      </c>
      <c r="I162" s="108" t="s">
        <v>1061</v>
      </c>
      <c r="J162" s="141">
        <f>14491882+7182933</f>
        <v>21674815</v>
      </c>
      <c r="K162" s="108" t="s">
        <v>1172</v>
      </c>
      <c r="L162" s="108">
        <f>14491882+7182933</f>
        <v>21674815</v>
      </c>
      <c r="M162" s="142">
        <v>308</v>
      </c>
      <c r="N162" s="144"/>
      <c r="O162" s="99"/>
      <c r="P162" s="99"/>
      <c r="Q162" s="99"/>
      <c r="R162" s="99"/>
      <c r="S162" s="99"/>
      <c r="T162" s="99"/>
      <c r="U162" s="99"/>
      <c r="V162" s="99"/>
      <c r="W162" s="108">
        <f>3150409</f>
        <v>3150409</v>
      </c>
      <c r="X162" s="108">
        <f>3780491</f>
        <v>3780491</v>
      </c>
      <c r="Y162" s="157">
        <f>3780491+3780491</f>
        <v>7560982</v>
      </c>
      <c r="Z162" s="162">
        <f>SUM(N162:Y162)</f>
        <v>14491882</v>
      </c>
      <c r="AA162" s="520">
        <f>L162-Z162</f>
        <v>7182933</v>
      </c>
      <c r="AC162" s="84" t="s">
        <v>782</v>
      </c>
      <c r="AD162" s="89" t="str">
        <f t="shared" ref="AD162:AD207" si="109">I162</f>
        <v>449 - 785</v>
      </c>
      <c r="AE162" s="89">
        <f t="shared" si="108"/>
        <v>21674815</v>
      </c>
      <c r="AF162" s="117">
        <v>42979</v>
      </c>
      <c r="AG162" s="109" t="str">
        <f t="shared" ref="AG162:AG207" si="110">K162</f>
        <v>753- 1133</v>
      </c>
      <c r="AH162" s="108">
        <f t="shared" ref="AH162:AH207" si="111">L162</f>
        <v>21674815</v>
      </c>
      <c r="AI162" s="121"/>
      <c r="AJ162" s="89"/>
      <c r="AK162" s="111">
        <f t="shared" ref="AK162" si="112">M162</f>
        <v>308</v>
      </c>
      <c r="AL162" s="111"/>
      <c r="AM162" s="108">
        <f t="shared" ref="AM162" si="113">AE162-AH162</f>
        <v>0</v>
      </c>
    </row>
    <row r="163" spans="1:39" s="116" customFormat="1" ht="63.75">
      <c r="A163" s="254" t="s">
        <v>150</v>
      </c>
      <c r="B163" s="115">
        <f t="shared" ref="B163:B169" si="114">+J163</f>
        <v>9802372</v>
      </c>
      <c r="C163" s="88" t="s">
        <v>670</v>
      </c>
      <c r="D163" s="88" t="s">
        <v>120</v>
      </c>
      <c r="E163" s="88" t="s">
        <v>121</v>
      </c>
      <c r="F163" s="88" t="s">
        <v>734</v>
      </c>
      <c r="G163" s="88" t="s">
        <v>122</v>
      </c>
      <c r="H163" s="146">
        <v>397</v>
      </c>
      <c r="I163" s="108" t="s">
        <v>1082</v>
      </c>
      <c r="J163" s="141">
        <f>10437771+2861939-1228210-2269128</f>
        <v>9802372</v>
      </c>
      <c r="K163" s="108" t="s">
        <v>1173</v>
      </c>
      <c r="L163" s="108">
        <f>8168643+1633729</f>
        <v>9802372</v>
      </c>
      <c r="M163" s="142">
        <v>313</v>
      </c>
      <c r="N163" s="144"/>
      <c r="O163" s="99"/>
      <c r="P163" s="99"/>
      <c r="Q163" s="99"/>
      <c r="R163" s="99"/>
      <c r="S163" s="99"/>
      <c r="T163" s="99"/>
      <c r="U163" s="99"/>
      <c r="V163" s="99"/>
      <c r="W163" s="99"/>
      <c r="X163" s="108">
        <f>2904406</f>
        <v>2904406</v>
      </c>
      <c r="Y163" s="157">
        <f>2722881+2541356+181525</f>
        <v>5445762</v>
      </c>
      <c r="Z163" s="162">
        <f t="shared" ref="Z163:Z207" si="115">SUM(N163:Y163)</f>
        <v>8350168</v>
      </c>
      <c r="AA163" s="520">
        <f t="shared" ref="AA163:AA207" si="116">L163-Z163</f>
        <v>1452204</v>
      </c>
      <c r="AC163" s="84" t="s">
        <v>785</v>
      </c>
      <c r="AD163" s="89" t="str">
        <f t="shared" si="109"/>
        <v>456 - 737</v>
      </c>
      <c r="AE163" s="89">
        <f t="shared" si="108"/>
        <v>9802372</v>
      </c>
      <c r="AF163" s="117">
        <v>42983</v>
      </c>
      <c r="AG163" s="109" t="str">
        <f t="shared" si="110"/>
        <v>807 - 1128</v>
      </c>
      <c r="AH163" s="108">
        <f t="shared" si="111"/>
        <v>9802372</v>
      </c>
      <c r="AI163" s="121"/>
      <c r="AJ163" s="89"/>
      <c r="AK163" s="111">
        <f t="shared" ref="AK163:AK207" si="117">M163</f>
        <v>313</v>
      </c>
      <c r="AL163" s="111"/>
      <c r="AM163" s="108">
        <f t="shared" ref="AM163:AM207" si="118">AE163-AH163</f>
        <v>0</v>
      </c>
    </row>
    <row r="164" spans="1:39" s="116" customFormat="1" ht="63.75">
      <c r="A164" s="254" t="s">
        <v>150</v>
      </c>
      <c r="B164" s="115">
        <f>+J164</f>
        <v>16132284</v>
      </c>
      <c r="C164" s="88" t="s">
        <v>670</v>
      </c>
      <c r="D164" s="88" t="s">
        <v>120</v>
      </c>
      <c r="E164" s="88" t="s">
        <v>121</v>
      </c>
      <c r="F164" s="88" t="s">
        <v>734</v>
      </c>
      <c r="G164" s="88" t="s">
        <v>122</v>
      </c>
      <c r="H164" s="146">
        <v>434</v>
      </c>
      <c r="I164" s="108" t="s">
        <v>1070</v>
      </c>
      <c r="J164" s="141">
        <f>17177895+2688714-3734325</f>
        <v>16132284</v>
      </c>
      <c r="K164" s="108" t="s">
        <v>1174</v>
      </c>
      <c r="L164" s="108">
        <f>13443570+2688714</f>
        <v>16132284</v>
      </c>
      <c r="M164" s="142">
        <v>312</v>
      </c>
      <c r="N164" s="144"/>
      <c r="O164" s="99"/>
      <c r="P164" s="99"/>
      <c r="Q164" s="99"/>
      <c r="R164" s="99"/>
      <c r="S164" s="99"/>
      <c r="T164" s="99"/>
      <c r="U164" s="99"/>
      <c r="V164" s="99"/>
      <c r="W164" s="99"/>
      <c r="X164" s="108">
        <f>5078682</f>
        <v>5078682</v>
      </c>
      <c r="Y164" s="157">
        <f>4481190+3883698+597492</f>
        <v>8962380</v>
      </c>
      <c r="Z164" s="162">
        <f t="shared" si="115"/>
        <v>14041062</v>
      </c>
      <c r="AA164" s="520">
        <f t="shared" si="116"/>
        <v>2091222</v>
      </c>
      <c r="AC164" s="86" t="s">
        <v>786</v>
      </c>
      <c r="AD164" s="89" t="str">
        <f t="shared" si="109"/>
        <v>457 - 775</v>
      </c>
      <c r="AE164" s="89">
        <f t="shared" si="108"/>
        <v>16132284</v>
      </c>
      <c r="AF164" s="117">
        <v>42983</v>
      </c>
      <c r="AG164" s="109" t="str">
        <f t="shared" si="110"/>
        <v>801 - 1147</v>
      </c>
      <c r="AH164" s="108">
        <f t="shared" si="111"/>
        <v>16132284</v>
      </c>
      <c r="AI164" s="121"/>
      <c r="AJ164" s="89"/>
      <c r="AK164" s="111">
        <f t="shared" si="117"/>
        <v>312</v>
      </c>
      <c r="AL164" s="111"/>
      <c r="AM164" s="108">
        <f t="shared" si="118"/>
        <v>0</v>
      </c>
    </row>
    <row r="165" spans="1:39" s="116" customFormat="1" ht="63.75">
      <c r="A165" s="254" t="s">
        <v>150</v>
      </c>
      <c r="B165" s="115">
        <f>+J165</f>
        <v>15684165</v>
      </c>
      <c r="C165" s="88" t="s">
        <v>670</v>
      </c>
      <c r="D165" s="88" t="s">
        <v>120</v>
      </c>
      <c r="E165" s="88" t="s">
        <v>121</v>
      </c>
      <c r="F165" s="88" t="s">
        <v>734</v>
      </c>
      <c r="G165" s="88" t="s">
        <v>122</v>
      </c>
      <c r="H165" s="146">
        <v>392</v>
      </c>
      <c r="I165" s="108" t="s">
        <v>1080</v>
      </c>
      <c r="J165" s="141">
        <f>16431030+2240595-2987460</f>
        <v>15684165</v>
      </c>
      <c r="K165" s="108" t="s">
        <v>1175</v>
      </c>
      <c r="L165" s="108">
        <f>13443570+2240595</f>
        <v>15684165</v>
      </c>
      <c r="M165" s="142">
        <v>314</v>
      </c>
      <c r="N165" s="144"/>
      <c r="O165" s="99"/>
      <c r="P165" s="99"/>
      <c r="Q165" s="99"/>
      <c r="R165" s="99"/>
      <c r="S165" s="99"/>
      <c r="T165" s="99"/>
      <c r="U165" s="99"/>
      <c r="V165" s="99"/>
      <c r="W165" s="99"/>
      <c r="X165" s="99"/>
      <c r="Y165" s="157">
        <f>4779936+4481190+4182444+298746</f>
        <v>13742316</v>
      </c>
      <c r="Z165" s="162">
        <f t="shared" si="115"/>
        <v>13742316</v>
      </c>
      <c r="AA165" s="520">
        <f t="shared" si="116"/>
        <v>1941849</v>
      </c>
      <c r="AC165" s="86" t="s">
        <v>784</v>
      </c>
      <c r="AD165" s="89" t="str">
        <f t="shared" si="109"/>
        <v>454 - 739</v>
      </c>
      <c r="AE165" s="89">
        <f t="shared" si="108"/>
        <v>15684165</v>
      </c>
      <c r="AF165" s="117">
        <v>42983</v>
      </c>
      <c r="AG165" s="109" t="str">
        <f t="shared" si="110"/>
        <v>812 - 1154</v>
      </c>
      <c r="AH165" s="108">
        <f t="shared" si="111"/>
        <v>15684165</v>
      </c>
      <c r="AI165" s="121"/>
      <c r="AJ165" s="89"/>
      <c r="AK165" s="111">
        <f t="shared" si="117"/>
        <v>314</v>
      </c>
      <c r="AL165" s="111"/>
      <c r="AM165" s="108">
        <f t="shared" si="118"/>
        <v>0</v>
      </c>
    </row>
    <row r="166" spans="1:39" s="116" customFormat="1" ht="63.75">
      <c r="A166" s="254" t="s">
        <v>150</v>
      </c>
      <c r="B166" s="115">
        <f>+J166</f>
        <v>20165355</v>
      </c>
      <c r="C166" s="88" t="s">
        <v>670</v>
      </c>
      <c r="D166" s="88" t="s">
        <v>120</v>
      </c>
      <c r="E166" s="88" t="s">
        <v>121</v>
      </c>
      <c r="F166" s="88" t="s">
        <v>734</v>
      </c>
      <c r="G166" s="88" t="s">
        <v>122</v>
      </c>
      <c r="H166" s="146">
        <v>393</v>
      </c>
      <c r="I166" s="108" t="s">
        <v>1079</v>
      </c>
      <c r="J166" s="141">
        <f>16431030+6721785-2987460</f>
        <v>20165355</v>
      </c>
      <c r="K166" s="108" t="s">
        <v>1176</v>
      </c>
      <c r="L166" s="108">
        <f>13443570+6721785</f>
        <v>20165355</v>
      </c>
      <c r="M166" s="142">
        <v>317</v>
      </c>
      <c r="N166" s="144"/>
      <c r="O166" s="99"/>
      <c r="P166" s="99"/>
      <c r="Q166" s="99"/>
      <c r="R166" s="99"/>
      <c r="S166" s="99"/>
      <c r="T166" s="99"/>
      <c r="U166" s="99"/>
      <c r="V166" s="99"/>
      <c r="W166" s="99"/>
      <c r="X166" s="108">
        <f>3883698</f>
        <v>3883698</v>
      </c>
      <c r="Y166" s="157">
        <f>4481190+4481190</f>
        <v>8962380</v>
      </c>
      <c r="Z166" s="162">
        <f t="shared" si="115"/>
        <v>12846078</v>
      </c>
      <c r="AA166" s="520">
        <f t="shared" si="116"/>
        <v>7319277</v>
      </c>
      <c r="AC166" s="86" t="s">
        <v>784</v>
      </c>
      <c r="AD166" s="89" t="str">
        <f t="shared" si="109"/>
        <v>455 - 740</v>
      </c>
      <c r="AE166" s="89">
        <f t="shared" si="108"/>
        <v>20165355</v>
      </c>
      <c r="AF166" s="117">
        <v>42983</v>
      </c>
      <c r="AG166" s="109" t="str">
        <f t="shared" si="110"/>
        <v>837 - 1209</v>
      </c>
      <c r="AH166" s="108">
        <f t="shared" si="111"/>
        <v>20165355</v>
      </c>
      <c r="AI166" s="121">
        <v>43012</v>
      </c>
      <c r="AJ166" s="89" t="s">
        <v>844</v>
      </c>
      <c r="AK166" s="111">
        <f t="shared" si="117"/>
        <v>317</v>
      </c>
      <c r="AL166" s="111"/>
      <c r="AM166" s="108">
        <f t="shared" si="118"/>
        <v>0</v>
      </c>
    </row>
    <row r="167" spans="1:39" s="116" customFormat="1" ht="63.75">
      <c r="A167" s="254" t="s">
        <v>150</v>
      </c>
      <c r="B167" s="115">
        <f>+J167</f>
        <v>17924760</v>
      </c>
      <c r="C167" s="88" t="s">
        <v>670</v>
      </c>
      <c r="D167" s="88" t="s">
        <v>120</v>
      </c>
      <c r="E167" s="88" t="s">
        <v>121</v>
      </c>
      <c r="F167" s="88" t="s">
        <v>734</v>
      </c>
      <c r="G167" s="88" t="s">
        <v>122</v>
      </c>
      <c r="H167" s="146">
        <v>394</v>
      </c>
      <c r="I167" s="108" t="s">
        <v>1332</v>
      </c>
      <c r="J167" s="141">
        <f>13443570-13443570+17924760</f>
        <v>17924760</v>
      </c>
      <c r="K167" s="108">
        <v>1012</v>
      </c>
      <c r="L167" s="108">
        <f>17924760</f>
        <v>17924760</v>
      </c>
      <c r="M167" s="142">
        <v>386</v>
      </c>
      <c r="N167" s="144"/>
      <c r="O167" s="99"/>
      <c r="P167" s="99"/>
      <c r="Q167" s="99"/>
      <c r="R167" s="99"/>
      <c r="S167" s="99"/>
      <c r="T167" s="99"/>
      <c r="U167" s="99"/>
      <c r="V167" s="99"/>
      <c r="W167" s="99"/>
      <c r="X167" s="99"/>
      <c r="Y167" s="157">
        <f>3883698</f>
        <v>3883698</v>
      </c>
      <c r="Z167" s="162">
        <f t="shared" si="115"/>
        <v>3883698</v>
      </c>
      <c r="AA167" s="520">
        <f t="shared" si="116"/>
        <v>14041062</v>
      </c>
      <c r="AC167" s="84" t="s">
        <v>784</v>
      </c>
      <c r="AD167" s="89" t="str">
        <f t="shared" si="109"/>
        <v>484 - 601</v>
      </c>
      <c r="AE167" s="89">
        <f t="shared" si="108"/>
        <v>17924760</v>
      </c>
      <c r="AF167" s="117">
        <v>43056</v>
      </c>
      <c r="AG167" s="109">
        <f t="shared" si="110"/>
        <v>1012</v>
      </c>
      <c r="AH167" s="108">
        <f t="shared" si="111"/>
        <v>17924760</v>
      </c>
      <c r="AI167" s="121">
        <v>43073</v>
      </c>
      <c r="AJ167" s="89" t="s">
        <v>1018</v>
      </c>
      <c r="AK167" s="111">
        <f t="shared" si="117"/>
        <v>386</v>
      </c>
      <c r="AL167" s="111"/>
      <c r="AM167" s="108">
        <f t="shared" si="118"/>
        <v>0</v>
      </c>
    </row>
    <row r="168" spans="1:39" s="116" customFormat="1" ht="63.75">
      <c r="A168" s="254" t="s">
        <v>150</v>
      </c>
      <c r="B168" s="115">
        <f t="shared" si="114"/>
        <v>461988435</v>
      </c>
      <c r="C168" s="88" t="s">
        <v>670</v>
      </c>
      <c r="D168" s="88" t="s">
        <v>120</v>
      </c>
      <c r="E168" s="88" t="s">
        <v>121</v>
      </c>
      <c r="F168" s="88" t="s">
        <v>734</v>
      </c>
      <c r="G168" s="88" t="s">
        <v>122</v>
      </c>
      <c r="H168" s="146">
        <v>437</v>
      </c>
      <c r="I168" s="108">
        <v>510</v>
      </c>
      <c r="J168" s="141">
        <f>529410672-67422237</f>
        <v>461988435</v>
      </c>
      <c r="K168" s="108">
        <v>933</v>
      </c>
      <c r="L168" s="108">
        <f>461988435</f>
        <v>461988435</v>
      </c>
      <c r="M168" s="142">
        <v>355</v>
      </c>
      <c r="N168" s="144"/>
      <c r="O168" s="99"/>
      <c r="P168" s="99"/>
      <c r="Q168" s="99"/>
      <c r="R168" s="99"/>
      <c r="S168" s="99"/>
      <c r="T168" s="99"/>
      <c r="U168" s="99"/>
      <c r="V168" s="99"/>
      <c r="W168" s="99"/>
      <c r="X168" s="99"/>
      <c r="Y168" s="143"/>
      <c r="Z168" s="162">
        <f t="shared" si="115"/>
        <v>0</v>
      </c>
      <c r="AA168" s="520">
        <f t="shared" si="116"/>
        <v>461988435</v>
      </c>
      <c r="AC168" s="84" t="s">
        <v>754</v>
      </c>
      <c r="AD168" s="89">
        <f t="shared" si="109"/>
        <v>510</v>
      </c>
      <c r="AE168" s="89">
        <f t="shared" si="108"/>
        <v>461988435</v>
      </c>
      <c r="AF168" s="117">
        <v>43007</v>
      </c>
      <c r="AG168" s="109">
        <f t="shared" si="110"/>
        <v>933</v>
      </c>
      <c r="AH168" s="108">
        <f t="shared" si="111"/>
        <v>461988435</v>
      </c>
      <c r="AI168" s="121">
        <v>43050</v>
      </c>
      <c r="AJ168" s="89" t="s">
        <v>970</v>
      </c>
      <c r="AK168" s="111">
        <f t="shared" si="117"/>
        <v>355</v>
      </c>
      <c r="AL168" s="111"/>
      <c r="AM168" s="108">
        <f t="shared" si="118"/>
        <v>0</v>
      </c>
    </row>
    <row r="169" spans="1:39" s="116" customFormat="1" ht="63.75">
      <c r="A169" s="254" t="s">
        <v>150</v>
      </c>
      <c r="B169" s="115">
        <f t="shared" si="114"/>
        <v>0</v>
      </c>
      <c r="C169" s="88" t="s">
        <v>670</v>
      </c>
      <c r="D169" s="88" t="s">
        <v>120</v>
      </c>
      <c r="E169" s="88" t="s">
        <v>121</v>
      </c>
      <c r="F169" s="88" t="s">
        <v>734</v>
      </c>
      <c r="G169" s="88" t="s">
        <v>122</v>
      </c>
      <c r="H169" s="146">
        <v>436</v>
      </c>
      <c r="I169" s="108">
        <v>471</v>
      </c>
      <c r="J169" s="141">
        <f>48000000-48000000</f>
        <v>0</v>
      </c>
      <c r="K169" s="99"/>
      <c r="L169" s="99"/>
      <c r="M169" s="136"/>
      <c r="N169" s="144"/>
      <c r="O169" s="99"/>
      <c r="P169" s="99"/>
      <c r="Q169" s="99"/>
      <c r="R169" s="99"/>
      <c r="S169" s="99"/>
      <c r="T169" s="99"/>
      <c r="U169" s="99"/>
      <c r="V169" s="99"/>
      <c r="W169" s="99"/>
      <c r="X169" s="99"/>
      <c r="Y169" s="143"/>
      <c r="Z169" s="162">
        <f t="shared" si="115"/>
        <v>0</v>
      </c>
      <c r="AA169" s="520">
        <f t="shared" si="116"/>
        <v>0</v>
      </c>
      <c r="AC169" s="86" t="s">
        <v>790</v>
      </c>
      <c r="AD169" s="89">
        <f t="shared" si="109"/>
        <v>471</v>
      </c>
      <c r="AE169" s="89">
        <f t="shared" si="108"/>
        <v>0</v>
      </c>
      <c r="AF169" s="117">
        <v>42996</v>
      </c>
      <c r="AG169" s="109">
        <f t="shared" si="110"/>
        <v>0</v>
      </c>
      <c r="AH169" s="108">
        <f t="shared" si="111"/>
        <v>0</v>
      </c>
      <c r="AI169" s="121"/>
      <c r="AJ169" s="89"/>
      <c r="AK169" s="111">
        <f t="shared" si="117"/>
        <v>0</v>
      </c>
      <c r="AL169" s="111"/>
      <c r="AM169" s="108">
        <f t="shared" si="118"/>
        <v>0</v>
      </c>
    </row>
    <row r="170" spans="1:39" s="116" customFormat="1" ht="63.75">
      <c r="A170" s="254" t="s">
        <v>150</v>
      </c>
      <c r="B170" s="115">
        <f t="shared" ref="B170:B207" si="119">+J170</f>
        <v>6698503</v>
      </c>
      <c r="C170" s="88" t="s">
        <v>670</v>
      </c>
      <c r="D170" s="88" t="s">
        <v>120</v>
      </c>
      <c r="E170" s="88" t="s">
        <v>121</v>
      </c>
      <c r="F170" s="88" t="s">
        <v>734</v>
      </c>
      <c r="G170" s="88" t="s">
        <v>122</v>
      </c>
      <c r="H170" s="146">
        <v>398</v>
      </c>
      <c r="I170" s="108" t="s">
        <v>1057</v>
      </c>
      <c r="J170" s="141">
        <f>6126680+1225336-653513</f>
        <v>6698503</v>
      </c>
      <c r="K170" s="108" t="s">
        <v>1177</v>
      </c>
      <c r="L170" s="108">
        <f>5718235+1225336-245068</f>
        <v>6698503</v>
      </c>
      <c r="M170" s="142">
        <v>340</v>
      </c>
      <c r="N170" s="144"/>
      <c r="O170" s="99"/>
      <c r="P170" s="99"/>
      <c r="Q170" s="99"/>
      <c r="R170" s="99"/>
      <c r="S170" s="99"/>
      <c r="T170" s="99"/>
      <c r="U170" s="99"/>
      <c r="V170" s="99"/>
      <c r="W170" s="99"/>
      <c r="X170" s="99"/>
      <c r="Y170" s="157">
        <f>3022495+2450672</f>
        <v>5473167</v>
      </c>
      <c r="Z170" s="162">
        <f t="shared" si="115"/>
        <v>5473167</v>
      </c>
      <c r="AA170" s="520">
        <f t="shared" si="116"/>
        <v>1225336</v>
      </c>
      <c r="AC170" s="86" t="s">
        <v>828</v>
      </c>
      <c r="AD170" s="89" t="str">
        <f t="shared" si="109"/>
        <v>525 - 795</v>
      </c>
      <c r="AE170" s="89">
        <f t="shared" si="108"/>
        <v>6698503</v>
      </c>
      <c r="AF170" s="117">
        <v>42996</v>
      </c>
      <c r="AG170" s="109" t="str">
        <f t="shared" si="110"/>
        <v>884 - 1189</v>
      </c>
      <c r="AH170" s="108">
        <f t="shared" si="111"/>
        <v>6698503</v>
      </c>
      <c r="AI170" s="121">
        <v>43032</v>
      </c>
      <c r="AJ170" s="89" t="s">
        <v>852</v>
      </c>
      <c r="AK170" s="111">
        <f t="shared" si="117"/>
        <v>340</v>
      </c>
      <c r="AL170" s="111"/>
      <c r="AM170" s="108">
        <f t="shared" si="118"/>
        <v>0</v>
      </c>
    </row>
    <row r="171" spans="1:39" s="116" customFormat="1" ht="63.75">
      <c r="A171" s="254" t="s">
        <v>150</v>
      </c>
      <c r="B171" s="115">
        <f t="shared" si="119"/>
        <v>8168906</v>
      </c>
      <c r="C171" s="88" t="s">
        <v>670</v>
      </c>
      <c r="D171" s="88" t="s">
        <v>120</v>
      </c>
      <c r="E171" s="88" t="s">
        <v>121</v>
      </c>
      <c r="F171" s="88" t="s">
        <v>734</v>
      </c>
      <c r="G171" s="88" t="s">
        <v>122</v>
      </c>
      <c r="H171" s="146">
        <v>399</v>
      </c>
      <c r="I171" s="108" t="s">
        <v>1099</v>
      </c>
      <c r="J171" s="141">
        <f>6126680+2695739-653513</f>
        <v>8168906</v>
      </c>
      <c r="K171" s="108" t="s">
        <v>1178</v>
      </c>
      <c r="L171" s="108">
        <f>5718235+2695739-245068</f>
        <v>8168906</v>
      </c>
      <c r="M171" s="142">
        <v>341</v>
      </c>
      <c r="N171" s="144"/>
      <c r="O171" s="99"/>
      <c r="P171" s="99"/>
      <c r="Q171" s="99"/>
      <c r="R171" s="99"/>
      <c r="S171" s="99"/>
      <c r="T171" s="99"/>
      <c r="U171" s="99"/>
      <c r="V171" s="99"/>
      <c r="W171" s="99"/>
      <c r="X171" s="99"/>
      <c r="Y171" s="157">
        <f>3022495+2450672</f>
        <v>5473167</v>
      </c>
      <c r="Z171" s="162">
        <f t="shared" si="115"/>
        <v>5473167</v>
      </c>
      <c r="AA171" s="520">
        <f t="shared" si="116"/>
        <v>2695739</v>
      </c>
      <c r="AC171" s="86" t="s">
        <v>828</v>
      </c>
      <c r="AD171" s="89" t="str">
        <f t="shared" si="109"/>
        <v>526 - 762</v>
      </c>
      <c r="AE171" s="89">
        <f t="shared" si="108"/>
        <v>8168906</v>
      </c>
      <c r="AF171" s="117">
        <v>42996</v>
      </c>
      <c r="AG171" s="109" t="str">
        <f t="shared" si="110"/>
        <v>878 - 1215</v>
      </c>
      <c r="AH171" s="108">
        <f t="shared" si="111"/>
        <v>8168906</v>
      </c>
      <c r="AI171" s="121">
        <v>43028</v>
      </c>
      <c r="AJ171" s="89" t="s">
        <v>851</v>
      </c>
      <c r="AK171" s="111">
        <f t="shared" si="117"/>
        <v>341</v>
      </c>
      <c r="AL171" s="111"/>
      <c r="AM171" s="108">
        <f t="shared" si="118"/>
        <v>0</v>
      </c>
    </row>
    <row r="172" spans="1:39" s="116" customFormat="1" ht="63.75">
      <c r="A172" s="254" t="s">
        <v>150</v>
      </c>
      <c r="B172" s="115">
        <f t="shared" si="119"/>
        <v>7188548</v>
      </c>
      <c r="C172" s="88" t="s">
        <v>670</v>
      </c>
      <c r="D172" s="88" t="s">
        <v>120</v>
      </c>
      <c r="E172" s="88" t="s">
        <v>121</v>
      </c>
      <c r="F172" s="88" t="s">
        <v>734</v>
      </c>
      <c r="G172" s="88" t="s">
        <v>122</v>
      </c>
      <c r="H172" s="146">
        <v>400</v>
      </c>
      <c r="I172" s="108" t="s">
        <v>1081</v>
      </c>
      <c r="J172" s="141">
        <f>6126680+2368893-1307025</f>
        <v>7188548</v>
      </c>
      <c r="K172" s="108" t="s">
        <v>1179</v>
      </c>
      <c r="L172" s="108">
        <f>5718235+2368893-898580</f>
        <v>7188548</v>
      </c>
      <c r="M172" s="142">
        <v>339</v>
      </c>
      <c r="N172" s="144"/>
      <c r="O172" s="99"/>
      <c r="P172" s="99"/>
      <c r="Q172" s="99"/>
      <c r="R172" s="99"/>
      <c r="S172" s="99"/>
      <c r="T172" s="99"/>
      <c r="U172" s="99"/>
      <c r="V172" s="99"/>
      <c r="W172" s="99"/>
      <c r="X172" s="99"/>
      <c r="Y172" s="157">
        <f>2368983+2450672</f>
        <v>4819655</v>
      </c>
      <c r="Z172" s="162">
        <f t="shared" si="115"/>
        <v>4819655</v>
      </c>
      <c r="AA172" s="520">
        <f t="shared" si="116"/>
        <v>2368893</v>
      </c>
      <c r="AC172" s="86" t="s">
        <v>828</v>
      </c>
      <c r="AD172" s="89" t="str">
        <f t="shared" si="109"/>
        <v>527 - 738</v>
      </c>
      <c r="AE172" s="89">
        <f t="shared" si="108"/>
        <v>7188548</v>
      </c>
      <c r="AF172" s="117">
        <v>42996</v>
      </c>
      <c r="AG172" s="109" t="str">
        <f t="shared" si="110"/>
        <v>910 - 1211</v>
      </c>
      <c r="AH172" s="108">
        <f t="shared" si="111"/>
        <v>7188548</v>
      </c>
      <c r="AI172" s="121">
        <v>43040</v>
      </c>
      <c r="AJ172" s="88" t="s">
        <v>868</v>
      </c>
      <c r="AK172" s="111">
        <f t="shared" si="117"/>
        <v>339</v>
      </c>
      <c r="AL172" s="111"/>
      <c r="AM172" s="108">
        <f t="shared" si="118"/>
        <v>0</v>
      </c>
    </row>
    <row r="173" spans="1:39" s="116" customFormat="1" ht="63.75">
      <c r="A173" s="254" t="s">
        <v>150</v>
      </c>
      <c r="B173" s="115">
        <f t="shared" si="119"/>
        <v>8577352</v>
      </c>
      <c r="C173" s="88" t="s">
        <v>670</v>
      </c>
      <c r="D173" s="88" t="s">
        <v>120</v>
      </c>
      <c r="E173" s="88" t="s">
        <v>121</v>
      </c>
      <c r="F173" s="88" t="s">
        <v>734</v>
      </c>
      <c r="G173" s="88" t="s">
        <v>122</v>
      </c>
      <c r="H173" s="146">
        <v>401</v>
      </c>
      <c r="I173" s="108" t="s">
        <v>1071</v>
      </c>
      <c r="J173" s="141">
        <f>6126680+2859117-408445</f>
        <v>8577352</v>
      </c>
      <c r="K173" s="108" t="s">
        <v>1180</v>
      </c>
      <c r="L173" s="108">
        <f>5718235+2859117</f>
        <v>8577352</v>
      </c>
      <c r="M173" s="142">
        <v>333</v>
      </c>
      <c r="N173" s="144"/>
      <c r="O173" s="99"/>
      <c r="P173" s="99"/>
      <c r="Q173" s="99"/>
      <c r="R173" s="99"/>
      <c r="S173" s="99"/>
      <c r="T173" s="99"/>
      <c r="U173" s="99"/>
      <c r="V173" s="99"/>
      <c r="W173" s="99"/>
      <c r="X173" s="99"/>
      <c r="Y173" s="157">
        <f>980269+2450672+2287294+163378</f>
        <v>5881613</v>
      </c>
      <c r="Z173" s="162">
        <f t="shared" si="115"/>
        <v>5881613</v>
      </c>
      <c r="AA173" s="520">
        <f t="shared" si="116"/>
        <v>2695739</v>
      </c>
      <c r="AC173" s="86" t="s">
        <v>828</v>
      </c>
      <c r="AD173" s="89" t="str">
        <f t="shared" si="109"/>
        <v>528 - 774</v>
      </c>
      <c r="AE173" s="89">
        <f t="shared" si="108"/>
        <v>8577352</v>
      </c>
      <c r="AF173" s="117">
        <v>42996</v>
      </c>
      <c r="AG173" s="109" t="str">
        <f t="shared" si="110"/>
        <v>866 - 1148</v>
      </c>
      <c r="AH173" s="108">
        <f t="shared" si="111"/>
        <v>8577352</v>
      </c>
      <c r="AI173" s="121">
        <v>43027</v>
      </c>
      <c r="AJ173" s="89" t="s">
        <v>850</v>
      </c>
      <c r="AK173" s="111">
        <f t="shared" si="117"/>
        <v>333</v>
      </c>
      <c r="AL173" s="111"/>
      <c r="AM173" s="108">
        <f t="shared" si="118"/>
        <v>0</v>
      </c>
    </row>
    <row r="174" spans="1:39" s="116" customFormat="1" ht="76.5">
      <c r="A174" s="254" t="s">
        <v>150</v>
      </c>
      <c r="B174" s="115">
        <f t="shared" si="119"/>
        <v>200700</v>
      </c>
      <c r="C174" s="88" t="s">
        <v>670</v>
      </c>
      <c r="D174" s="88" t="s">
        <v>120</v>
      </c>
      <c r="E174" s="88" t="s">
        <v>121</v>
      </c>
      <c r="F174" s="88" t="s">
        <v>734</v>
      </c>
      <c r="G174" s="88" t="s">
        <v>122</v>
      </c>
      <c r="H174" s="146"/>
      <c r="I174" s="108">
        <v>545</v>
      </c>
      <c r="J174" s="115">
        <v>200700</v>
      </c>
      <c r="K174" s="108">
        <v>865</v>
      </c>
      <c r="L174" s="108">
        <v>200700</v>
      </c>
      <c r="M174" s="142">
        <v>5107</v>
      </c>
      <c r="N174" s="144"/>
      <c r="O174" s="99"/>
      <c r="P174" s="99"/>
      <c r="Q174" s="99"/>
      <c r="R174" s="99"/>
      <c r="S174" s="99"/>
      <c r="T174" s="99"/>
      <c r="U174" s="99"/>
      <c r="V174" s="99"/>
      <c r="W174" s="108"/>
      <c r="X174" s="108">
        <f>200700</f>
        <v>200700</v>
      </c>
      <c r="Y174" s="143"/>
      <c r="Z174" s="162">
        <f t="shared" si="115"/>
        <v>200700</v>
      </c>
      <c r="AA174" s="520">
        <f t="shared" si="116"/>
        <v>0</v>
      </c>
      <c r="AC174" s="86" t="s">
        <v>849</v>
      </c>
      <c r="AD174" s="89">
        <f t="shared" si="109"/>
        <v>545</v>
      </c>
      <c r="AE174" s="89">
        <f t="shared" si="108"/>
        <v>200700</v>
      </c>
      <c r="AF174" s="117">
        <v>42996</v>
      </c>
      <c r="AG174" s="109">
        <f t="shared" si="110"/>
        <v>865</v>
      </c>
      <c r="AH174" s="108">
        <f t="shared" si="111"/>
        <v>200700</v>
      </c>
      <c r="AI174" s="121">
        <v>43026</v>
      </c>
      <c r="AJ174" s="89" t="s">
        <v>594</v>
      </c>
      <c r="AK174" s="111">
        <f t="shared" si="117"/>
        <v>5107</v>
      </c>
      <c r="AL174" s="111"/>
      <c r="AM174" s="108">
        <f t="shared" si="118"/>
        <v>0</v>
      </c>
    </row>
    <row r="175" spans="1:39" s="116" customFormat="1" ht="63.75">
      <c r="A175" s="254" t="s">
        <v>150</v>
      </c>
      <c r="B175" s="115">
        <f t="shared" si="119"/>
        <v>19079596</v>
      </c>
      <c r="C175" s="88" t="s">
        <v>670</v>
      </c>
      <c r="D175" s="88" t="s">
        <v>120</v>
      </c>
      <c r="E175" s="88" t="s">
        <v>121</v>
      </c>
      <c r="F175" s="88" t="s">
        <v>734</v>
      </c>
      <c r="G175" s="88" t="s">
        <v>122</v>
      </c>
      <c r="H175" s="146">
        <v>395</v>
      </c>
      <c r="I175" s="191" t="s">
        <v>1333</v>
      </c>
      <c r="J175" s="458">
        <f>7949832-7949832+19079596</f>
        <v>19079596</v>
      </c>
      <c r="K175" s="146">
        <v>1032</v>
      </c>
      <c r="L175" s="108">
        <f>19079596</f>
        <v>19079596</v>
      </c>
      <c r="M175" s="142">
        <v>396</v>
      </c>
      <c r="N175" s="144"/>
      <c r="O175" s="99"/>
      <c r="P175" s="99"/>
      <c r="Q175" s="99"/>
      <c r="R175" s="99"/>
      <c r="S175" s="99"/>
      <c r="T175" s="99"/>
      <c r="U175" s="99"/>
      <c r="V175" s="99"/>
      <c r="W175" s="99"/>
      <c r="X175" s="99"/>
      <c r="Y175" s="157">
        <f>3815919</f>
        <v>3815919</v>
      </c>
      <c r="Z175" s="162">
        <f t="shared" si="115"/>
        <v>3815919</v>
      </c>
      <c r="AA175" s="520">
        <f t="shared" si="116"/>
        <v>15263677</v>
      </c>
      <c r="AC175" s="86" t="s">
        <v>867</v>
      </c>
      <c r="AD175" s="89" t="str">
        <f t="shared" si="109"/>
        <v>583 - 602</v>
      </c>
      <c r="AE175" s="89">
        <f t="shared" si="108"/>
        <v>19079596</v>
      </c>
      <c r="AF175" s="117">
        <v>43042</v>
      </c>
      <c r="AG175" s="109">
        <f t="shared" si="110"/>
        <v>1032</v>
      </c>
      <c r="AH175" s="89">
        <f t="shared" si="111"/>
        <v>19079596</v>
      </c>
      <c r="AI175" s="121">
        <v>43076</v>
      </c>
      <c r="AJ175" s="89" t="s">
        <v>1019</v>
      </c>
      <c r="AK175" s="111">
        <f t="shared" si="117"/>
        <v>396</v>
      </c>
      <c r="AL175" s="111"/>
      <c r="AM175" s="108">
        <f t="shared" si="118"/>
        <v>0</v>
      </c>
    </row>
    <row r="176" spans="1:39" s="116" customFormat="1" ht="63.75">
      <c r="A176" s="254" t="s">
        <v>150</v>
      </c>
      <c r="B176" s="115">
        <f t="shared" ref="B176:B196" si="120">+J176</f>
        <v>4901344</v>
      </c>
      <c r="C176" s="88" t="s">
        <v>670</v>
      </c>
      <c r="D176" s="88" t="s">
        <v>120</v>
      </c>
      <c r="E176" s="88" t="s">
        <v>121</v>
      </c>
      <c r="F176" s="88" t="s">
        <v>734</v>
      </c>
      <c r="G176" s="88" t="s">
        <v>122</v>
      </c>
      <c r="H176" s="146">
        <v>402</v>
      </c>
      <c r="I176" s="191" t="s">
        <v>1334</v>
      </c>
      <c r="J176" s="458">
        <f>5554857+2450672-2450672-653513</f>
        <v>4901344</v>
      </c>
      <c r="K176" s="146">
        <v>892</v>
      </c>
      <c r="L176" s="108">
        <f>4901344</f>
        <v>4901344</v>
      </c>
      <c r="M176" s="142">
        <v>342</v>
      </c>
      <c r="N176" s="144"/>
      <c r="O176" s="99"/>
      <c r="P176" s="99"/>
      <c r="Q176" s="99"/>
      <c r="R176" s="99"/>
      <c r="S176" s="99"/>
      <c r="T176" s="99"/>
      <c r="U176" s="99"/>
      <c r="V176" s="99"/>
      <c r="W176" s="99"/>
      <c r="X176" s="99"/>
      <c r="Y176" s="157">
        <f>2777428+2123916</f>
        <v>4901344</v>
      </c>
      <c r="Z176" s="162">
        <f t="shared" si="115"/>
        <v>4901344</v>
      </c>
      <c r="AA176" s="520">
        <f t="shared" si="116"/>
        <v>0</v>
      </c>
      <c r="AC176" s="86" t="s">
        <v>828</v>
      </c>
      <c r="AD176" s="89" t="str">
        <f t="shared" si="109"/>
        <v>540 - 784</v>
      </c>
      <c r="AE176" s="89">
        <f t="shared" si="108"/>
        <v>4901344</v>
      </c>
      <c r="AF176" s="117">
        <v>42996</v>
      </c>
      <c r="AG176" s="109">
        <f t="shared" si="110"/>
        <v>892</v>
      </c>
      <c r="AH176" s="89">
        <f t="shared" si="111"/>
        <v>4901344</v>
      </c>
      <c r="AI176" s="121">
        <v>43034</v>
      </c>
      <c r="AJ176" s="88" t="s">
        <v>858</v>
      </c>
      <c r="AK176" s="111">
        <f t="shared" si="117"/>
        <v>342</v>
      </c>
      <c r="AL176" s="111"/>
      <c r="AM176" s="108">
        <f t="shared" si="118"/>
        <v>0</v>
      </c>
    </row>
    <row r="177" spans="1:39" s="116" customFormat="1" ht="63.75">
      <c r="A177" s="254" t="s">
        <v>150</v>
      </c>
      <c r="B177" s="115">
        <f t="shared" si="120"/>
        <v>7352016</v>
      </c>
      <c r="C177" s="88" t="s">
        <v>670</v>
      </c>
      <c r="D177" s="88" t="s">
        <v>120</v>
      </c>
      <c r="E177" s="88" t="s">
        <v>121</v>
      </c>
      <c r="F177" s="88" t="s">
        <v>734</v>
      </c>
      <c r="G177" s="88" t="s">
        <v>122</v>
      </c>
      <c r="H177" s="146">
        <v>403</v>
      </c>
      <c r="I177" s="191" t="s">
        <v>1062</v>
      </c>
      <c r="J177" s="458">
        <f>5554857+2450672-653513</f>
        <v>7352016</v>
      </c>
      <c r="K177" s="146" t="s">
        <v>1181</v>
      </c>
      <c r="L177" s="108">
        <f>4901344+2450672</f>
        <v>7352016</v>
      </c>
      <c r="M177" s="142">
        <v>344</v>
      </c>
      <c r="N177" s="144"/>
      <c r="O177" s="99"/>
      <c r="P177" s="99"/>
      <c r="Q177" s="99"/>
      <c r="R177" s="99"/>
      <c r="S177" s="99"/>
      <c r="T177" s="99"/>
      <c r="U177" s="99"/>
      <c r="V177" s="99"/>
      <c r="W177" s="99"/>
      <c r="X177" s="99"/>
      <c r="Y177" s="157">
        <f>2532361+2368983+81689</f>
        <v>4983033</v>
      </c>
      <c r="Z177" s="162">
        <f t="shared" si="115"/>
        <v>4983033</v>
      </c>
      <c r="AA177" s="520">
        <f t="shared" si="116"/>
        <v>2368983</v>
      </c>
      <c r="AC177" s="86" t="s">
        <v>828</v>
      </c>
      <c r="AD177" s="89" t="str">
        <f t="shared" si="109"/>
        <v>541 - 783</v>
      </c>
      <c r="AE177" s="89">
        <f t="shared" si="108"/>
        <v>7352016</v>
      </c>
      <c r="AF177" s="117">
        <v>42996</v>
      </c>
      <c r="AG177" s="109" t="str">
        <f t="shared" si="110"/>
        <v>898 - 1155</v>
      </c>
      <c r="AH177" s="89">
        <f t="shared" si="111"/>
        <v>7352016</v>
      </c>
      <c r="AI177" s="410">
        <v>43039</v>
      </c>
      <c r="AJ177" s="88" t="s">
        <v>859</v>
      </c>
      <c r="AK177" s="111">
        <f t="shared" si="117"/>
        <v>344</v>
      </c>
      <c r="AL177" s="111"/>
      <c r="AM177" s="108">
        <f t="shared" si="118"/>
        <v>0</v>
      </c>
    </row>
    <row r="178" spans="1:39" s="116" customFormat="1" ht="63.75">
      <c r="A178" s="254" t="s">
        <v>150</v>
      </c>
      <c r="B178" s="115">
        <f t="shared" si="120"/>
        <v>4533492</v>
      </c>
      <c r="C178" s="88" t="s">
        <v>670</v>
      </c>
      <c r="D178" s="88" t="s">
        <v>120</v>
      </c>
      <c r="E178" s="88" t="s">
        <v>121</v>
      </c>
      <c r="F178" s="88" t="s">
        <v>734</v>
      </c>
      <c r="G178" s="88" t="s">
        <v>122</v>
      </c>
      <c r="H178" s="146">
        <v>407</v>
      </c>
      <c r="I178" s="191" t="s">
        <v>1063</v>
      </c>
      <c r="J178" s="458">
        <f>4165911+918951-551370</f>
        <v>4533492</v>
      </c>
      <c r="K178" s="146" t="s">
        <v>1182</v>
      </c>
      <c r="L178" s="108">
        <f>3675804+918951-61263</f>
        <v>4533492</v>
      </c>
      <c r="M178" s="142">
        <f>346</f>
        <v>346</v>
      </c>
      <c r="N178" s="144"/>
      <c r="O178" s="99"/>
      <c r="P178" s="99"/>
      <c r="Q178" s="99"/>
      <c r="R178" s="99"/>
      <c r="S178" s="99"/>
      <c r="T178" s="99"/>
      <c r="U178" s="99"/>
      <c r="V178" s="99"/>
      <c r="W178" s="99"/>
      <c r="X178" s="99"/>
      <c r="Y178" s="157">
        <f>1776639+1837902</f>
        <v>3614541</v>
      </c>
      <c r="Z178" s="162">
        <f t="shared" si="115"/>
        <v>3614541</v>
      </c>
      <c r="AA178" s="520">
        <f t="shared" si="116"/>
        <v>918951</v>
      </c>
      <c r="AC178" s="86" t="s">
        <v>829</v>
      </c>
      <c r="AD178" s="89" t="str">
        <f t="shared" si="109"/>
        <v>546 - 782</v>
      </c>
      <c r="AE178" s="89">
        <f t="shared" si="108"/>
        <v>4533492</v>
      </c>
      <c r="AF178" s="117">
        <v>42996</v>
      </c>
      <c r="AG178" s="109" t="str">
        <f t="shared" si="110"/>
        <v>900 - 1190</v>
      </c>
      <c r="AH178" s="89">
        <f t="shared" si="111"/>
        <v>4533492</v>
      </c>
      <c r="AI178" s="121">
        <v>43039</v>
      </c>
      <c r="AJ178" s="88" t="s">
        <v>861</v>
      </c>
      <c r="AK178" s="111">
        <f t="shared" si="117"/>
        <v>346</v>
      </c>
      <c r="AL178" s="111"/>
      <c r="AM178" s="108">
        <f t="shared" si="118"/>
        <v>0</v>
      </c>
    </row>
    <row r="179" spans="1:39" s="116" customFormat="1" ht="63.75">
      <c r="A179" s="254" t="s">
        <v>150</v>
      </c>
      <c r="B179" s="115">
        <f t="shared" si="120"/>
        <v>5391180</v>
      </c>
      <c r="C179" s="88" t="s">
        <v>670</v>
      </c>
      <c r="D179" s="88" t="s">
        <v>120</v>
      </c>
      <c r="E179" s="88" t="s">
        <v>121</v>
      </c>
      <c r="F179" s="88" t="s">
        <v>734</v>
      </c>
      <c r="G179" s="88" t="s">
        <v>122</v>
      </c>
      <c r="H179" s="146">
        <v>408</v>
      </c>
      <c r="I179" s="191" t="s">
        <v>1064</v>
      </c>
      <c r="J179" s="458">
        <f>4165911+1776639-551370</f>
        <v>5391180</v>
      </c>
      <c r="K179" s="146" t="s">
        <v>1183</v>
      </c>
      <c r="L179" s="108">
        <f>3675804+1776639-61263</f>
        <v>5391180</v>
      </c>
      <c r="M179" s="142">
        <f>347</f>
        <v>347</v>
      </c>
      <c r="N179" s="144"/>
      <c r="O179" s="99"/>
      <c r="P179" s="99"/>
      <c r="Q179" s="99"/>
      <c r="R179" s="99"/>
      <c r="S179" s="99"/>
      <c r="T179" s="99"/>
      <c r="U179" s="99"/>
      <c r="V179" s="99"/>
      <c r="W179" s="99"/>
      <c r="X179" s="99"/>
      <c r="Y179" s="157">
        <f>1776639+1837902</f>
        <v>3614541</v>
      </c>
      <c r="Z179" s="162">
        <f t="shared" si="115"/>
        <v>3614541</v>
      </c>
      <c r="AA179" s="520">
        <f t="shared" si="116"/>
        <v>1776639</v>
      </c>
      <c r="AC179" s="86" t="s">
        <v>829</v>
      </c>
      <c r="AD179" s="89" t="str">
        <f t="shared" si="109"/>
        <v>547 - 781</v>
      </c>
      <c r="AE179" s="89">
        <f t="shared" si="108"/>
        <v>5391180</v>
      </c>
      <c r="AF179" s="117">
        <v>42996</v>
      </c>
      <c r="AG179" s="109" t="str">
        <f t="shared" si="110"/>
        <v>899 - 1191</v>
      </c>
      <c r="AH179" s="89">
        <f t="shared" si="111"/>
        <v>5391180</v>
      </c>
      <c r="AI179" s="121">
        <v>43039</v>
      </c>
      <c r="AJ179" s="88" t="s">
        <v>860</v>
      </c>
      <c r="AK179" s="111">
        <f t="shared" si="117"/>
        <v>347</v>
      </c>
      <c r="AL179" s="111"/>
      <c r="AM179" s="108">
        <f t="shared" si="118"/>
        <v>0</v>
      </c>
    </row>
    <row r="180" spans="1:39" s="116" customFormat="1" ht="63.75">
      <c r="A180" s="254" t="s">
        <v>150</v>
      </c>
      <c r="B180" s="115">
        <f t="shared" si="120"/>
        <v>5513706</v>
      </c>
      <c r="C180" s="88" t="s">
        <v>670</v>
      </c>
      <c r="D180" s="88" t="s">
        <v>120</v>
      </c>
      <c r="E180" s="88" t="s">
        <v>121</v>
      </c>
      <c r="F180" s="88" t="s">
        <v>734</v>
      </c>
      <c r="G180" s="88" t="s">
        <v>122</v>
      </c>
      <c r="H180" s="146">
        <v>409</v>
      </c>
      <c r="I180" s="191" t="s">
        <v>1068</v>
      </c>
      <c r="J180" s="458">
        <f>4165911+1837902-490107</f>
        <v>5513706</v>
      </c>
      <c r="K180" s="146" t="s">
        <v>1184</v>
      </c>
      <c r="L180" s="108">
        <f>3675804+1837902</f>
        <v>5513706</v>
      </c>
      <c r="M180" s="142">
        <v>345</v>
      </c>
      <c r="N180" s="144"/>
      <c r="O180" s="99"/>
      <c r="P180" s="99"/>
      <c r="Q180" s="99"/>
      <c r="R180" s="99"/>
      <c r="S180" s="99"/>
      <c r="T180" s="99"/>
      <c r="U180" s="99"/>
      <c r="V180" s="99"/>
      <c r="W180" s="99"/>
      <c r="X180" s="99"/>
      <c r="Y180" s="157">
        <f>2082956+1592848+245054</f>
        <v>3920858</v>
      </c>
      <c r="Z180" s="162">
        <f t="shared" si="115"/>
        <v>3920858</v>
      </c>
      <c r="AA180" s="520">
        <f t="shared" si="116"/>
        <v>1592848</v>
      </c>
      <c r="AC180" s="86" t="s">
        <v>829</v>
      </c>
      <c r="AD180" s="89" t="str">
        <f t="shared" si="109"/>
        <v>548 - 777</v>
      </c>
      <c r="AE180" s="89">
        <f t="shared" si="108"/>
        <v>5513706</v>
      </c>
      <c r="AF180" s="117">
        <v>42996</v>
      </c>
      <c r="AG180" s="109" t="str">
        <f t="shared" si="110"/>
        <v>893 - 1150</v>
      </c>
      <c r="AH180" s="89">
        <f t="shared" si="111"/>
        <v>5513706</v>
      </c>
      <c r="AI180" s="121"/>
      <c r="AJ180" s="89"/>
      <c r="AK180" s="111">
        <f t="shared" si="117"/>
        <v>345</v>
      </c>
      <c r="AL180" s="111"/>
      <c r="AM180" s="108">
        <f t="shared" si="118"/>
        <v>0</v>
      </c>
    </row>
    <row r="181" spans="1:39" s="116" customFormat="1" ht="63.75">
      <c r="A181" s="254" t="s">
        <v>150</v>
      </c>
      <c r="B181" s="115">
        <f t="shared" si="120"/>
        <v>4839809</v>
      </c>
      <c r="C181" s="88" t="s">
        <v>670</v>
      </c>
      <c r="D181" s="88" t="s">
        <v>120</v>
      </c>
      <c r="E181" s="88" t="s">
        <v>121</v>
      </c>
      <c r="F181" s="88" t="s">
        <v>734</v>
      </c>
      <c r="G181" s="88" t="s">
        <v>122</v>
      </c>
      <c r="H181" s="146">
        <v>410</v>
      </c>
      <c r="I181" s="191" t="s">
        <v>1066</v>
      </c>
      <c r="J181" s="458">
        <f>4165911+1164005-490107</f>
        <v>4839809</v>
      </c>
      <c r="K181" s="146" t="s">
        <v>1185</v>
      </c>
      <c r="L181" s="108">
        <f>3675804+1164005</f>
        <v>4839809</v>
      </c>
      <c r="M181" s="142">
        <v>343</v>
      </c>
      <c r="N181" s="144"/>
      <c r="O181" s="99"/>
      <c r="P181" s="99"/>
      <c r="Q181" s="99"/>
      <c r="R181" s="99"/>
      <c r="S181" s="99"/>
      <c r="T181" s="99"/>
      <c r="U181" s="99"/>
      <c r="V181" s="99"/>
      <c r="W181" s="99"/>
      <c r="X181" s="99"/>
      <c r="Y181" s="157">
        <f>2082956+1592848+245054</f>
        <v>3920858</v>
      </c>
      <c r="Z181" s="162">
        <f t="shared" si="115"/>
        <v>3920858</v>
      </c>
      <c r="AA181" s="520">
        <f t="shared" si="116"/>
        <v>918951</v>
      </c>
      <c r="AC181" s="86" t="s">
        <v>829</v>
      </c>
      <c r="AD181" s="89" t="str">
        <f t="shared" si="109"/>
        <v>549 - 779</v>
      </c>
      <c r="AE181" s="89">
        <f t="shared" si="108"/>
        <v>4839809</v>
      </c>
      <c r="AF181" s="117">
        <v>42996</v>
      </c>
      <c r="AG181" s="109" t="str">
        <f t="shared" si="110"/>
        <v>894 - 1149</v>
      </c>
      <c r="AH181" s="108">
        <f t="shared" si="111"/>
        <v>4839809</v>
      </c>
      <c r="AI181" s="121"/>
      <c r="AJ181" s="89"/>
      <c r="AK181" s="111">
        <f t="shared" si="117"/>
        <v>343</v>
      </c>
      <c r="AL181" s="111"/>
      <c r="AM181" s="108">
        <f t="shared" si="118"/>
        <v>0</v>
      </c>
    </row>
    <row r="182" spans="1:39" s="116" customFormat="1" ht="63.75">
      <c r="A182" s="254" t="s">
        <v>150</v>
      </c>
      <c r="B182" s="115">
        <f t="shared" si="120"/>
        <v>4472229</v>
      </c>
      <c r="C182" s="88" t="s">
        <v>670</v>
      </c>
      <c r="D182" s="88" t="s">
        <v>120</v>
      </c>
      <c r="E182" s="88" t="s">
        <v>121</v>
      </c>
      <c r="F182" s="88" t="s">
        <v>734</v>
      </c>
      <c r="G182" s="88" t="s">
        <v>122</v>
      </c>
      <c r="H182" s="146">
        <v>411</v>
      </c>
      <c r="I182" s="191" t="s">
        <v>1067</v>
      </c>
      <c r="J182" s="458">
        <f>4165911-551370+857688</f>
        <v>4472229</v>
      </c>
      <c r="K182" s="146" t="s">
        <v>1186</v>
      </c>
      <c r="L182" s="108">
        <f>3675804+857688-61263</f>
        <v>4472229</v>
      </c>
      <c r="M182" s="142">
        <v>349</v>
      </c>
      <c r="N182" s="144"/>
      <c r="O182" s="99"/>
      <c r="P182" s="99"/>
      <c r="Q182" s="99"/>
      <c r="R182" s="99"/>
      <c r="S182" s="99"/>
      <c r="T182" s="99"/>
      <c r="U182" s="99"/>
      <c r="V182" s="99"/>
      <c r="W182" s="99"/>
      <c r="X182" s="99"/>
      <c r="Y182" s="157">
        <f>1776639+1837902</f>
        <v>3614541</v>
      </c>
      <c r="Z182" s="162">
        <f t="shared" si="115"/>
        <v>3614541</v>
      </c>
      <c r="AA182" s="520">
        <f t="shared" si="116"/>
        <v>857688</v>
      </c>
      <c r="AC182" s="86" t="s">
        <v>829</v>
      </c>
      <c r="AD182" s="89" t="str">
        <f t="shared" si="109"/>
        <v>550 - 778</v>
      </c>
      <c r="AE182" s="89">
        <f t="shared" si="108"/>
        <v>4472229</v>
      </c>
      <c r="AF182" s="117">
        <v>42996</v>
      </c>
      <c r="AG182" s="109" t="str">
        <f t="shared" si="110"/>
        <v>902 - 1192</v>
      </c>
      <c r="AH182" s="108">
        <f t="shared" si="111"/>
        <v>4472229</v>
      </c>
      <c r="AI182" s="121">
        <v>43039</v>
      </c>
      <c r="AJ182" s="88" t="s">
        <v>863</v>
      </c>
      <c r="AK182" s="111">
        <f t="shared" si="117"/>
        <v>349</v>
      </c>
      <c r="AL182" s="111"/>
      <c r="AM182" s="108">
        <f t="shared" si="118"/>
        <v>0</v>
      </c>
    </row>
    <row r="183" spans="1:39" s="116" customFormat="1" ht="63.75">
      <c r="A183" s="254" t="s">
        <v>150</v>
      </c>
      <c r="B183" s="115">
        <f t="shared" si="120"/>
        <v>7351608</v>
      </c>
      <c r="C183" s="88" t="s">
        <v>670</v>
      </c>
      <c r="D183" s="88" t="s">
        <v>120</v>
      </c>
      <c r="E183" s="88" t="s">
        <v>121</v>
      </c>
      <c r="F183" s="88" t="s">
        <v>734</v>
      </c>
      <c r="G183" s="88" t="s">
        <v>122</v>
      </c>
      <c r="H183" s="146">
        <v>412</v>
      </c>
      <c r="I183" s="108" t="s">
        <v>1335</v>
      </c>
      <c r="J183" s="115">
        <f>3492014-3492014+7351608</f>
        <v>7351608</v>
      </c>
      <c r="K183" s="108">
        <v>1002</v>
      </c>
      <c r="L183" s="108">
        <f>7351608</f>
        <v>7351608</v>
      </c>
      <c r="M183" s="142">
        <v>376</v>
      </c>
      <c r="N183" s="144"/>
      <c r="O183" s="99"/>
      <c r="P183" s="99"/>
      <c r="Q183" s="99"/>
      <c r="R183" s="99"/>
      <c r="S183" s="99"/>
      <c r="T183" s="99"/>
      <c r="U183" s="99"/>
      <c r="V183" s="99"/>
      <c r="W183" s="99"/>
      <c r="X183" s="99"/>
      <c r="Y183" s="157">
        <f>1592848</f>
        <v>1592848</v>
      </c>
      <c r="Z183" s="162">
        <f t="shared" si="115"/>
        <v>1592848</v>
      </c>
      <c r="AA183" s="520">
        <f t="shared" si="116"/>
        <v>5758760</v>
      </c>
      <c r="AC183" s="430" t="s">
        <v>829</v>
      </c>
      <c r="AD183" s="89" t="str">
        <f t="shared" si="109"/>
        <v>556 - 604</v>
      </c>
      <c r="AE183" s="89">
        <f t="shared" si="108"/>
        <v>7351608</v>
      </c>
      <c r="AF183" s="122" t="s">
        <v>916</v>
      </c>
      <c r="AG183" s="109">
        <f t="shared" si="110"/>
        <v>1002</v>
      </c>
      <c r="AH183" s="108">
        <f t="shared" si="111"/>
        <v>7351608</v>
      </c>
      <c r="AI183" s="121">
        <v>43070</v>
      </c>
      <c r="AJ183" s="480" t="s">
        <v>1020</v>
      </c>
      <c r="AK183" s="111">
        <f t="shared" si="117"/>
        <v>376</v>
      </c>
      <c r="AL183" s="111"/>
      <c r="AM183" s="108">
        <f t="shared" si="118"/>
        <v>0</v>
      </c>
    </row>
    <row r="184" spans="1:39" s="116" customFormat="1" ht="63.75">
      <c r="A184" s="254" t="s">
        <v>150</v>
      </c>
      <c r="B184" s="115">
        <f t="shared" si="120"/>
        <v>7351608</v>
      </c>
      <c r="C184" s="88" t="s">
        <v>670</v>
      </c>
      <c r="D184" s="88" t="s">
        <v>120</v>
      </c>
      <c r="E184" s="88" t="s">
        <v>121</v>
      </c>
      <c r="F184" s="88" t="s">
        <v>734</v>
      </c>
      <c r="G184" s="88" t="s">
        <v>122</v>
      </c>
      <c r="H184" s="146">
        <v>413</v>
      </c>
      <c r="I184" s="108" t="s">
        <v>1336</v>
      </c>
      <c r="J184" s="115">
        <f>3492014-3492014+7351608</f>
        <v>7351608</v>
      </c>
      <c r="K184" s="108">
        <v>1184</v>
      </c>
      <c r="L184" s="108">
        <f>7351608</f>
        <v>7351608</v>
      </c>
      <c r="M184" s="142">
        <v>407</v>
      </c>
      <c r="N184" s="144"/>
      <c r="O184" s="99"/>
      <c r="P184" s="99"/>
      <c r="Q184" s="99"/>
      <c r="R184" s="99"/>
      <c r="S184" s="99"/>
      <c r="T184" s="99"/>
      <c r="U184" s="99"/>
      <c r="V184" s="99"/>
      <c r="W184" s="99"/>
      <c r="X184" s="99"/>
      <c r="Y184" s="143"/>
      <c r="Z184" s="162">
        <f t="shared" si="115"/>
        <v>0</v>
      </c>
      <c r="AA184" s="520">
        <f t="shared" si="116"/>
        <v>7351608</v>
      </c>
      <c r="AC184" s="430" t="s">
        <v>829</v>
      </c>
      <c r="AD184" s="89" t="str">
        <f t="shared" si="109"/>
        <v>557 - 605</v>
      </c>
      <c r="AE184" s="89">
        <f t="shared" si="108"/>
        <v>7351608</v>
      </c>
      <c r="AF184" s="122" t="s">
        <v>916</v>
      </c>
      <c r="AG184" s="109">
        <f t="shared" si="110"/>
        <v>1184</v>
      </c>
      <c r="AH184" s="108">
        <f t="shared" si="111"/>
        <v>7351608</v>
      </c>
      <c r="AI184" s="121">
        <v>43095</v>
      </c>
      <c r="AJ184" s="480" t="s">
        <v>1021</v>
      </c>
      <c r="AK184" s="111">
        <f t="shared" si="117"/>
        <v>407</v>
      </c>
      <c r="AL184" s="111"/>
      <c r="AM184" s="108">
        <f t="shared" si="118"/>
        <v>0</v>
      </c>
    </row>
    <row r="185" spans="1:39" s="116" customFormat="1" ht="63.75">
      <c r="A185" s="254" t="s">
        <v>150</v>
      </c>
      <c r="B185" s="115">
        <f t="shared" ref="B185:B195" si="121">+J185</f>
        <v>4962336</v>
      </c>
      <c r="C185" s="88" t="s">
        <v>670</v>
      </c>
      <c r="D185" s="88" t="s">
        <v>120</v>
      </c>
      <c r="E185" s="88" t="s">
        <v>121</v>
      </c>
      <c r="F185" s="88" t="s">
        <v>734</v>
      </c>
      <c r="G185" s="88" t="s">
        <v>122</v>
      </c>
      <c r="H185" s="146">
        <v>415</v>
      </c>
      <c r="I185" s="108" t="s">
        <v>1065</v>
      </c>
      <c r="J185" s="115">
        <f>3492014+1654112-183790</f>
        <v>4962336</v>
      </c>
      <c r="K185" s="108" t="s">
        <v>1187</v>
      </c>
      <c r="L185" s="108">
        <f>3492014+1654112-183790</f>
        <v>4962336</v>
      </c>
      <c r="M185" s="142">
        <v>352</v>
      </c>
      <c r="N185" s="144"/>
      <c r="O185" s="99"/>
      <c r="P185" s="99"/>
      <c r="Q185" s="99"/>
      <c r="R185" s="99"/>
      <c r="S185" s="99"/>
      <c r="T185" s="99"/>
      <c r="U185" s="99"/>
      <c r="V185" s="99"/>
      <c r="W185" s="99"/>
      <c r="X185" s="99"/>
      <c r="Y185" s="157">
        <f>1470322+1837902</f>
        <v>3308224</v>
      </c>
      <c r="Z185" s="162">
        <f t="shared" si="115"/>
        <v>3308224</v>
      </c>
      <c r="AA185" s="520">
        <f t="shared" si="116"/>
        <v>1654112</v>
      </c>
      <c r="AC185" s="481" t="s">
        <v>829</v>
      </c>
      <c r="AD185" s="89" t="str">
        <f t="shared" si="109"/>
        <v>558 - 780</v>
      </c>
      <c r="AE185" s="89">
        <f t="shared" si="108"/>
        <v>4962336</v>
      </c>
      <c r="AF185" s="117">
        <v>42996</v>
      </c>
      <c r="AG185" s="109" t="str">
        <f t="shared" si="110"/>
        <v>915 - 1193</v>
      </c>
      <c r="AH185" s="108">
        <f t="shared" si="111"/>
        <v>4962336</v>
      </c>
      <c r="AI185" s="121">
        <v>43046</v>
      </c>
      <c r="AJ185" s="89" t="s">
        <v>978</v>
      </c>
      <c r="AK185" s="111">
        <f t="shared" si="117"/>
        <v>352</v>
      </c>
      <c r="AL185" s="111"/>
      <c r="AM185" s="108">
        <f t="shared" si="118"/>
        <v>0</v>
      </c>
    </row>
    <row r="186" spans="1:39" s="116" customFormat="1" ht="63.75">
      <c r="A186" s="254" t="s">
        <v>150</v>
      </c>
      <c r="B186" s="115">
        <f t="shared" si="121"/>
        <v>7351608</v>
      </c>
      <c r="C186" s="88" t="s">
        <v>670</v>
      </c>
      <c r="D186" s="88" t="s">
        <v>120</v>
      </c>
      <c r="E186" s="88" t="s">
        <v>121</v>
      </c>
      <c r="F186" s="88" t="s">
        <v>734</v>
      </c>
      <c r="G186" s="88" t="s">
        <v>122</v>
      </c>
      <c r="H186" s="146">
        <v>414</v>
      </c>
      <c r="I186" s="108" t="s">
        <v>1337</v>
      </c>
      <c r="J186" s="115">
        <f>3492014-3492014+7351608</f>
        <v>7351608</v>
      </c>
      <c r="K186" s="482">
        <v>1007</v>
      </c>
      <c r="L186" s="108">
        <f t="shared" ref="L186:L191" si="122">7351608</f>
        <v>7351608</v>
      </c>
      <c r="M186" s="142">
        <v>369</v>
      </c>
      <c r="N186" s="144"/>
      <c r="O186" s="99"/>
      <c r="P186" s="99"/>
      <c r="Q186" s="99"/>
      <c r="R186" s="99"/>
      <c r="S186" s="99"/>
      <c r="T186" s="99"/>
      <c r="U186" s="99"/>
      <c r="V186" s="99"/>
      <c r="W186" s="99"/>
      <c r="X186" s="99"/>
      <c r="Y186" s="157">
        <f>1592848</f>
        <v>1592848</v>
      </c>
      <c r="Z186" s="162">
        <f t="shared" si="115"/>
        <v>1592848</v>
      </c>
      <c r="AA186" s="520">
        <f t="shared" si="116"/>
        <v>5758760</v>
      </c>
      <c r="AC186" s="430" t="s">
        <v>829</v>
      </c>
      <c r="AD186" s="89" t="str">
        <f t="shared" si="109"/>
        <v>559 - 606</v>
      </c>
      <c r="AE186" s="89">
        <f t="shared" si="108"/>
        <v>7351608</v>
      </c>
      <c r="AF186" s="122" t="s">
        <v>916</v>
      </c>
      <c r="AG186" s="109">
        <f t="shared" si="110"/>
        <v>1007</v>
      </c>
      <c r="AH186" s="108">
        <f t="shared" si="111"/>
        <v>7351608</v>
      </c>
      <c r="AI186" s="121">
        <v>43073</v>
      </c>
      <c r="AJ186" s="89" t="s">
        <v>1022</v>
      </c>
      <c r="AK186" s="111">
        <f t="shared" si="117"/>
        <v>369</v>
      </c>
      <c r="AL186" s="111"/>
      <c r="AM186" s="108">
        <f t="shared" si="118"/>
        <v>0</v>
      </c>
    </row>
    <row r="187" spans="1:39" s="116" customFormat="1" ht="63.75">
      <c r="A187" s="254" t="s">
        <v>150</v>
      </c>
      <c r="B187" s="115">
        <f t="shared" si="121"/>
        <v>7351608</v>
      </c>
      <c r="C187" s="88" t="s">
        <v>670</v>
      </c>
      <c r="D187" s="88" t="s">
        <v>120</v>
      </c>
      <c r="E187" s="88" t="s">
        <v>121</v>
      </c>
      <c r="F187" s="88" t="s">
        <v>734</v>
      </c>
      <c r="G187" s="88" t="s">
        <v>122</v>
      </c>
      <c r="H187" s="146">
        <v>416</v>
      </c>
      <c r="I187" s="108" t="s">
        <v>1338</v>
      </c>
      <c r="J187" s="115">
        <f>3492014-3492014+7351608</f>
        <v>7351608</v>
      </c>
      <c r="K187" s="482">
        <v>1004</v>
      </c>
      <c r="L187" s="108">
        <f t="shared" si="122"/>
        <v>7351608</v>
      </c>
      <c r="M187" s="142">
        <v>381</v>
      </c>
      <c r="N187" s="144"/>
      <c r="O187" s="99"/>
      <c r="P187" s="99"/>
      <c r="Q187" s="99"/>
      <c r="R187" s="99"/>
      <c r="S187" s="99"/>
      <c r="T187" s="99"/>
      <c r="U187" s="99"/>
      <c r="V187" s="99"/>
      <c r="W187" s="99"/>
      <c r="X187" s="99"/>
      <c r="Y187" s="157">
        <f>1592848</f>
        <v>1592848</v>
      </c>
      <c r="Z187" s="162">
        <f t="shared" si="115"/>
        <v>1592848</v>
      </c>
      <c r="AA187" s="520">
        <f t="shared" si="116"/>
        <v>5758760</v>
      </c>
      <c r="AC187" s="430" t="s">
        <v>829</v>
      </c>
      <c r="AD187" s="89" t="str">
        <f t="shared" si="109"/>
        <v>567 - 607</v>
      </c>
      <c r="AE187" s="89">
        <f t="shared" si="108"/>
        <v>7351608</v>
      </c>
      <c r="AF187" s="122" t="s">
        <v>916</v>
      </c>
      <c r="AG187" s="109">
        <f t="shared" si="110"/>
        <v>1004</v>
      </c>
      <c r="AH187" s="108">
        <f t="shared" si="111"/>
        <v>7351608</v>
      </c>
      <c r="AI187" s="121">
        <v>43073</v>
      </c>
      <c r="AJ187" s="89" t="s">
        <v>1023</v>
      </c>
      <c r="AK187" s="111">
        <f t="shared" si="117"/>
        <v>381</v>
      </c>
      <c r="AL187" s="111"/>
      <c r="AM187" s="108">
        <f t="shared" si="118"/>
        <v>0</v>
      </c>
    </row>
    <row r="188" spans="1:39" s="116" customFormat="1" ht="63.75">
      <c r="A188" s="254" t="s">
        <v>150</v>
      </c>
      <c r="B188" s="115">
        <f t="shared" si="121"/>
        <v>7351608</v>
      </c>
      <c r="C188" s="88" t="s">
        <v>670</v>
      </c>
      <c r="D188" s="88" t="s">
        <v>120</v>
      </c>
      <c r="E188" s="88" t="s">
        <v>121</v>
      </c>
      <c r="F188" s="88" t="s">
        <v>734</v>
      </c>
      <c r="G188" s="88" t="s">
        <v>122</v>
      </c>
      <c r="H188" s="146">
        <v>417</v>
      </c>
      <c r="I188" s="108" t="s">
        <v>1339</v>
      </c>
      <c r="J188" s="115">
        <f>3492014-3492014+7351608</f>
        <v>7351608</v>
      </c>
      <c r="K188" s="482">
        <v>1008</v>
      </c>
      <c r="L188" s="108">
        <f t="shared" si="122"/>
        <v>7351608</v>
      </c>
      <c r="M188" s="142">
        <v>375</v>
      </c>
      <c r="N188" s="144"/>
      <c r="O188" s="99"/>
      <c r="P188" s="99"/>
      <c r="Q188" s="99"/>
      <c r="R188" s="99"/>
      <c r="S188" s="99"/>
      <c r="T188" s="99"/>
      <c r="U188" s="99"/>
      <c r="V188" s="99"/>
      <c r="W188" s="99"/>
      <c r="X188" s="99"/>
      <c r="Y188" s="157">
        <f>1592848</f>
        <v>1592848</v>
      </c>
      <c r="Z188" s="162">
        <f t="shared" si="115"/>
        <v>1592848</v>
      </c>
      <c r="AA188" s="520">
        <f t="shared" si="116"/>
        <v>5758760</v>
      </c>
      <c r="AC188" s="430" t="s">
        <v>829</v>
      </c>
      <c r="AD188" s="89" t="str">
        <f t="shared" si="109"/>
        <v>568 - 608</v>
      </c>
      <c r="AE188" s="89">
        <f t="shared" si="108"/>
        <v>7351608</v>
      </c>
      <c r="AF188" s="122" t="s">
        <v>916</v>
      </c>
      <c r="AG188" s="109">
        <f t="shared" si="110"/>
        <v>1008</v>
      </c>
      <c r="AH188" s="108">
        <f t="shared" si="111"/>
        <v>7351608</v>
      </c>
      <c r="AI188" s="121">
        <v>43073</v>
      </c>
      <c r="AJ188" s="89" t="s">
        <v>1024</v>
      </c>
      <c r="AK188" s="111">
        <f t="shared" si="117"/>
        <v>375</v>
      </c>
      <c r="AL188" s="111"/>
      <c r="AM188" s="108">
        <f t="shared" si="118"/>
        <v>0</v>
      </c>
    </row>
    <row r="189" spans="1:39" s="116" customFormat="1" ht="63.75">
      <c r="A189" s="254" t="s">
        <v>150</v>
      </c>
      <c r="B189" s="115">
        <f t="shared" si="121"/>
        <v>7351608</v>
      </c>
      <c r="C189" s="88" t="s">
        <v>670</v>
      </c>
      <c r="D189" s="88" t="s">
        <v>120</v>
      </c>
      <c r="E189" s="88" t="s">
        <v>121</v>
      </c>
      <c r="F189" s="88" t="s">
        <v>734</v>
      </c>
      <c r="G189" s="88" t="s">
        <v>122</v>
      </c>
      <c r="H189" s="146">
        <v>418</v>
      </c>
      <c r="I189" s="108" t="s">
        <v>1340</v>
      </c>
      <c r="J189" s="115">
        <f>3492014-3492014+7351608</f>
        <v>7351608</v>
      </c>
      <c r="K189" s="482">
        <v>1022</v>
      </c>
      <c r="L189" s="108">
        <f t="shared" si="122"/>
        <v>7351608</v>
      </c>
      <c r="M189" s="142">
        <v>373</v>
      </c>
      <c r="N189" s="144"/>
      <c r="O189" s="99"/>
      <c r="P189" s="99"/>
      <c r="Q189" s="99"/>
      <c r="R189" s="99"/>
      <c r="S189" s="99"/>
      <c r="T189" s="99"/>
      <c r="U189" s="99"/>
      <c r="V189" s="99"/>
      <c r="W189" s="99"/>
      <c r="X189" s="99"/>
      <c r="Y189" s="157">
        <f>1470322</f>
        <v>1470322</v>
      </c>
      <c r="Z189" s="162">
        <f t="shared" si="115"/>
        <v>1470322</v>
      </c>
      <c r="AA189" s="520">
        <f t="shared" si="116"/>
        <v>5881286</v>
      </c>
      <c r="AC189" s="430" t="s">
        <v>829</v>
      </c>
      <c r="AD189" s="89" t="str">
        <f t="shared" si="109"/>
        <v>582 - 609</v>
      </c>
      <c r="AE189" s="89">
        <f t="shared" si="108"/>
        <v>7351608</v>
      </c>
      <c r="AF189" s="122" t="s">
        <v>916</v>
      </c>
      <c r="AG189" s="109">
        <f t="shared" si="110"/>
        <v>1022</v>
      </c>
      <c r="AH189" s="108">
        <f t="shared" si="111"/>
        <v>7351608</v>
      </c>
      <c r="AI189" s="121">
        <v>43076</v>
      </c>
      <c r="AJ189" s="89" t="s">
        <v>1025</v>
      </c>
      <c r="AK189" s="111">
        <f t="shared" si="117"/>
        <v>373</v>
      </c>
      <c r="AL189" s="111"/>
      <c r="AM189" s="108">
        <f t="shared" si="118"/>
        <v>0</v>
      </c>
    </row>
    <row r="190" spans="1:39" s="116" customFormat="1" ht="63.75">
      <c r="A190" s="254" t="s">
        <v>150</v>
      </c>
      <c r="B190" s="115">
        <f t="shared" si="121"/>
        <v>7351608</v>
      </c>
      <c r="C190" s="88" t="s">
        <v>670</v>
      </c>
      <c r="D190" s="88" t="s">
        <v>120</v>
      </c>
      <c r="E190" s="88" t="s">
        <v>121</v>
      </c>
      <c r="F190" s="88" t="s">
        <v>734</v>
      </c>
      <c r="G190" s="88" t="s">
        <v>122</v>
      </c>
      <c r="H190" s="146">
        <v>419</v>
      </c>
      <c r="I190" s="108">
        <v>610</v>
      </c>
      <c r="J190" s="115">
        <f>7351608</f>
        <v>7351608</v>
      </c>
      <c r="K190" s="482">
        <v>1006</v>
      </c>
      <c r="L190" s="108">
        <f t="shared" si="122"/>
        <v>7351608</v>
      </c>
      <c r="M190" s="142">
        <v>372</v>
      </c>
      <c r="N190" s="144"/>
      <c r="O190" s="99"/>
      <c r="P190" s="99"/>
      <c r="Q190" s="99"/>
      <c r="R190" s="99"/>
      <c r="S190" s="99"/>
      <c r="T190" s="99"/>
      <c r="U190" s="99"/>
      <c r="V190" s="99"/>
      <c r="W190" s="99"/>
      <c r="X190" s="99"/>
      <c r="Y190" s="157">
        <f>1592848</f>
        <v>1592848</v>
      </c>
      <c r="Z190" s="162">
        <f t="shared" si="115"/>
        <v>1592848</v>
      </c>
      <c r="AA190" s="520">
        <f t="shared" si="116"/>
        <v>5758760</v>
      </c>
      <c r="AC190" s="430" t="s">
        <v>829</v>
      </c>
      <c r="AD190" s="89">
        <f t="shared" si="109"/>
        <v>610</v>
      </c>
      <c r="AE190" s="89">
        <f t="shared" si="108"/>
        <v>7351608</v>
      </c>
      <c r="AF190" s="122" t="s">
        <v>916</v>
      </c>
      <c r="AG190" s="109">
        <f t="shared" si="110"/>
        <v>1006</v>
      </c>
      <c r="AH190" s="108">
        <f t="shared" si="111"/>
        <v>7351608</v>
      </c>
      <c r="AI190" s="121">
        <v>43073</v>
      </c>
      <c r="AJ190" s="89" t="s">
        <v>1026</v>
      </c>
      <c r="AK190" s="111">
        <f t="shared" si="117"/>
        <v>372</v>
      </c>
      <c r="AL190" s="111"/>
      <c r="AM190" s="108">
        <f t="shared" si="118"/>
        <v>0</v>
      </c>
    </row>
    <row r="191" spans="1:39" s="116" customFormat="1" ht="63.75">
      <c r="A191" s="254" t="s">
        <v>150</v>
      </c>
      <c r="B191" s="115">
        <f t="shared" si="121"/>
        <v>7351608</v>
      </c>
      <c r="C191" s="88" t="s">
        <v>670</v>
      </c>
      <c r="D191" s="88" t="s">
        <v>120</v>
      </c>
      <c r="E191" s="88" t="s">
        <v>121</v>
      </c>
      <c r="F191" s="88" t="s">
        <v>734</v>
      </c>
      <c r="G191" s="88" t="s">
        <v>122</v>
      </c>
      <c r="H191" s="146">
        <v>420</v>
      </c>
      <c r="I191" s="108">
        <v>611</v>
      </c>
      <c r="J191" s="115">
        <f>7351608</f>
        <v>7351608</v>
      </c>
      <c r="K191" s="482">
        <v>1009</v>
      </c>
      <c r="L191" s="108">
        <f t="shared" si="122"/>
        <v>7351608</v>
      </c>
      <c r="M191" s="142">
        <v>374</v>
      </c>
      <c r="N191" s="144"/>
      <c r="O191" s="99"/>
      <c r="P191" s="99"/>
      <c r="Q191" s="99"/>
      <c r="R191" s="99"/>
      <c r="S191" s="99"/>
      <c r="T191" s="99"/>
      <c r="U191" s="99"/>
      <c r="V191" s="99"/>
      <c r="W191" s="99"/>
      <c r="X191" s="99"/>
      <c r="Y191" s="157">
        <f>1592848</f>
        <v>1592848</v>
      </c>
      <c r="Z191" s="162">
        <f t="shared" si="115"/>
        <v>1592848</v>
      </c>
      <c r="AA191" s="520">
        <f t="shared" si="116"/>
        <v>5758760</v>
      </c>
      <c r="AC191" s="430" t="s">
        <v>829</v>
      </c>
      <c r="AD191" s="89">
        <f t="shared" si="109"/>
        <v>611</v>
      </c>
      <c r="AE191" s="89">
        <f t="shared" si="108"/>
        <v>7351608</v>
      </c>
      <c r="AF191" s="122" t="s">
        <v>916</v>
      </c>
      <c r="AG191" s="109">
        <f t="shared" si="110"/>
        <v>1009</v>
      </c>
      <c r="AH191" s="108">
        <f t="shared" si="111"/>
        <v>7351608</v>
      </c>
      <c r="AI191" s="121">
        <v>43073</v>
      </c>
      <c r="AJ191" s="89" t="s">
        <v>1027</v>
      </c>
      <c r="AK191" s="111">
        <f t="shared" si="117"/>
        <v>374</v>
      </c>
      <c r="AL191" s="111"/>
      <c r="AM191" s="108">
        <f t="shared" si="118"/>
        <v>0</v>
      </c>
    </row>
    <row r="192" spans="1:39" s="116" customFormat="1" ht="63.75">
      <c r="A192" s="254" t="s">
        <v>150</v>
      </c>
      <c r="B192" s="115">
        <f t="shared" si="121"/>
        <v>17924760</v>
      </c>
      <c r="C192" s="88" t="s">
        <v>670</v>
      </c>
      <c r="D192" s="88" t="s">
        <v>120</v>
      </c>
      <c r="E192" s="88" t="s">
        <v>121</v>
      </c>
      <c r="F192" s="88" t="s">
        <v>734</v>
      </c>
      <c r="G192" s="88" t="s">
        <v>122</v>
      </c>
      <c r="H192" s="146">
        <v>517</v>
      </c>
      <c r="I192" s="108" t="s">
        <v>1341</v>
      </c>
      <c r="J192" s="115">
        <f>8744815-8744815+7468650-7468650+17924760</f>
        <v>17924760</v>
      </c>
      <c r="K192" s="108">
        <v>1111</v>
      </c>
      <c r="L192" s="108">
        <f>17924760</f>
        <v>17924760</v>
      </c>
      <c r="M192" s="142">
        <v>403</v>
      </c>
      <c r="N192" s="144"/>
      <c r="O192" s="99"/>
      <c r="P192" s="99"/>
      <c r="Q192" s="99"/>
      <c r="R192" s="99"/>
      <c r="S192" s="99"/>
      <c r="T192" s="99"/>
      <c r="U192" s="99"/>
      <c r="V192" s="99"/>
      <c r="W192" s="99"/>
      <c r="X192" s="99"/>
      <c r="Y192" s="143"/>
      <c r="Z192" s="162">
        <f t="shared" si="115"/>
        <v>0</v>
      </c>
      <c r="AA192" s="520">
        <f t="shared" si="116"/>
        <v>17924760</v>
      </c>
      <c r="AC192" s="483" t="s">
        <v>829</v>
      </c>
      <c r="AD192" s="89" t="str">
        <f t="shared" si="109"/>
        <v>573 - 584 - 617</v>
      </c>
      <c r="AE192" s="89">
        <f t="shared" si="108"/>
        <v>17924760</v>
      </c>
      <c r="AF192" s="122" t="s">
        <v>915</v>
      </c>
      <c r="AG192" s="109">
        <f t="shared" si="110"/>
        <v>1111</v>
      </c>
      <c r="AH192" s="108">
        <f t="shared" si="111"/>
        <v>17924760</v>
      </c>
      <c r="AI192" s="121">
        <v>43087</v>
      </c>
      <c r="AJ192" s="190" t="s">
        <v>1028</v>
      </c>
      <c r="AK192" s="111">
        <f t="shared" si="117"/>
        <v>403</v>
      </c>
      <c r="AL192" s="111"/>
      <c r="AM192" s="108">
        <f t="shared" si="118"/>
        <v>0</v>
      </c>
    </row>
    <row r="193" spans="1:39" s="116" customFormat="1" ht="63.75">
      <c r="A193" s="254" t="s">
        <v>150</v>
      </c>
      <c r="B193" s="115">
        <f t="shared" si="121"/>
        <v>443000</v>
      </c>
      <c r="C193" s="88" t="s">
        <v>670</v>
      </c>
      <c r="D193" s="88" t="s">
        <v>120</v>
      </c>
      <c r="E193" s="88" t="s">
        <v>121</v>
      </c>
      <c r="F193" s="88" t="s">
        <v>734</v>
      </c>
      <c r="G193" s="88" t="s">
        <v>122</v>
      </c>
      <c r="H193" s="146"/>
      <c r="I193" s="108">
        <v>592</v>
      </c>
      <c r="J193" s="115">
        <f>443000</f>
        <v>443000</v>
      </c>
      <c r="K193" s="108">
        <v>940</v>
      </c>
      <c r="L193" s="108">
        <v>443000</v>
      </c>
      <c r="M193" s="142">
        <v>5610</v>
      </c>
      <c r="N193" s="144"/>
      <c r="O193" s="99"/>
      <c r="P193" s="99"/>
      <c r="Q193" s="99"/>
      <c r="R193" s="99"/>
      <c r="S193" s="99"/>
      <c r="T193" s="99"/>
      <c r="U193" s="99"/>
      <c r="V193" s="99"/>
      <c r="W193" s="99"/>
      <c r="X193" s="108">
        <f>443000</f>
        <v>443000</v>
      </c>
      <c r="Y193" s="143"/>
      <c r="Z193" s="162">
        <f t="shared" si="115"/>
        <v>443000</v>
      </c>
      <c r="AA193" s="520">
        <f t="shared" si="116"/>
        <v>0</v>
      </c>
      <c r="AC193" s="483" t="s">
        <v>829</v>
      </c>
      <c r="AD193" s="89">
        <f t="shared" si="109"/>
        <v>592</v>
      </c>
      <c r="AE193" s="89">
        <f t="shared" si="108"/>
        <v>443000</v>
      </c>
      <c r="AF193" s="117">
        <v>42996</v>
      </c>
      <c r="AG193" s="109">
        <f t="shared" si="110"/>
        <v>940</v>
      </c>
      <c r="AH193" s="108">
        <f t="shared" si="111"/>
        <v>443000</v>
      </c>
      <c r="AI193" s="121">
        <v>43053</v>
      </c>
      <c r="AJ193" s="89" t="s">
        <v>594</v>
      </c>
      <c r="AK193" s="111">
        <f t="shared" si="117"/>
        <v>5610</v>
      </c>
      <c r="AL193" s="111"/>
      <c r="AM193" s="108">
        <f t="shared" si="118"/>
        <v>0</v>
      </c>
    </row>
    <row r="194" spans="1:39" s="116" customFormat="1" ht="63.75">
      <c r="A194" s="254" t="s">
        <v>150</v>
      </c>
      <c r="B194" s="115">
        <f t="shared" si="121"/>
        <v>662600</v>
      </c>
      <c r="C194" s="88" t="s">
        <v>670</v>
      </c>
      <c r="D194" s="88" t="s">
        <v>120</v>
      </c>
      <c r="E194" s="88" t="s">
        <v>121</v>
      </c>
      <c r="F194" s="88" t="s">
        <v>734</v>
      </c>
      <c r="G194" s="88" t="s">
        <v>122</v>
      </c>
      <c r="H194" s="146"/>
      <c r="I194" s="108">
        <v>593</v>
      </c>
      <c r="J194" s="115">
        <f>662600</f>
        <v>662600</v>
      </c>
      <c r="K194" s="108">
        <v>941</v>
      </c>
      <c r="L194" s="108">
        <v>662600</v>
      </c>
      <c r="M194" s="145">
        <v>5651</v>
      </c>
      <c r="N194" s="144"/>
      <c r="O194" s="99"/>
      <c r="P194" s="99"/>
      <c r="Q194" s="99"/>
      <c r="R194" s="99"/>
      <c r="S194" s="99"/>
      <c r="T194" s="99"/>
      <c r="U194" s="99"/>
      <c r="V194" s="99"/>
      <c r="W194" s="99"/>
      <c r="X194" s="108">
        <f>662600</f>
        <v>662600</v>
      </c>
      <c r="Y194" s="143"/>
      <c r="Z194" s="162">
        <f t="shared" si="115"/>
        <v>662600</v>
      </c>
      <c r="AA194" s="520">
        <f t="shared" si="116"/>
        <v>0</v>
      </c>
      <c r="AC194" s="86" t="s">
        <v>943</v>
      </c>
      <c r="AD194" s="89">
        <f t="shared" si="109"/>
        <v>593</v>
      </c>
      <c r="AE194" s="89">
        <f t="shared" si="108"/>
        <v>662600</v>
      </c>
      <c r="AF194" s="117">
        <v>43053</v>
      </c>
      <c r="AG194" s="109">
        <f t="shared" si="110"/>
        <v>941</v>
      </c>
      <c r="AH194" s="108">
        <f t="shared" si="111"/>
        <v>662600</v>
      </c>
      <c r="AI194" s="121">
        <v>43053</v>
      </c>
      <c r="AJ194" s="88" t="s">
        <v>594</v>
      </c>
      <c r="AK194" s="111">
        <f t="shared" si="117"/>
        <v>5651</v>
      </c>
      <c r="AL194" s="111"/>
      <c r="AM194" s="108">
        <f t="shared" si="118"/>
        <v>0</v>
      </c>
    </row>
    <row r="195" spans="1:39" s="116" customFormat="1" ht="63.75">
      <c r="A195" s="254" t="s">
        <v>150</v>
      </c>
      <c r="B195" s="115">
        <f t="shared" si="121"/>
        <v>7351608</v>
      </c>
      <c r="C195" s="88" t="s">
        <v>670</v>
      </c>
      <c r="D195" s="88" t="s">
        <v>120</v>
      </c>
      <c r="E195" s="88" t="s">
        <v>121</v>
      </c>
      <c r="F195" s="88" t="s">
        <v>734</v>
      </c>
      <c r="G195" s="88" t="s">
        <v>122</v>
      </c>
      <c r="H195" s="146">
        <v>451</v>
      </c>
      <c r="I195" s="108">
        <v>612</v>
      </c>
      <c r="J195" s="115">
        <f>7351608</f>
        <v>7351608</v>
      </c>
      <c r="K195" s="108">
        <v>1005</v>
      </c>
      <c r="L195" s="108">
        <f>7351608</f>
        <v>7351608</v>
      </c>
      <c r="M195" s="142">
        <v>382</v>
      </c>
      <c r="N195" s="144"/>
      <c r="O195" s="99"/>
      <c r="P195" s="99"/>
      <c r="Q195" s="99"/>
      <c r="R195" s="99"/>
      <c r="S195" s="99"/>
      <c r="T195" s="99"/>
      <c r="U195" s="99"/>
      <c r="V195" s="99"/>
      <c r="W195" s="99"/>
      <c r="X195" s="99"/>
      <c r="Y195" s="157">
        <f>1592848</f>
        <v>1592848</v>
      </c>
      <c r="Z195" s="162">
        <f t="shared" si="115"/>
        <v>1592848</v>
      </c>
      <c r="AA195" s="520">
        <f t="shared" si="116"/>
        <v>5758760</v>
      </c>
      <c r="AC195" s="430" t="s">
        <v>829</v>
      </c>
      <c r="AD195" s="89">
        <f t="shared" si="109"/>
        <v>612</v>
      </c>
      <c r="AE195" s="89">
        <f t="shared" si="108"/>
        <v>7351608</v>
      </c>
      <c r="AF195" s="122" t="s">
        <v>916</v>
      </c>
      <c r="AG195" s="109">
        <f t="shared" si="110"/>
        <v>1005</v>
      </c>
      <c r="AH195" s="108">
        <f t="shared" si="111"/>
        <v>7351608</v>
      </c>
      <c r="AI195" s="121">
        <v>43073</v>
      </c>
      <c r="AJ195" s="89" t="s">
        <v>1029</v>
      </c>
      <c r="AK195" s="111">
        <f t="shared" si="117"/>
        <v>382</v>
      </c>
      <c r="AL195" s="111"/>
      <c r="AM195" s="108">
        <f t="shared" si="118"/>
        <v>0</v>
      </c>
    </row>
    <row r="196" spans="1:39" s="116" customFormat="1" ht="63.75">
      <c r="A196" s="254" t="s">
        <v>150</v>
      </c>
      <c r="B196" s="115">
        <f t="shared" si="120"/>
        <v>6080132</v>
      </c>
      <c r="C196" s="88" t="s">
        <v>670</v>
      </c>
      <c r="D196" s="88" t="s">
        <v>120</v>
      </c>
      <c r="E196" s="88" t="s">
        <v>121</v>
      </c>
      <c r="F196" s="88" t="s">
        <v>734</v>
      </c>
      <c r="G196" s="88" t="s">
        <v>122</v>
      </c>
      <c r="H196" s="146">
        <v>422</v>
      </c>
      <c r="I196" s="108">
        <v>613</v>
      </c>
      <c r="J196" s="115">
        <f>6080132</f>
        <v>6080132</v>
      </c>
      <c r="K196" s="108">
        <v>1011</v>
      </c>
      <c r="L196" s="108">
        <f>6080132</f>
        <v>6080132</v>
      </c>
      <c r="M196" s="142">
        <v>385</v>
      </c>
      <c r="N196" s="144"/>
      <c r="O196" s="99"/>
      <c r="P196" s="99"/>
      <c r="Q196" s="99"/>
      <c r="R196" s="99"/>
      <c r="S196" s="99"/>
      <c r="T196" s="99"/>
      <c r="U196" s="99"/>
      <c r="V196" s="99"/>
      <c r="W196" s="99"/>
      <c r="X196" s="99"/>
      <c r="Y196" s="157">
        <f>1317362</f>
        <v>1317362</v>
      </c>
      <c r="Z196" s="162">
        <f t="shared" si="115"/>
        <v>1317362</v>
      </c>
      <c r="AA196" s="520">
        <f t="shared" si="116"/>
        <v>4762770</v>
      </c>
      <c r="AC196" s="129" t="s">
        <v>829</v>
      </c>
      <c r="AD196" s="89">
        <f t="shared" si="109"/>
        <v>613</v>
      </c>
      <c r="AE196" s="89">
        <f t="shared" si="108"/>
        <v>6080132</v>
      </c>
      <c r="AF196" s="122" t="s">
        <v>916</v>
      </c>
      <c r="AG196" s="109">
        <f t="shared" si="110"/>
        <v>1011</v>
      </c>
      <c r="AH196" s="108">
        <f t="shared" si="111"/>
        <v>6080132</v>
      </c>
      <c r="AI196" s="121">
        <v>43070</v>
      </c>
      <c r="AJ196" s="89" t="s">
        <v>1030</v>
      </c>
      <c r="AK196" s="111">
        <f t="shared" si="117"/>
        <v>385</v>
      </c>
      <c r="AL196" s="111"/>
      <c r="AM196" s="108">
        <f t="shared" si="118"/>
        <v>0</v>
      </c>
    </row>
    <row r="197" spans="1:39" s="116" customFormat="1" ht="63.75">
      <c r="A197" s="254" t="s">
        <v>150</v>
      </c>
      <c r="B197" s="115">
        <f t="shared" ref="B197:B204" si="123">+J197</f>
        <v>6080132</v>
      </c>
      <c r="C197" s="88" t="s">
        <v>670</v>
      </c>
      <c r="D197" s="88" t="s">
        <v>120</v>
      </c>
      <c r="E197" s="88" t="s">
        <v>121</v>
      </c>
      <c r="F197" s="88" t="s">
        <v>734</v>
      </c>
      <c r="G197" s="88" t="s">
        <v>122</v>
      </c>
      <c r="H197" s="146">
        <v>423</v>
      </c>
      <c r="I197" s="108">
        <v>614</v>
      </c>
      <c r="J197" s="115">
        <f>6080132</f>
        <v>6080132</v>
      </c>
      <c r="K197" s="108">
        <v>1185</v>
      </c>
      <c r="L197" s="108">
        <f>6080132</f>
        <v>6080132</v>
      </c>
      <c r="M197" s="142">
        <v>408</v>
      </c>
      <c r="N197" s="144"/>
      <c r="O197" s="99"/>
      <c r="P197" s="99"/>
      <c r="Q197" s="99"/>
      <c r="R197" s="99"/>
      <c r="S197" s="99"/>
      <c r="T197" s="99"/>
      <c r="U197" s="99"/>
      <c r="V197" s="99"/>
      <c r="W197" s="99"/>
      <c r="X197" s="99"/>
      <c r="Y197" s="143"/>
      <c r="Z197" s="162">
        <f t="shared" si="115"/>
        <v>0</v>
      </c>
      <c r="AA197" s="520">
        <f t="shared" si="116"/>
        <v>6080132</v>
      </c>
      <c r="AC197" s="129" t="s">
        <v>829</v>
      </c>
      <c r="AD197" s="89">
        <f t="shared" si="109"/>
        <v>614</v>
      </c>
      <c r="AE197" s="89">
        <f t="shared" si="108"/>
        <v>6080132</v>
      </c>
      <c r="AF197" s="122" t="s">
        <v>916</v>
      </c>
      <c r="AG197" s="109">
        <f t="shared" si="110"/>
        <v>1185</v>
      </c>
      <c r="AH197" s="108">
        <f t="shared" si="111"/>
        <v>6080132</v>
      </c>
      <c r="AI197" s="121">
        <v>43095</v>
      </c>
      <c r="AJ197" s="89" t="s">
        <v>1031</v>
      </c>
      <c r="AK197" s="111">
        <f t="shared" ref="AK197:AK204" si="124">M197</f>
        <v>408</v>
      </c>
      <c r="AL197" s="111"/>
      <c r="AM197" s="108">
        <f t="shared" ref="AM197:AM204" si="125">AE197-AH197</f>
        <v>0</v>
      </c>
    </row>
    <row r="198" spans="1:39" s="116" customFormat="1" ht="63.75">
      <c r="A198" s="254" t="s">
        <v>150</v>
      </c>
      <c r="B198" s="115">
        <f t="shared" si="123"/>
        <v>6080132</v>
      </c>
      <c r="C198" s="88" t="s">
        <v>670</v>
      </c>
      <c r="D198" s="88" t="s">
        <v>120</v>
      </c>
      <c r="E198" s="88" t="s">
        <v>121</v>
      </c>
      <c r="F198" s="88" t="s">
        <v>734</v>
      </c>
      <c r="G198" s="88" t="s">
        <v>122</v>
      </c>
      <c r="H198" s="146">
        <v>424</v>
      </c>
      <c r="I198" s="108">
        <v>615</v>
      </c>
      <c r="J198" s="115">
        <f>6080132</f>
        <v>6080132</v>
      </c>
      <c r="K198" s="108">
        <v>1000</v>
      </c>
      <c r="L198" s="108">
        <f>6080132</f>
        <v>6080132</v>
      </c>
      <c r="M198" s="142">
        <v>384</v>
      </c>
      <c r="N198" s="144"/>
      <c r="O198" s="99"/>
      <c r="P198" s="99"/>
      <c r="Q198" s="99"/>
      <c r="R198" s="99"/>
      <c r="S198" s="99"/>
      <c r="T198" s="99"/>
      <c r="U198" s="99"/>
      <c r="V198" s="99"/>
      <c r="W198" s="99"/>
      <c r="X198" s="99"/>
      <c r="Y198" s="157">
        <f>1317362</f>
        <v>1317362</v>
      </c>
      <c r="Z198" s="162">
        <f t="shared" si="115"/>
        <v>1317362</v>
      </c>
      <c r="AA198" s="520">
        <f t="shared" si="116"/>
        <v>4762770</v>
      </c>
      <c r="AC198" s="129" t="s">
        <v>829</v>
      </c>
      <c r="AD198" s="89">
        <f t="shared" si="109"/>
        <v>615</v>
      </c>
      <c r="AE198" s="89">
        <f t="shared" si="108"/>
        <v>6080132</v>
      </c>
      <c r="AF198" s="122" t="s">
        <v>916</v>
      </c>
      <c r="AG198" s="109">
        <f t="shared" si="110"/>
        <v>1000</v>
      </c>
      <c r="AH198" s="108">
        <f t="shared" si="111"/>
        <v>6080132</v>
      </c>
      <c r="AI198" s="121">
        <v>43070</v>
      </c>
      <c r="AJ198" s="89" t="s">
        <v>1032</v>
      </c>
      <c r="AK198" s="111">
        <f t="shared" si="124"/>
        <v>384</v>
      </c>
      <c r="AL198" s="111"/>
      <c r="AM198" s="108">
        <f t="shared" si="125"/>
        <v>0</v>
      </c>
    </row>
    <row r="199" spans="1:39" s="116" customFormat="1" ht="63.75">
      <c r="A199" s="254" t="s">
        <v>150</v>
      </c>
      <c r="B199" s="115">
        <f t="shared" si="123"/>
        <v>7351608</v>
      </c>
      <c r="C199" s="88" t="s">
        <v>670</v>
      </c>
      <c r="D199" s="88" t="s">
        <v>120</v>
      </c>
      <c r="E199" s="88" t="s">
        <v>121</v>
      </c>
      <c r="F199" s="88" t="s">
        <v>734</v>
      </c>
      <c r="G199" s="88" t="s">
        <v>122</v>
      </c>
      <c r="H199" s="146">
        <v>425</v>
      </c>
      <c r="I199" s="108">
        <v>616</v>
      </c>
      <c r="J199" s="115">
        <f>7351608</f>
        <v>7351608</v>
      </c>
      <c r="K199" s="108">
        <v>1001</v>
      </c>
      <c r="L199" s="108">
        <f>7351608</f>
        <v>7351608</v>
      </c>
      <c r="M199" s="142">
        <v>383</v>
      </c>
      <c r="N199" s="144"/>
      <c r="O199" s="99"/>
      <c r="P199" s="99"/>
      <c r="Q199" s="99"/>
      <c r="R199" s="99"/>
      <c r="S199" s="99"/>
      <c r="T199" s="99"/>
      <c r="U199" s="99"/>
      <c r="V199" s="99"/>
      <c r="W199" s="99"/>
      <c r="X199" s="99"/>
      <c r="Y199" s="157">
        <f>1592848</f>
        <v>1592848</v>
      </c>
      <c r="Z199" s="162">
        <f t="shared" si="115"/>
        <v>1592848</v>
      </c>
      <c r="AA199" s="520">
        <f t="shared" si="116"/>
        <v>5758760</v>
      </c>
      <c r="AC199" s="430" t="s">
        <v>829</v>
      </c>
      <c r="AD199" s="89">
        <f t="shared" si="109"/>
        <v>616</v>
      </c>
      <c r="AE199" s="89">
        <f t="shared" si="108"/>
        <v>7351608</v>
      </c>
      <c r="AF199" s="122" t="s">
        <v>916</v>
      </c>
      <c r="AG199" s="109">
        <f t="shared" si="110"/>
        <v>1001</v>
      </c>
      <c r="AH199" s="108">
        <f t="shared" si="111"/>
        <v>7351608</v>
      </c>
      <c r="AI199" s="121">
        <v>43070</v>
      </c>
      <c r="AJ199" s="89" t="s">
        <v>1033</v>
      </c>
      <c r="AK199" s="111">
        <f t="shared" si="124"/>
        <v>383</v>
      </c>
      <c r="AL199" s="111"/>
      <c r="AM199" s="108">
        <f t="shared" si="125"/>
        <v>0</v>
      </c>
    </row>
    <row r="200" spans="1:39" s="116" customFormat="1" ht="63.75">
      <c r="A200" s="254" t="s">
        <v>150</v>
      </c>
      <c r="B200" s="115">
        <f t="shared" si="123"/>
        <v>0</v>
      </c>
      <c r="C200" s="88" t="s">
        <v>670</v>
      </c>
      <c r="D200" s="88" t="s">
        <v>120</v>
      </c>
      <c r="E200" s="88" t="s">
        <v>121</v>
      </c>
      <c r="F200" s="88" t="s">
        <v>734</v>
      </c>
      <c r="G200" s="88" t="s">
        <v>122</v>
      </c>
      <c r="H200" s="146">
        <v>546</v>
      </c>
      <c r="I200" s="108">
        <v>666</v>
      </c>
      <c r="J200" s="115">
        <f>20500000-20500000</f>
        <v>0</v>
      </c>
      <c r="K200" s="108"/>
      <c r="L200" s="108"/>
      <c r="M200" s="142"/>
      <c r="N200" s="144"/>
      <c r="O200" s="99"/>
      <c r="P200" s="99"/>
      <c r="Q200" s="99"/>
      <c r="R200" s="99"/>
      <c r="S200" s="99"/>
      <c r="T200" s="99"/>
      <c r="U200" s="99"/>
      <c r="V200" s="99"/>
      <c r="W200" s="99"/>
      <c r="X200" s="99"/>
      <c r="Y200" s="143"/>
      <c r="Z200" s="162">
        <f t="shared" si="115"/>
        <v>0</v>
      </c>
      <c r="AA200" s="520">
        <f t="shared" si="116"/>
        <v>0</v>
      </c>
      <c r="AC200" s="481" t="s">
        <v>959</v>
      </c>
      <c r="AD200" s="89">
        <f t="shared" si="109"/>
        <v>666</v>
      </c>
      <c r="AE200" s="89">
        <f t="shared" si="108"/>
        <v>0</v>
      </c>
      <c r="AF200" s="117">
        <v>43066</v>
      </c>
      <c r="AG200" s="109">
        <f t="shared" si="110"/>
        <v>0</v>
      </c>
      <c r="AH200" s="108">
        <f t="shared" si="111"/>
        <v>0</v>
      </c>
      <c r="AI200" s="121"/>
      <c r="AJ200" s="89"/>
      <c r="AK200" s="111">
        <f t="shared" si="124"/>
        <v>0</v>
      </c>
      <c r="AL200" s="111"/>
      <c r="AM200" s="108">
        <f t="shared" si="125"/>
        <v>0</v>
      </c>
    </row>
    <row r="201" spans="1:39" s="116" customFormat="1" ht="63.75">
      <c r="A201" s="254" t="s">
        <v>150</v>
      </c>
      <c r="B201" s="115">
        <f t="shared" si="123"/>
        <v>9802688</v>
      </c>
      <c r="C201" s="88" t="s">
        <v>670</v>
      </c>
      <c r="D201" s="88" t="s">
        <v>120</v>
      </c>
      <c r="E201" s="88" t="s">
        <v>121</v>
      </c>
      <c r="F201" s="88" t="s">
        <v>734</v>
      </c>
      <c r="G201" s="88" t="s">
        <v>122</v>
      </c>
      <c r="H201" s="146">
        <v>404</v>
      </c>
      <c r="I201" s="108">
        <v>603</v>
      </c>
      <c r="J201" s="115">
        <f>9802688</f>
        <v>9802688</v>
      </c>
      <c r="K201" s="108">
        <v>1010</v>
      </c>
      <c r="L201" s="108">
        <f>9802688</f>
        <v>9802688</v>
      </c>
      <c r="M201" s="142">
        <v>387</v>
      </c>
      <c r="N201" s="144"/>
      <c r="O201" s="99"/>
      <c r="P201" s="99"/>
      <c r="Q201" s="99"/>
      <c r="R201" s="99"/>
      <c r="S201" s="99"/>
      <c r="T201" s="99"/>
      <c r="U201" s="99"/>
      <c r="V201" s="99"/>
      <c r="W201" s="99"/>
      <c r="X201" s="99"/>
      <c r="Y201" s="157">
        <f>2123916</f>
        <v>2123916</v>
      </c>
      <c r="Z201" s="162">
        <f t="shared" si="115"/>
        <v>2123916</v>
      </c>
      <c r="AA201" s="520">
        <f t="shared" si="116"/>
        <v>7678772</v>
      </c>
      <c r="AC201" s="86" t="s">
        <v>828</v>
      </c>
      <c r="AD201" s="89">
        <f t="shared" si="109"/>
        <v>603</v>
      </c>
      <c r="AE201" s="89">
        <f t="shared" si="108"/>
        <v>9802688</v>
      </c>
      <c r="AF201" s="117"/>
      <c r="AG201" s="109">
        <f t="shared" si="110"/>
        <v>1010</v>
      </c>
      <c r="AH201" s="108">
        <f t="shared" si="111"/>
        <v>9802688</v>
      </c>
      <c r="AI201" s="121">
        <v>43073</v>
      </c>
      <c r="AJ201" s="89" t="s">
        <v>1034</v>
      </c>
      <c r="AK201" s="111">
        <f t="shared" si="124"/>
        <v>387</v>
      </c>
      <c r="AL201" s="111"/>
      <c r="AM201" s="108">
        <f t="shared" si="125"/>
        <v>0</v>
      </c>
    </row>
    <row r="202" spans="1:39" s="116" customFormat="1" ht="63.75">
      <c r="A202" s="254" t="s">
        <v>150</v>
      </c>
      <c r="B202" s="115">
        <f t="shared" si="123"/>
        <v>7351608</v>
      </c>
      <c r="C202" s="88" t="s">
        <v>670</v>
      </c>
      <c r="D202" s="88" t="s">
        <v>120</v>
      </c>
      <c r="E202" s="88" t="s">
        <v>121</v>
      </c>
      <c r="F202" s="88" t="s">
        <v>734</v>
      </c>
      <c r="G202" s="88" t="s">
        <v>122</v>
      </c>
      <c r="H202" s="146">
        <v>426</v>
      </c>
      <c r="I202" s="108">
        <v>822</v>
      </c>
      <c r="J202" s="115">
        <f>7351608</f>
        <v>7351608</v>
      </c>
      <c r="K202" s="108">
        <v>1217</v>
      </c>
      <c r="L202" s="108">
        <f>7351608</f>
        <v>7351608</v>
      </c>
      <c r="M202" s="142">
        <v>418</v>
      </c>
      <c r="N202" s="144"/>
      <c r="O202" s="99"/>
      <c r="P202" s="99"/>
      <c r="Q202" s="99"/>
      <c r="R202" s="99"/>
      <c r="S202" s="99"/>
      <c r="T202" s="99"/>
      <c r="U202" s="99"/>
      <c r="V202" s="99"/>
      <c r="W202" s="99"/>
      <c r="X202" s="99"/>
      <c r="Y202" s="143"/>
      <c r="Z202" s="162">
        <f t="shared" si="115"/>
        <v>0</v>
      </c>
      <c r="AA202" s="520">
        <f t="shared" si="116"/>
        <v>7351608</v>
      </c>
      <c r="AC202" s="86" t="s">
        <v>829</v>
      </c>
      <c r="AD202" s="89">
        <f t="shared" si="109"/>
        <v>822</v>
      </c>
      <c r="AE202" s="89">
        <f t="shared" si="108"/>
        <v>7351608</v>
      </c>
      <c r="AF202" s="117"/>
      <c r="AG202" s="109">
        <f t="shared" si="110"/>
        <v>1217</v>
      </c>
      <c r="AH202" s="108">
        <f t="shared" si="111"/>
        <v>7351608</v>
      </c>
      <c r="AI202" s="121">
        <v>43097</v>
      </c>
      <c r="AJ202" s="89" t="s">
        <v>1036</v>
      </c>
      <c r="AK202" s="111">
        <f t="shared" si="124"/>
        <v>418</v>
      </c>
      <c r="AL202" s="111"/>
      <c r="AM202" s="108">
        <f t="shared" si="125"/>
        <v>0</v>
      </c>
    </row>
    <row r="203" spans="1:39" s="116" customFormat="1" ht="63.75">
      <c r="A203" s="254" t="s">
        <v>150</v>
      </c>
      <c r="B203" s="115">
        <f t="shared" si="123"/>
        <v>0</v>
      </c>
      <c r="C203" s="88" t="s">
        <v>670</v>
      </c>
      <c r="D203" s="88" t="s">
        <v>120</v>
      </c>
      <c r="E203" s="88" t="s">
        <v>121</v>
      </c>
      <c r="F203" s="88" t="s">
        <v>734</v>
      </c>
      <c r="G203" s="88" t="s">
        <v>122</v>
      </c>
      <c r="H203" s="146">
        <v>547</v>
      </c>
      <c r="I203" s="108">
        <v>691</v>
      </c>
      <c r="J203" s="115">
        <f>20500000-20500000</f>
        <v>0</v>
      </c>
      <c r="K203" s="108"/>
      <c r="L203" s="108"/>
      <c r="M203" s="142"/>
      <c r="N203" s="144"/>
      <c r="O203" s="99"/>
      <c r="P203" s="99"/>
      <c r="Q203" s="99"/>
      <c r="R203" s="99"/>
      <c r="S203" s="99"/>
      <c r="T203" s="99"/>
      <c r="U203" s="99"/>
      <c r="V203" s="99"/>
      <c r="W203" s="99"/>
      <c r="X203" s="99"/>
      <c r="Y203" s="143"/>
      <c r="Z203" s="162">
        <f t="shared" si="115"/>
        <v>0</v>
      </c>
      <c r="AA203" s="520">
        <f t="shared" si="116"/>
        <v>0</v>
      </c>
      <c r="AC203" s="86" t="s">
        <v>984</v>
      </c>
      <c r="AD203" s="89">
        <f t="shared" si="109"/>
        <v>691</v>
      </c>
      <c r="AE203" s="89">
        <f t="shared" si="108"/>
        <v>0</v>
      </c>
      <c r="AF203" s="117"/>
      <c r="AG203" s="109">
        <f t="shared" si="110"/>
        <v>0</v>
      </c>
      <c r="AH203" s="108">
        <f t="shared" si="111"/>
        <v>0</v>
      </c>
      <c r="AI203" s="121"/>
      <c r="AJ203" s="89"/>
      <c r="AK203" s="111">
        <f t="shared" si="124"/>
        <v>0</v>
      </c>
      <c r="AL203" s="111"/>
      <c r="AM203" s="108">
        <f t="shared" si="125"/>
        <v>0</v>
      </c>
    </row>
    <row r="204" spans="1:39" s="116" customFormat="1" ht="63.75">
      <c r="A204" s="254" t="s">
        <v>150</v>
      </c>
      <c r="B204" s="115">
        <f t="shared" si="123"/>
        <v>9802688</v>
      </c>
      <c r="C204" s="88" t="s">
        <v>670</v>
      </c>
      <c r="D204" s="88" t="s">
        <v>120</v>
      </c>
      <c r="E204" s="88" t="s">
        <v>121</v>
      </c>
      <c r="F204" s="88" t="s">
        <v>734</v>
      </c>
      <c r="G204" s="88" t="s">
        <v>122</v>
      </c>
      <c r="H204" s="146">
        <v>405</v>
      </c>
      <c r="I204" s="108">
        <v>759</v>
      </c>
      <c r="J204" s="115">
        <f>9802688</f>
        <v>9802688</v>
      </c>
      <c r="K204" s="108">
        <v>1186</v>
      </c>
      <c r="L204" s="108">
        <f>9802688</f>
        <v>9802688</v>
      </c>
      <c r="M204" s="142">
        <v>409</v>
      </c>
      <c r="N204" s="144"/>
      <c r="O204" s="99"/>
      <c r="P204" s="99"/>
      <c r="Q204" s="99"/>
      <c r="R204" s="99"/>
      <c r="S204" s="99"/>
      <c r="T204" s="99"/>
      <c r="U204" s="99"/>
      <c r="V204" s="99"/>
      <c r="W204" s="99"/>
      <c r="X204" s="99"/>
      <c r="Y204" s="143"/>
      <c r="Z204" s="162">
        <f t="shared" si="115"/>
        <v>0</v>
      </c>
      <c r="AA204" s="520">
        <f t="shared" si="116"/>
        <v>9802688</v>
      </c>
      <c r="AC204" s="86" t="s">
        <v>828</v>
      </c>
      <c r="AD204" s="89">
        <f t="shared" si="109"/>
        <v>759</v>
      </c>
      <c r="AE204" s="89">
        <f t="shared" si="108"/>
        <v>9802688</v>
      </c>
      <c r="AF204" s="117"/>
      <c r="AG204" s="109">
        <f t="shared" si="110"/>
        <v>1186</v>
      </c>
      <c r="AH204" s="108">
        <f t="shared" si="111"/>
        <v>9802688</v>
      </c>
      <c r="AI204" s="121">
        <v>43095</v>
      </c>
      <c r="AJ204" s="89" t="s">
        <v>1035</v>
      </c>
      <c r="AK204" s="111">
        <f t="shared" si="124"/>
        <v>409</v>
      </c>
      <c r="AL204" s="111"/>
      <c r="AM204" s="108">
        <f t="shared" si="125"/>
        <v>0</v>
      </c>
    </row>
    <row r="205" spans="1:39" s="116" customFormat="1" ht="63.75">
      <c r="A205" s="254" t="s">
        <v>150</v>
      </c>
      <c r="B205" s="115">
        <f t="shared" si="119"/>
        <v>6080132</v>
      </c>
      <c r="C205" s="88" t="s">
        <v>670</v>
      </c>
      <c r="D205" s="88" t="s">
        <v>120</v>
      </c>
      <c r="E205" s="88" t="s">
        <v>121</v>
      </c>
      <c r="F205" s="88" t="s">
        <v>734</v>
      </c>
      <c r="G205" s="88" t="s">
        <v>122</v>
      </c>
      <c r="H205" s="146">
        <v>427</v>
      </c>
      <c r="I205" s="108">
        <v>797</v>
      </c>
      <c r="J205" s="115">
        <f>6080132</f>
        <v>6080132</v>
      </c>
      <c r="K205" s="108">
        <v>1226</v>
      </c>
      <c r="L205" s="108">
        <f>6080132</f>
        <v>6080132</v>
      </c>
      <c r="M205" s="142">
        <v>420</v>
      </c>
      <c r="N205" s="144"/>
      <c r="O205" s="99"/>
      <c r="P205" s="99"/>
      <c r="Q205" s="99"/>
      <c r="R205" s="99"/>
      <c r="S205" s="99"/>
      <c r="T205" s="99"/>
      <c r="U205" s="99"/>
      <c r="V205" s="99"/>
      <c r="W205" s="99"/>
      <c r="X205" s="99"/>
      <c r="Y205" s="143"/>
      <c r="Z205" s="162">
        <f t="shared" si="115"/>
        <v>0</v>
      </c>
      <c r="AA205" s="520">
        <f t="shared" si="116"/>
        <v>6080132</v>
      </c>
      <c r="AC205" s="86" t="s">
        <v>829</v>
      </c>
      <c r="AD205" s="89">
        <f t="shared" si="109"/>
        <v>797</v>
      </c>
      <c r="AE205" s="89">
        <f t="shared" si="108"/>
        <v>6080132</v>
      </c>
      <c r="AF205" s="117"/>
      <c r="AG205" s="109">
        <f t="shared" si="110"/>
        <v>1226</v>
      </c>
      <c r="AH205" s="108">
        <f t="shared" si="111"/>
        <v>6080132</v>
      </c>
      <c r="AI205" s="121">
        <v>43097</v>
      </c>
      <c r="AJ205" s="89" t="s">
        <v>1037</v>
      </c>
      <c r="AK205" s="111">
        <f t="shared" si="117"/>
        <v>420</v>
      </c>
      <c r="AL205" s="111"/>
      <c r="AM205" s="108">
        <f t="shared" si="118"/>
        <v>0</v>
      </c>
    </row>
    <row r="206" spans="1:39" s="116" customFormat="1" ht="76.5">
      <c r="A206" s="254" t="s">
        <v>150</v>
      </c>
      <c r="B206" s="115">
        <f t="shared" si="119"/>
        <v>1421100</v>
      </c>
      <c r="C206" s="88" t="s">
        <v>670</v>
      </c>
      <c r="D206" s="88" t="s">
        <v>120</v>
      </c>
      <c r="E206" s="88" t="s">
        <v>121</v>
      </c>
      <c r="F206" s="88" t="s">
        <v>734</v>
      </c>
      <c r="G206" s="88" t="s">
        <v>122</v>
      </c>
      <c r="H206" s="146"/>
      <c r="I206" s="108">
        <v>807</v>
      </c>
      <c r="J206" s="115">
        <f>1421100</f>
        <v>1421100</v>
      </c>
      <c r="K206" s="108">
        <v>1125</v>
      </c>
      <c r="L206" s="108">
        <f>1421100</f>
        <v>1421100</v>
      </c>
      <c r="M206" s="142">
        <v>6845</v>
      </c>
      <c r="N206" s="144"/>
      <c r="O206" s="99"/>
      <c r="P206" s="99"/>
      <c r="Q206" s="99"/>
      <c r="R206" s="99"/>
      <c r="S206" s="99"/>
      <c r="T206" s="99"/>
      <c r="U206" s="99"/>
      <c r="V206" s="99"/>
      <c r="W206" s="99"/>
      <c r="X206" s="99"/>
      <c r="Y206" s="157">
        <f>1421100</f>
        <v>1421100</v>
      </c>
      <c r="Z206" s="162">
        <f t="shared" si="115"/>
        <v>1421100</v>
      </c>
      <c r="AA206" s="520">
        <f t="shared" si="116"/>
        <v>0</v>
      </c>
      <c r="AC206" s="86" t="s">
        <v>1038</v>
      </c>
      <c r="AD206" s="89">
        <f t="shared" si="109"/>
        <v>807</v>
      </c>
      <c r="AE206" s="89">
        <f t="shared" si="108"/>
        <v>1421100</v>
      </c>
      <c r="AF206" s="117"/>
      <c r="AG206" s="109">
        <f t="shared" si="110"/>
        <v>1125</v>
      </c>
      <c r="AH206" s="108">
        <f t="shared" si="111"/>
        <v>1421100</v>
      </c>
      <c r="AI206" s="121">
        <v>43089</v>
      </c>
      <c r="AJ206" s="89" t="s">
        <v>594</v>
      </c>
      <c r="AK206" s="111">
        <f t="shared" si="117"/>
        <v>6845</v>
      </c>
      <c r="AL206" s="111"/>
      <c r="AM206" s="108">
        <f t="shared" si="118"/>
        <v>0</v>
      </c>
    </row>
    <row r="207" spans="1:39" s="116" customFormat="1" ht="76.5">
      <c r="A207" s="254" t="s">
        <v>150</v>
      </c>
      <c r="B207" s="115">
        <f t="shared" si="119"/>
        <v>5188669</v>
      </c>
      <c r="C207" s="88" t="s">
        <v>670</v>
      </c>
      <c r="D207" s="88" t="s">
        <v>120</v>
      </c>
      <c r="E207" s="88" t="s">
        <v>121</v>
      </c>
      <c r="F207" s="88" t="s">
        <v>734</v>
      </c>
      <c r="G207" s="88" t="s">
        <v>122</v>
      </c>
      <c r="H207" s="146"/>
      <c r="I207" s="108">
        <v>826</v>
      </c>
      <c r="J207" s="141">
        <f>5188669</f>
        <v>5188669</v>
      </c>
      <c r="K207" s="108">
        <v>1229</v>
      </c>
      <c r="L207" s="108">
        <f>5188669</f>
        <v>5188669</v>
      </c>
      <c r="M207" s="142">
        <v>7310</v>
      </c>
      <c r="N207" s="144"/>
      <c r="O207" s="99"/>
      <c r="P207" s="99"/>
      <c r="Q207" s="99"/>
      <c r="R207" s="99"/>
      <c r="S207" s="99"/>
      <c r="T207" s="99"/>
      <c r="U207" s="99"/>
      <c r="V207" s="99"/>
      <c r="W207" s="99"/>
      <c r="X207" s="99"/>
      <c r="Y207" s="143"/>
      <c r="Z207" s="162">
        <f t="shared" si="115"/>
        <v>0</v>
      </c>
      <c r="AA207" s="520">
        <f t="shared" si="116"/>
        <v>5188669</v>
      </c>
      <c r="AC207" s="86" t="s">
        <v>1039</v>
      </c>
      <c r="AD207" s="89">
        <f t="shared" si="109"/>
        <v>826</v>
      </c>
      <c r="AE207" s="89">
        <f t="shared" si="108"/>
        <v>5188669</v>
      </c>
      <c r="AF207" s="117"/>
      <c r="AG207" s="109">
        <f t="shared" si="110"/>
        <v>1229</v>
      </c>
      <c r="AH207" s="108">
        <f t="shared" si="111"/>
        <v>5188669</v>
      </c>
      <c r="AI207" s="121">
        <v>43097</v>
      </c>
      <c r="AJ207" s="89" t="s">
        <v>594</v>
      </c>
      <c r="AK207" s="111">
        <f t="shared" si="117"/>
        <v>7310</v>
      </c>
      <c r="AL207" s="111"/>
      <c r="AM207" s="108">
        <f t="shared" si="118"/>
        <v>0</v>
      </c>
    </row>
    <row r="208" spans="1:39" s="116" customFormat="1">
      <c r="A208" s="255" t="s">
        <v>132</v>
      </c>
      <c r="B208" s="99">
        <f>B161-B162-B163-B164-B165-B166-B167-B168-B169-B170-B171-B172-B173-B174-B175-B176-B177-B178-B179-B180-B181-B182-B183-B184-B185-B186-B187-B188-B189-B190-B191-B192-B193--B194-B195-B196-B197-B198-B199-B200-B201-B202-B203-B204-B205-B206-B207</f>
        <v>195639576</v>
      </c>
      <c r="C208" s="99"/>
      <c r="D208" s="99"/>
      <c r="E208" s="99"/>
      <c r="F208" s="99"/>
      <c r="G208" s="54"/>
      <c r="H208" s="54"/>
      <c r="I208" s="54"/>
      <c r="J208" s="54">
        <f>SUM(J162:J207)</f>
        <v>805685624</v>
      </c>
      <c r="K208" s="54"/>
      <c r="L208" s="54">
        <f>SUM(L162:L207)</f>
        <v>805685624</v>
      </c>
      <c r="M208" s="136">
        <f>1000000000-L208</f>
        <v>194314376</v>
      </c>
      <c r="N208" s="137">
        <f t="shared" ref="N208:V208" si="126">SUM(N162:N169)</f>
        <v>0</v>
      </c>
      <c r="O208" s="54">
        <f t="shared" si="126"/>
        <v>0</v>
      </c>
      <c r="P208" s="54">
        <f t="shared" si="126"/>
        <v>0</v>
      </c>
      <c r="Q208" s="54">
        <f t="shared" si="126"/>
        <v>0</v>
      </c>
      <c r="R208" s="54">
        <f t="shared" si="126"/>
        <v>0</v>
      </c>
      <c r="S208" s="54">
        <f t="shared" si="126"/>
        <v>0</v>
      </c>
      <c r="T208" s="54">
        <f t="shared" si="126"/>
        <v>0</v>
      </c>
      <c r="U208" s="54">
        <f t="shared" si="126"/>
        <v>0</v>
      </c>
      <c r="V208" s="54">
        <f t="shared" si="126"/>
        <v>0</v>
      </c>
      <c r="W208" s="54">
        <f>SUM(W162:W207)</f>
        <v>3150409</v>
      </c>
      <c r="X208" s="54">
        <f>SUM(X162:X207)</f>
        <v>16953577</v>
      </c>
      <c r="Y208" s="54">
        <f>SUM(Y162:Y207)</f>
        <v>126291825</v>
      </c>
      <c r="Z208" s="54">
        <f t="shared" ref="Z208" si="127">SUM(Z162:Z207)</f>
        <v>146395811</v>
      </c>
      <c r="AA208" s="528">
        <f>SUM(AA162:AA207)</f>
        <v>659289813</v>
      </c>
      <c r="AB208" s="137"/>
      <c r="AC208" s="54"/>
      <c r="AD208" s="54"/>
      <c r="AE208" s="99">
        <f>SUM(AE161:AE169)</f>
        <v>563372186</v>
      </c>
      <c r="AF208" s="479"/>
      <c r="AG208" s="54"/>
      <c r="AH208" s="54"/>
      <c r="AI208" s="54"/>
      <c r="AJ208" s="54"/>
      <c r="AK208" s="54"/>
      <c r="AL208" s="54"/>
      <c r="AM208" s="54"/>
    </row>
    <row r="209" spans="1:39" s="112" customFormat="1" ht="87" customHeight="1">
      <c r="A209" s="252" t="s">
        <v>157</v>
      </c>
      <c r="B209" s="54">
        <f>1024350000-210994912</f>
        <v>813355088</v>
      </c>
      <c r="C209" s="89" t="s">
        <v>78</v>
      </c>
      <c r="D209" s="89" t="s">
        <v>158</v>
      </c>
      <c r="E209" s="89" t="s">
        <v>121</v>
      </c>
      <c r="F209" s="89" t="s">
        <v>734</v>
      </c>
      <c r="G209" s="89" t="s">
        <v>122</v>
      </c>
      <c r="H209" s="64"/>
      <c r="I209" s="140"/>
      <c r="J209" s="141"/>
      <c r="K209" s="108"/>
      <c r="L209" s="108"/>
      <c r="M209" s="142"/>
      <c r="N209" s="137"/>
      <c r="O209" s="89"/>
      <c r="P209" s="89"/>
      <c r="Q209" s="89"/>
      <c r="R209" s="89"/>
      <c r="S209" s="89"/>
      <c r="T209" s="89"/>
      <c r="U209" s="89"/>
      <c r="V209" s="89"/>
      <c r="W209" s="54"/>
      <c r="X209" s="54"/>
      <c r="Y209" s="136"/>
      <c r="Z209" s="155">
        <f>SUM(N209:Y209)</f>
        <v>0</v>
      </c>
      <c r="AA209" s="520">
        <f>L209-Z209</f>
        <v>0</v>
      </c>
      <c r="AC209" s="83"/>
      <c r="AD209" s="88">
        <f t="shared" ref="AD209:AD233" si="128">I209</f>
        <v>0</v>
      </c>
      <c r="AE209" s="111">
        <f t="shared" ref="AE209:AE233" si="129">J209</f>
        <v>0</v>
      </c>
      <c r="AF209" s="117"/>
      <c r="AG209" s="109">
        <f t="shared" ref="AG209:AG233" si="130">K209</f>
        <v>0</v>
      </c>
      <c r="AH209" s="111">
        <f t="shared" ref="AH209:AH233" si="131">L209</f>
        <v>0</v>
      </c>
      <c r="AI209" s="88"/>
      <c r="AJ209" s="88"/>
      <c r="AK209" s="111">
        <f t="shared" ref="AK209:AK233" si="132">M209</f>
        <v>0</v>
      </c>
      <c r="AL209" s="111"/>
      <c r="AM209" s="101">
        <f t="shared" ref="AM209:AM218" si="133">AE209-AH209</f>
        <v>0</v>
      </c>
    </row>
    <row r="210" spans="1:39" s="112" customFormat="1" ht="76.5">
      <c r="A210" s="254" t="s">
        <v>157</v>
      </c>
      <c r="B210" s="92">
        <f t="shared" ref="B210:B218" si="134">J210</f>
        <v>67580000</v>
      </c>
      <c r="C210" s="89" t="s">
        <v>78</v>
      </c>
      <c r="D210" s="89" t="s">
        <v>158</v>
      </c>
      <c r="E210" s="89" t="s">
        <v>121</v>
      </c>
      <c r="F210" s="89" t="s">
        <v>734</v>
      </c>
      <c r="G210" s="89" t="s">
        <v>122</v>
      </c>
      <c r="H210" s="64">
        <v>273</v>
      </c>
      <c r="I210" s="140" t="s">
        <v>1342</v>
      </c>
      <c r="J210" s="141">
        <f>69506030-1926030+6613333-6613333</f>
        <v>67580000</v>
      </c>
      <c r="K210" s="108" t="s">
        <v>1343</v>
      </c>
      <c r="L210" s="108">
        <f>67580000+1926030-1926030</f>
        <v>67580000</v>
      </c>
      <c r="M210" s="142">
        <v>15</v>
      </c>
      <c r="N210" s="137"/>
      <c r="O210" s="89">
        <v>2893333</v>
      </c>
      <c r="P210" s="89">
        <v>6200000</v>
      </c>
      <c r="Q210" s="89">
        <v>6200000</v>
      </c>
      <c r="R210" s="89">
        <v>6200000</v>
      </c>
      <c r="S210" s="89">
        <f>6200000</f>
        <v>6200000</v>
      </c>
      <c r="T210" s="89">
        <v>6200000</v>
      </c>
      <c r="U210" s="89">
        <f>6200000</f>
        <v>6200000</v>
      </c>
      <c r="V210" s="89">
        <f>6200000</f>
        <v>6200000</v>
      </c>
      <c r="W210" s="89">
        <f>6200000</f>
        <v>6200000</v>
      </c>
      <c r="X210" s="89">
        <f>6200000</f>
        <v>6200000</v>
      </c>
      <c r="Y210" s="142">
        <f>6200000+2686667</f>
        <v>8886667</v>
      </c>
      <c r="Z210" s="155">
        <f>SUM(N210:Y210)</f>
        <v>67580000</v>
      </c>
      <c r="AA210" s="520">
        <f t="shared" ref="AA210:AA233" si="135">L210-Z210</f>
        <v>0</v>
      </c>
      <c r="AC210" s="83" t="s">
        <v>277</v>
      </c>
      <c r="AD210" s="88" t="str">
        <f t="shared" si="128"/>
        <v>23 - 698</v>
      </c>
      <c r="AE210" s="111">
        <f t="shared" si="129"/>
        <v>67580000</v>
      </c>
      <c r="AF210" s="117">
        <v>42747</v>
      </c>
      <c r="AG210" s="109" t="str">
        <f t="shared" si="130"/>
        <v>48-49</v>
      </c>
      <c r="AH210" s="111">
        <f t="shared" si="131"/>
        <v>67580000</v>
      </c>
      <c r="AI210" s="121">
        <v>42752</v>
      </c>
      <c r="AJ210" s="88" t="s">
        <v>309</v>
      </c>
      <c r="AK210" s="111">
        <f t="shared" si="132"/>
        <v>15</v>
      </c>
      <c r="AL210" s="111">
        <v>52697433</v>
      </c>
      <c r="AM210" s="101">
        <f t="shared" si="133"/>
        <v>0</v>
      </c>
    </row>
    <row r="211" spans="1:39" s="112" customFormat="1" ht="87" customHeight="1">
      <c r="A211" s="254" t="s">
        <v>157</v>
      </c>
      <c r="B211" s="92">
        <f t="shared" si="134"/>
        <v>20850000</v>
      </c>
      <c r="C211" s="89" t="s">
        <v>78</v>
      </c>
      <c r="D211" s="89" t="s">
        <v>158</v>
      </c>
      <c r="E211" s="89" t="s">
        <v>121</v>
      </c>
      <c r="F211" s="89" t="s">
        <v>734</v>
      </c>
      <c r="G211" s="89" t="s">
        <v>122</v>
      </c>
      <c r="H211" s="64">
        <v>271</v>
      </c>
      <c r="I211" s="140">
        <v>85</v>
      </c>
      <c r="J211" s="141">
        <f>21444225-21444225+20850000-20850000+21444225-594225</f>
        <v>20850000</v>
      </c>
      <c r="K211" s="108">
        <v>278</v>
      </c>
      <c r="L211" s="108">
        <v>20850000</v>
      </c>
      <c r="M211" s="142">
        <v>122</v>
      </c>
      <c r="N211" s="144"/>
      <c r="O211" s="108"/>
      <c r="P211" s="108">
        <v>2700000</v>
      </c>
      <c r="Q211" s="108">
        <v>4500000</v>
      </c>
      <c r="R211" s="108">
        <v>4500000</v>
      </c>
      <c r="S211" s="108">
        <f>4500000</f>
        <v>4500000</v>
      </c>
      <c r="T211" s="108">
        <v>4500000</v>
      </c>
      <c r="U211" s="108">
        <f>150000</f>
        <v>150000</v>
      </c>
      <c r="V211" s="108"/>
      <c r="W211" s="99"/>
      <c r="X211" s="99"/>
      <c r="Y211" s="143"/>
      <c r="Z211" s="155">
        <f t="shared" ref="Z211:Z233" si="136">SUM(N211:Y211)</f>
        <v>20850000</v>
      </c>
      <c r="AA211" s="520">
        <f t="shared" si="135"/>
        <v>0</v>
      </c>
      <c r="AC211" s="83" t="s">
        <v>286</v>
      </c>
      <c r="AD211" s="88">
        <f t="shared" si="128"/>
        <v>85</v>
      </c>
      <c r="AE211" s="111">
        <f t="shared" si="129"/>
        <v>20850000</v>
      </c>
      <c r="AF211" s="117">
        <v>42758</v>
      </c>
      <c r="AG211" s="109">
        <f t="shared" si="130"/>
        <v>278</v>
      </c>
      <c r="AH211" s="111">
        <f t="shared" si="131"/>
        <v>20850000</v>
      </c>
      <c r="AI211" s="121">
        <v>42779</v>
      </c>
      <c r="AJ211" s="88" t="s">
        <v>452</v>
      </c>
      <c r="AK211" s="111">
        <f t="shared" si="132"/>
        <v>122</v>
      </c>
      <c r="AL211" s="111">
        <v>53178789</v>
      </c>
      <c r="AM211" s="101">
        <f t="shared" si="133"/>
        <v>0</v>
      </c>
    </row>
    <row r="212" spans="1:39" s="112" customFormat="1" ht="87" customHeight="1">
      <c r="A212" s="254" t="s">
        <v>157</v>
      </c>
      <c r="B212" s="92">
        <f t="shared" si="134"/>
        <v>24750000</v>
      </c>
      <c r="C212" s="89" t="s">
        <v>78</v>
      </c>
      <c r="D212" s="89" t="s">
        <v>158</v>
      </c>
      <c r="E212" s="89" t="s">
        <v>121</v>
      </c>
      <c r="F212" s="89" t="s">
        <v>734</v>
      </c>
      <c r="G212" s="89" t="s">
        <v>122</v>
      </c>
      <c r="H212" s="64">
        <v>272</v>
      </c>
      <c r="I212" s="140">
        <v>66</v>
      </c>
      <c r="J212" s="141">
        <f>25455375-705375</f>
        <v>24750000</v>
      </c>
      <c r="K212" s="108" t="s">
        <v>1344</v>
      </c>
      <c r="L212" s="108">
        <f>24750000+705375-705375</f>
        <v>24750000</v>
      </c>
      <c r="M212" s="142">
        <v>119</v>
      </c>
      <c r="N212" s="144"/>
      <c r="O212" s="108"/>
      <c r="P212" s="108">
        <v>3300000</v>
      </c>
      <c r="Q212" s="108">
        <v>4500000</v>
      </c>
      <c r="R212" s="108">
        <v>4500000</v>
      </c>
      <c r="S212" s="108">
        <f>4500000</f>
        <v>4500000</v>
      </c>
      <c r="T212" s="108">
        <v>4500000</v>
      </c>
      <c r="U212" s="108">
        <f>3450000</f>
        <v>3450000</v>
      </c>
      <c r="V212" s="108"/>
      <c r="W212" s="99"/>
      <c r="X212" s="99"/>
      <c r="Y212" s="143"/>
      <c r="Z212" s="155">
        <f t="shared" si="136"/>
        <v>24750000</v>
      </c>
      <c r="AA212" s="520">
        <f t="shared" si="135"/>
        <v>0</v>
      </c>
      <c r="AC212" s="83" t="s">
        <v>286</v>
      </c>
      <c r="AD212" s="88">
        <f t="shared" si="128"/>
        <v>66</v>
      </c>
      <c r="AE212" s="111">
        <f t="shared" si="129"/>
        <v>24750000</v>
      </c>
      <c r="AF212" s="117">
        <v>42753</v>
      </c>
      <c r="AG212" s="109" t="str">
        <f t="shared" si="130"/>
        <v>273-274</v>
      </c>
      <c r="AH212" s="111">
        <f t="shared" si="131"/>
        <v>24750000</v>
      </c>
      <c r="AI212" s="121">
        <v>42775</v>
      </c>
      <c r="AJ212" s="88" t="s">
        <v>401</v>
      </c>
      <c r="AK212" s="111">
        <f t="shared" si="132"/>
        <v>119</v>
      </c>
      <c r="AL212" s="111">
        <v>52862278</v>
      </c>
      <c r="AM212" s="101">
        <f t="shared" si="133"/>
        <v>0</v>
      </c>
    </row>
    <row r="213" spans="1:39" s="112" customFormat="1" ht="87" customHeight="1">
      <c r="A213" s="254" t="s">
        <v>157</v>
      </c>
      <c r="B213" s="92">
        <f t="shared" si="134"/>
        <v>23700000</v>
      </c>
      <c r="C213" s="89" t="s">
        <v>78</v>
      </c>
      <c r="D213" s="89" t="s">
        <v>158</v>
      </c>
      <c r="E213" s="89" t="s">
        <v>121</v>
      </c>
      <c r="F213" s="89" t="s">
        <v>734</v>
      </c>
      <c r="G213" s="89" t="s">
        <v>122</v>
      </c>
      <c r="H213" s="64">
        <v>274</v>
      </c>
      <c r="I213" s="140">
        <v>67</v>
      </c>
      <c r="J213" s="141">
        <f>24375450-675450</f>
        <v>23700000</v>
      </c>
      <c r="K213" s="108" t="s">
        <v>1345</v>
      </c>
      <c r="L213" s="108">
        <f>23700000+675450-675450</f>
        <v>23700000</v>
      </c>
      <c r="M213" s="142">
        <v>55</v>
      </c>
      <c r="N213" s="144"/>
      <c r="O213" s="99"/>
      <c r="P213" s="108">
        <v>5250000</v>
      </c>
      <c r="Q213" s="108">
        <v>4500000</v>
      </c>
      <c r="R213" s="108">
        <v>4500000</v>
      </c>
      <c r="S213" s="108">
        <f>4500000</f>
        <v>4500000</v>
      </c>
      <c r="T213" s="108">
        <v>4500000</v>
      </c>
      <c r="U213" s="108">
        <f>450000</f>
        <v>450000</v>
      </c>
      <c r="V213" s="99"/>
      <c r="W213" s="99"/>
      <c r="X213" s="99"/>
      <c r="Y213" s="143"/>
      <c r="Z213" s="155">
        <f t="shared" si="136"/>
        <v>23700000</v>
      </c>
      <c r="AA213" s="520">
        <f t="shared" si="135"/>
        <v>0</v>
      </c>
      <c r="AC213" s="83" t="s">
        <v>286</v>
      </c>
      <c r="AD213" s="88">
        <f t="shared" si="128"/>
        <v>67</v>
      </c>
      <c r="AE213" s="111">
        <f t="shared" si="129"/>
        <v>23700000</v>
      </c>
      <c r="AF213" s="117">
        <v>42753</v>
      </c>
      <c r="AG213" s="109" t="str">
        <f t="shared" si="130"/>
        <v>134-135</v>
      </c>
      <c r="AH213" s="111">
        <f t="shared" si="131"/>
        <v>23700000</v>
      </c>
      <c r="AI213" s="121">
        <v>42761</v>
      </c>
      <c r="AJ213" s="88" t="s">
        <v>318</v>
      </c>
      <c r="AK213" s="111">
        <f t="shared" si="132"/>
        <v>55</v>
      </c>
      <c r="AL213" s="111">
        <v>1020742345</v>
      </c>
      <c r="AM213" s="101">
        <f t="shared" si="133"/>
        <v>0</v>
      </c>
    </row>
    <row r="214" spans="1:39" s="112" customFormat="1" ht="76.5">
      <c r="A214" s="254" t="s">
        <v>157</v>
      </c>
      <c r="B214" s="92">
        <f t="shared" si="134"/>
        <v>10327466</v>
      </c>
      <c r="C214" s="89" t="s">
        <v>78</v>
      </c>
      <c r="D214" s="89" t="s">
        <v>158</v>
      </c>
      <c r="E214" s="89" t="s">
        <v>121</v>
      </c>
      <c r="F214" s="89" t="s">
        <v>734</v>
      </c>
      <c r="G214" s="89" t="s">
        <v>122</v>
      </c>
      <c r="H214" s="64">
        <v>270</v>
      </c>
      <c r="I214" s="140">
        <v>230</v>
      </c>
      <c r="J214" s="141">
        <f>63502933-53175467</f>
        <v>10327466</v>
      </c>
      <c r="K214" s="108">
        <v>388</v>
      </c>
      <c r="L214" s="108">
        <f>63502933-53175467</f>
        <v>10327466</v>
      </c>
      <c r="M214" s="142">
        <v>184</v>
      </c>
      <c r="N214" s="144"/>
      <c r="O214" s="99"/>
      <c r="P214" s="99"/>
      <c r="Q214" s="99"/>
      <c r="R214" s="108">
        <v>8130133</v>
      </c>
      <c r="S214" s="99"/>
      <c r="T214" s="108">
        <v>2197333</v>
      </c>
      <c r="U214" s="99"/>
      <c r="V214" s="99"/>
      <c r="W214" s="99"/>
      <c r="X214" s="99"/>
      <c r="Y214" s="143"/>
      <c r="Z214" s="155">
        <f t="shared" si="136"/>
        <v>10327466</v>
      </c>
      <c r="AA214" s="520">
        <f t="shared" si="135"/>
        <v>0</v>
      </c>
      <c r="AC214" s="83" t="s">
        <v>500</v>
      </c>
      <c r="AD214" s="88">
        <f t="shared" si="128"/>
        <v>230</v>
      </c>
      <c r="AE214" s="111">
        <f t="shared" si="129"/>
        <v>10327466</v>
      </c>
      <c r="AF214" s="117" t="s">
        <v>532</v>
      </c>
      <c r="AG214" s="109">
        <f t="shared" si="130"/>
        <v>388</v>
      </c>
      <c r="AH214" s="111">
        <f t="shared" si="131"/>
        <v>10327466</v>
      </c>
      <c r="AI214" s="121">
        <v>42818</v>
      </c>
      <c r="AJ214" s="88" t="s">
        <v>562</v>
      </c>
      <c r="AK214" s="111">
        <f t="shared" si="132"/>
        <v>184</v>
      </c>
      <c r="AL214" s="111">
        <v>52856961</v>
      </c>
      <c r="AM214" s="101">
        <f t="shared" si="133"/>
        <v>0</v>
      </c>
    </row>
    <row r="215" spans="1:39" s="112" customFormat="1" ht="63.75">
      <c r="A215" s="254" t="s">
        <v>157</v>
      </c>
      <c r="B215" s="92">
        <f t="shared" si="134"/>
        <v>26550000</v>
      </c>
      <c r="C215" s="89" t="s">
        <v>78</v>
      </c>
      <c r="D215" s="89" t="s">
        <v>158</v>
      </c>
      <c r="E215" s="89" t="s">
        <v>121</v>
      </c>
      <c r="F215" s="89" t="s">
        <v>734</v>
      </c>
      <c r="G215" s="89" t="s">
        <v>122</v>
      </c>
      <c r="H215" s="64">
        <v>365</v>
      </c>
      <c r="I215" s="140" t="s">
        <v>1086</v>
      </c>
      <c r="J215" s="141">
        <f>24600000-300000+2250000</f>
        <v>26550000</v>
      </c>
      <c r="K215" s="108" t="s">
        <v>1188</v>
      </c>
      <c r="L215" s="108">
        <f>24300000+2250000</f>
        <v>26550000</v>
      </c>
      <c r="M215" s="142">
        <v>267</v>
      </c>
      <c r="N215" s="144"/>
      <c r="O215" s="99"/>
      <c r="P215" s="99"/>
      <c r="Q215" s="99"/>
      <c r="R215" s="99"/>
      <c r="S215" s="99"/>
      <c r="T215" s="99"/>
      <c r="U215" s="108">
        <f>1800000</f>
        <v>1800000</v>
      </c>
      <c r="V215" s="108">
        <f>4500000</f>
        <v>4500000</v>
      </c>
      <c r="W215" s="108">
        <f>4500000</f>
        <v>4500000</v>
      </c>
      <c r="X215" s="108">
        <f>4500000</f>
        <v>4500000</v>
      </c>
      <c r="Y215" s="157">
        <f>4500000+4500000</f>
        <v>9000000</v>
      </c>
      <c r="Z215" s="155">
        <f t="shared" si="136"/>
        <v>24300000</v>
      </c>
      <c r="AA215" s="520">
        <f t="shared" si="135"/>
        <v>2250000</v>
      </c>
      <c r="AC215" s="83" t="s">
        <v>286</v>
      </c>
      <c r="AD215" s="88" t="str">
        <f t="shared" si="128"/>
        <v>388 - 732</v>
      </c>
      <c r="AE215" s="111">
        <f t="shared" si="129"/>
        <v>26550000</v>
      </c>
      <c r="AF215" s="117">
        <v>42929</v>
      </c>
      <c r="AG215" s="109" t="str">
        <f t="shared" si="130"/>
        <v>626 - 1170</v>
      </c>
      <c r="AH215" s="111">
        <f t="shared" si="131"/>
        <v>26550000</v>
      </c>
      <c r="AI215" s="121">
        <v>42935</v>
      </c>
      <c r="AJ215" s="88" t="s">
        <v>452</v>
      </c>
      <c r="AK215" s="111">
        <f t="shared" si="132"/>
        <v>267</v>
      </c>
      <c r="AL215" s="111"/>
      <c r="AM215" s="101">
        <f t="shared" si="133"/>
        <v>0</v>
      </c>
    </row>
    <row r="216" spans="1:39" s="112" customFormat="1" ht="63.75">
      <c r="A216" s="254" t="s">
        <v>157</v>
      </c>
      <c r="B216" s="92">
        <f t="shared" si="134"/>
        <v>25500000</v>
      </c>
      <c r="C216" s="89" t="s">
        <v>78</v>
      </c>
      <c r="D216" s="89" t="s">
        <v>158</v>
      </c>
      <c r="E216" s="89" t="s">
        <v>121</v>
      </c>
      <c r="F216" s="89" t="s">
        <v>734</v>
      </c>
      <c r="G216" s="89" t="s">
        <v>122</v>
      </c>
      <c r="H216" s="64">
        <v>366</v>
      </c>
      <c r="I216" s="140" t="s">
        <v>1083</v>
      </c>
      <c r="J216" s="141">
        <f>23550000-300000+2250000</f>
        <v>25500000</v>
      </c>
      <c r="K216" s="108" t="s">
        <v>1189</v>
      </c>
      <c r="L216" s="108">
        <f>23250000+2250000</f>
        <v>25500000</v>
      </c>
      <c r="M216" s="142">
        <v>277</v>
      </c>
      <c r="N216" s="144"/>
      <c r="O216" s="99"/>
      <c r="P216" s="99"/>
      <c r="Q216" s="99"/>
      <c r="R216" s="99"/>
      <c r="S216" s="99"/>
      <c r="T216" s="99"/>
      <c r="U216" s="99"/>
      <c r="V216" s="108">
        <f>5250000</f>
        <v>5250000</v>
      </c>
      <c r="W216" s="108">
        <f>4500000</f>
        <v>4500000</v>
      </c>
      <c r="X216" s="108">
        <f>4500000</f>
        <v>4500000</v>
      </c>
      <c r="Y216" s="157">
        <f>4500000+4500000</f>
        <v>9000000</v>
      </c>
      <c r="Z216" s="155">
        <f t="shared" si="136"/>
        <v>23250000</v>
      </c>
      <c r="AA216" s="520">
        <f t="shared" si="135"/>
        <v>2250000</v>
      </c>
      <c r="AC216" s="83" t="s">
        <v>286</v>
      </c>
      <c r="AD216" s="88" t="str">
        <f t="shared" si="128"/>
        <v>383 - 735</v>
      </c>
      <c r="AE216" s="111">
        <f t="shared" si="129"/>
        <v>25500000</v>
      </c>
      <c r="AF216" s="117">
        <v>42928</v>
      </c>
      <c r="AG216" s="109" t="str">
        <f t="shared" si="130"/>
        <v>648 - 1169</v>
      </c>
      <c r="AH216" s="111">
        <f t="shared" si="131"/>
        <v>25500000</v>
      </c>
      <c r="AI216" s="121">
        <v>42942</v>
      </c>
      <c r="AJ216" s="88" t="s">
        <v>401</v>
      </c>
      <c r="AK216" s="111">
        <f t="shared" si="132"/>
        <v>277</v>
      </c>
      <c r="AL216" s="111"/>
      <c r="AM216" s="101">
        <f t="shared" si="133"/>
        <v>0</v>
      </c>
    </row>
    <row r="217" spans="1:39" s="112" customFormat="1" ht="63.75">
      <c r="A217" s="254" t="s">
        <v>157</v>
      </c>
      <c r="B217" s="92">
        <f t="shared" si="134"/>
        <v>26550000</v>
      </c>
      <c r="C217" s="89" t="s">
        <v>78</v>
      </c>
      <c r="D217" s="89" t="s">
        <v>158</v>
      </c>
      <c r="E217" s="89" t="s">
        <v>121</v>
      </c>
      <c r="F217" s="89" t="s">
        <v>734</v>
      </c>
      <c r="G217" s="89" t="s">
        <v>122</v>
      </c>
      <c r="H217" s="64">
        <v>367</v>
      </c>
      <c r="I217" s="140" t="s">
        <v>1073</v>
      </c>
      <c r="J217" s="141">
        <f>24600000-300000+2250000</f>
        <v>26550000</v>
      </c>
      <c r="K217" s="108" t="s">
        <v>1190</v>
      </c>
      <c r="L217" s="108">
        <f>24300000+2250000</f>
        <v>26550000</v>
      </c>
      <c r="M217" s="142">
        <v>268</v>
      </c>
      <c r="N217" s="144"/>
      <c r="O217" s="99"/>
      <c r="P217" s="99"/>
      <c r="Q217" s="99"/>
      <c r="R217" s="99"/>
      <c r="S217" s="99"/>
      <c r="T217" s="99"/>
      <c r="U217" s="108">
        <f>1800000</f>
        <v>1800000</v>
      </c>
      <c r="V217" s="108">
        <f>4500000</f>
        <v>4500000</v>
      </c>
      <c r="W217" s="108">
        <f>4500000</f>
        <v>4500000</v>
      </c>
      <c r="X217" s="108">
        <f>4500000</f>
        <v>4500000</v>
      </c>
      <c r="Y217" s="157">
        <f>4500000+4500000</f>
        <v>9000000</v>
      </c>
      <c r="Z217" s="155">
        <f t="shared" si="136"/>
        <v>24300000</v>
      </c>
      <c r="AA217" s="520">
        <f t="shared" si="135"/>
        <v>2250000</v>
      </c>
      <c r="AC217" s="83" t="s">
        <v>286</v>
      </c>
      <c r="AD217" s="88" t="str">
        <f t="shared" si="128"/>
        <v>389 - 750</v>
      </c>
      <c r="AE217" s="111">
        <f t="shared" si="129"/>
        <v>26550000</v>
      </c>
      <c r="AF217" s="117">
        <v>42929</v>
      </c>
      <c r="AG217" s="109" t="str">
        <f t="shared" si="130"/>
        <v>625 - 1171</v>
      </c>
      <c r="AH217" s="111">
        <f t="shared" si="131"/>
        <v>26550000</v>
      </c>
      <c r="AI217" s="121">
        <v>42935</v>
      </c>
      <c r="AJ217" s="88" t="s">
        <v>318</v>
      </c>
      <c r="AK217" s="111">
        <f t="shared" si="132"/>
        <v>268</v>
      </c>
      <c r="AL217" s="111"/>
      <c r="AM217" s="101">
        <f t="shared" si="133"/>
        <v>0</v>
      </c>
    </row>
    <row r="218" spans="1:39" s="112" customFormat="1" ht="76.5">
      <c r="A218" s="254" t="s">
        <v>157</v>
      </c>
      <c r="B218" s="92">
        <f t="shared" si="134"/>
        <v>27824411</v>
      </c>
      <c r="C218" s="89" t="s">
        <v>78</v>
      </c>
      <c r="D218" s="89" t="s">
        <v>158</v>
      </c>
      <c r="E218" s="89" t="s">
        <v>121</v>
      </c>
      <c r="F218" s="89" t="s">
        <v>734</v>
      </c>
      <c r="G218" s="89" t="s">
        <v>122</v>
      </c>
      <c r="H218" s="64">
        <v>364</v>
      </c>
      <c r="I218" s="140" t="s">
        <v>1085</v>
      </c>
      <c r="J218" s="141">
        <f>26075448-635987+2384950</f>
        <v>27824411</v>
      </c>
      <c r="K218" s="108" t="s">
        <v>1191</v>
      </c>
      <c r="L218" s="108">
        <f>25757455+2384950-317994</f>
        <v>27824411</v>
      </c>
      <c r="M218" s="142">
        <v>271</v>
      </c>
      <c r="N218" s="144"/>
      <c r="O218" s="99"/>
      <c r="P218" s="99"/>
      <c r="Q218" s="99"/>
      <c r="R218" s="99"/>
      <c r="S218" s="99"/>
      <c r="T218" s="99"/>
      <c r="U218" s="108">
        <f>1589966</f>
        <v>1589966</v>
      </c>
      <c r="V218" s="108">
        <f>4769899</f>
        <v>4769899</v>
      </c>
      <c r="W218" s="108">
        <f>4769899</f>
        <v>4769899</v>
      </c>
      <c r="X218" s="108">
        <f>4769899</f>
        <v>4769899</v>
      </c>
      <c r="Y218" s="157">
        <f>4769899+4769899</f>
        <v>9539798</v>
      </c>
      <c r="Z218" s="155">
        <f t="shared" si="136"/>
        <v>25439461</v>
      </c>
      <c r="AA218" s="520">
        <f t="shared" si="135"/>
        <v>2384950</v>
      </c>
      <c r="AC218" s="83" t="s">
        <v>500</v>
      </c>
      <c r="AD218" s="88" t="str">
        <f t="shared" si="128"/>
        <v>387 - 733</v>
      </c>
      <c r="AE218" s="111">
        <f t="shared" si="129"/>
        <v>27824411</v>
      </c>
      <c r="AF218" s="117">
        <v>42929</v>
      </c>
      <c r="AG218" s="109" t="str">
        <f t="shared" si="130"/>
        <v>628 - 1119</v>
      </c>
      <c r="AH218" s="111">
        <f t="shared" si="131"/>
        <v>27824411</v>
      </c>
      <c r="AI218" s="121">
        <v>42935</v>
      </c>
      <c r="AJ218" s="88" t="s">
        <v>686</v>
      </c>
      <c r="AK218" s="111">
        <f t="shared" si="132"/>
        <v>271</v>
      </c>
      <c r="AL218" s="111"/>
      <c r="AM218" s="101">
        <f t="shared" si="133"/>
        <v>0</v>
      </c>
    </row>
    <row r="219" spans="1:39" s="112" customFormat="1" ht="87" customHeight="1">
      <c r="A219" s="254" t="s">
        <v>157</v>
      </c>
      <c r="B219" s="92">
        <f>J219</f>
        <v>375900</v>
      </c>
      <c r="C219" s="89" t="s">
        <v>78</v>
      </c>
      <c r="D219" s="89" t="s">
        <v>158</v>
      </c>
      <c r="E219" s="89" t="s">
        <v>121</v>
      </c>
      <c r="F219" s="89" t="s">
        <v>734</v>
      </c>
      <c r="G219" s="89" t="s">
        <v>122</v>
      </c>
      <c r="H219" s="64"/>
      <c r="I219" s="140">
        <v>422</v>
      </c>
      <c r="J219" s="141">
        <f>375900</f>
        <v>375900</v>
      </c>
      <c r="K219" s="108">
        <v>700</v>
      </c>
      <c r="L219" s="108">
        <v>375900</v>
      </c>
      <c r="M219" s="157">
        <v>3904</v>
      </c>
      <c r="N219" s="144"/>
      <c r="O219" s="99"/>
      <c r="P219" s="99"/>
      <c r="Q219" s="99"/>
      <c r="R219" s="99"/>
      <c r="S219" s="99"/>
      <c r="T219" s="99"/>
      <c r="U219" s="108">
        <v>375900</v>
      </c>
      <c r="V219" s="99"/>
      <c r="W219" s="99"/>
      <c r="X219" s="99"/>
      <c r="Y219" s="143"/>
      <c r="Z219" s="155">
        <f t="shared" si="136"/>
        <v>375900</v>
      </c>
      <c r="AA219" s="520">
        <f t="shared" si="135"/>
        <v>0</v>
      </c>
      <c r="AC219" s="83" t="s">
        <v>707</v>
      </c>
      <c r="AD219" s="88">
        <f t="shared" si="128"/>
        <v>422</v>
      </c>
      <c r="AE219" s="111">
        <f t="shared" si="129"/>
        <v>375900</v>
      </c>
      <c r="AF219" s="117">
        <v>42962</v>
      </c>
      <c r="AG219" s="109">
        <f t="shared" si="130"/>
        <v>700</v>
      </c>
      <c r="AH219" s="111">
        <f t="shared" si="131"/>
        <v>375900</v>
      </c>
      <c r="AI219" s="121">
        <v>42963</v>
      </c>
      <c r="AJ219" s="88" t="s">
        <v>594</v>
      </c>
      <c r="AK219" s="111">
        <f t="shared" si="132"/>
        <v>3904</v>
      </c>
      <c r="AL219" s="111"/>
      <c r="AM219" s="106"/>
    </row>
    <row r="220" spans="1:39" s="112" customFormat="1" ht="87" customHeight="1">
      <c r="A220" s="254" t="s">
        <v>157</v>
      </c>
      <c r="B220" s="92">
        <f>J220</f>
        <v>508700</v>
      </c>
      <c r="C220" s="89" t="s">
        <v>78</v>
      </c>
      <c r="D220" s="89" t="s">
        <v>158</v>
      </c>
      <c r="E220" s="89" t="s">
        <v>121</v>
      </c>
      <c r="F220" s="89" t="s">
        <v>734</v>
      </c>
      <c r="G220" s="89" t="s">
        <v>122</v>
      </c>
      <c r="H220" s="64"/>
      <c r="I220" s="140">
        <v>459</v>
      </c>
      <c r="J220" s="141">
        <f>508700</f>
        <v>508700</v>
      </c>
      <c r="K220" s="108">
        <v>783</v>
      </c>
      <c r="L220" s="108">
        <f>508700</f>
        <v>508700</v>
      </c>
      <c r="M220" s="157">
        <v>4383</v>
      </c>
      <c r="N220" s="144"/>
      <c r="O220" s="99"/>
      <c r="P220" s="99"/>
      <c r="Q220" s="99"/>
      <c r="R220" s="99"/>
      <c r="S220" s="99"/>
      <c r="T220" s="99"/>
      <c r="U220" s="99"/>
      <c r="V220" s="99">
        <v>508700</v>
      </c>
      <c r="W220" s="99"/>
      <c r="X220" s="99"/>
      <c r="Y220" s="143"/>
      <c r="Z220" s="155">
        <f t="shared" si="136"/>
        <v>508700</v>
      </c>
      <c r="AA220" s="520">
        <f t="shared" si="135"/>
        <v>0</v>
      </c>
      <c r="AC220" s="83" t="s">
        <v>787</v>
      </c>
      <c r="AD220" s="88">
        <f t="shared" si="128"/>
        <v>459</v>
      </c>
      <c r="AE220" s="111">
        <f t="shared" si="129"/>
        <v>508700</v>
      </c>
      <c r="AF220" s="117">
        <v>42986</v>
      </c>
      <c r="AG220" s="109">
        <f t="shared" si="130"/>
        <v>783</v>
      </c>
      <c r="AH220" s="111">
        <f t="shared" si="131"/>
        <v>508700</v>
      </c>
      <c r="AI220" s="121">
        <v>42992</v>
      </c>
      <c r="AJ220" s="88" t="s">
        <v>594</v>
      </c>
      <c r="AK220" s="111">
        <f t="shared" si="132"/>
        <v>4383</v>
      </c>
      <c r="AL220" s="111"/>
      <c r="AM220" s="106"/>
    </row>
    <row r="221" spans="1:39" s="112" customFormat="1" ht="87" customHeight="1">
      <c r="A221" s="254" t="s">
        <v>157</v>
      </c>
      <c r="B221" s="92">
        <f>J221</f>
        <v>0</v>
      </c>
      <c r="C221" s="89" t="s">
        <v>78</v>
      </c>
      <c r="D221" s="89" t="s">
        <v>158</v>
      </c>
      <c r="E221" s="89" t="s">
        <v>121</v>
      </c>
      <c r="F221" s="89" t="s">
        <v>734</v>
      </c>
      <c r="G221" s="89" t="s">
        <v>122</v>
      </c>
      <c r="H221" s="64">
        <v>437</v>
      </c>
      <c r="I221" s="140">
        <v>510</v>
      </c>
      <c r="J221" s="141">
        <f>52000000-52000000</f>
        <v>0</v>
      </c>
      <c r="K221" s="108"/>
      <c r="L221" s="108"/>
      <c r="M221" s="142"/>
      <c r="N221" s="144"/>
      <c r="O221" s="99"/>
      <c r="P221" s="99"/>
      <c r="Q221" s="99"/>
      <c r="R221" s="99"/>
      <c r="S221" s="99"/>
      <c r="T221" s="99"/>
      <c r="U221" s="99"/>
      <c r="V221" s="99"/>
      <c r="W221" s="99"/>
      <c r="X221" s="99"/>
      <c r="Y221" s="143"/>
      <c r="Z221" s="155">
        <f t="shared" si="136"/>
        <v>0</v>
      </c>
      <c r="AA221" s="520">
        <f t="shared" si="135"/>
        <v>0</v>
      </c>
      <c r="AC221" s="83" t="s">
        <v>754</v>
      </c>
      <c r="AD221" s="88">
        <f t="shared" si="128"/>
        <v>510</v>
      </c>
      <c r="AE221" s="111">
        <f t="shared" si="129"/>
        <v>0</v>
      </c>
      <c r="AF221" s="117">
        <v>43007</v>
      </c>
      <c r="AG221" s="109">
        <f t="shared" si="130"/>
        <v>0</v>
      </c>
      <c r="AH221" s="111">
        <f t="shared" si="131"/>
        <v>0</v>
      </c>
      <c r="AI221" s="88"/>
      <c r="AJ221" s="88"/>
      <c r="AK221" s="111">
        <f t="shared" si="132"/>
        <v>0</v>
      </c>
      <c r="AL221" s="111"/>
      <c r="AM221" s="106"/>
    </row>
    <row r="222" spans="1:39" s="112" customFormat="1" ht="87" customHeight="1">
      <c r="A222" s="254" t="s">
        <v>157</v>
      </c>
      <c r="B222" s="92">
        <f>J222</f>
        <v>0</v>
      </c>
      <c r="C222" s="89" t="s">
        <v>78</v>
      </c>
      <c r="D222" s="89" t="s">
        <v>158</v>
      </c>
      <c r="E222" s="89" t="s">
        <v>121</v>
      </c>
      <c r="F222" s="89" t="s">
        <v>734</v>
      </c>
      <c r="G222" s="89" t="s">
        <v>122</v>
      </c>
      <c r="H222" s="64">
        <v>436</v>
      </c>
      <c r="I222" s="140">
        <v>471</v>
      </c>
      <c r="J222" s="141">
        <f>8000000-8000000</f>
        <v>0</v>
      </c>
      <c r="K222" s="108"/>
      <c r="L222" s="108"/>
      <c r="M222" s="142"/>
      <c r="N222" s="144"/>
      <c r="O222" s="99"/>
      <c r="P222" s="99"/>
      <c r="Q222" s="99"/>
      <c r="R222" s="99"/>
      <c r="S222" s="99"/>
      <c r="T222" s="99"/>
      <c r="U222" s="99"/>
      <c r="V222" s="99"/>
      <c r="W222" s="99"/>
      <c r="X222" s="99"/>
      <c r="Y222" s="143"/>
      <c r="Z222" s="155">
        <f t="shared" si="136"/>
        <v>0</v>
      </c>
      <c r="AA222" s="520">
        <f t="shared" si="135"/>
        <v>0</v>
      </c>
      <c r="AC222" s="483" t="s">
        <v>790</v>
      </c>
      <c r="AD222" s="88">
        <f t="shared" si="128"/>
        <v>471</v>
      </c>
      <c r="AE222" s="111">
        <f t="shared" si="129"/>
        <v>0</v>
      </c>
      <c r="AF222" s="117">
        <v>42996</v>
      </c>
      <c r="AG222" s="109">
        <f t="shared" si="130"/>
        <v>0</v>
      </c>
      <c r="AH222" s="111">
        <f t="shared" si="131"/>
        <v>0</v>
      </c>
      <c r="AI222" s="88"/>
      <c r="AJ222" s="88"/>
      <c r="AK222" s="111">
        <f t="shared" si="132"/>
        <v>0</v>
      </c>
      <c r="AL222" s="111"/>
      <c r="AM222" s="106"/>
    </row>
    <row r="223" spans="1:39" s="112" customFormat="1" ht="63.75">
      <c r="A223" s="254" t="s">
        <v>157</v>
      </c>
      <c r="B223" s="92">
        <f t="shared" ref="B223:B233" si="137">J223</f>
        <v>13443570</v>
      </c>
      <c r="C223" s="89" t="s">
        <v>78</v>
      </c>
      <c r="D223" s="89" t="s">
        <v>158</v>
      </c>
      <c r="E223" s="89" t="s">
        <v>121</v>
      </c>
      <c r="F223" s="89" t="s">
        <v>734</v>
      </c>
      <c r="G223" s="89" t="s">
        <v>122</v>
      </c>
      <c r="H223" s="64">
        <v>438</v>
      </c>
      <c r="I223" s="140" t="s">
        <v>1059</v>
      </c>
      <c r="J223" s="141">
        <f>11202975+2240595</f>
        <v>13443570</v>
      </c>
      <c r="K223" s="108" t="s">
        <v>1192</v>
      </c>
      <c r="L223" s="108">
        <f>11202975+2240595</f>
        <v>13443570</v>
      </c>
      <c r="M223" s="142">
        <v>326</v>
      </c>
      <c r="N223" s="144"/>
      <c r="O223" s="99"/>
      <c r="P223" s="99"/>
      <c r="Q223" s="99"/>
      <c r="R223" s="99"/>
      <c r="S223" s="99"/>
      <c r="T223" s="99"/>
      <c r="U223" s="99"/>
      <c r="V223" s="99"/>
      <c r="W223" s="99"/>
      <c r="X223" s="108">
        <f>2091222</f>
        <v>2091222</v>
      </c>
      <c r="Y223" s="157">
        <f>4481190+4481190</f>
        <v>8962380</v>
      </c>
      <c r="Z223" s="155">
        <f t="shared" si="136"/>
        <v>11053602</v>
      </c>
      <c r="AA223" s="520">
        <f t="shared" si="135"/>
        <v>2389968</v>
      </c>
      <c r="AC223" s="83" t="s">
        <v>793</v>
      </c>
      <c r="AD223" s="88" t="str">
        <f t="shared" si="128"/>
        <v>498 - 793</v>
      </c>
      <c r="AE223" s="111">
        <f t="shared" si="129"/>
        <v>13443570</v>
      </c>
      <c r="AF223" s="117">
        <v>43004</v>
      </c>
      <c r="AG223" s="109" t="str">
        <f t="shared" si="130"/>
        <v>859 - 1220</v>
      </c>
      <c r="AH223" s="111">
        <f t="shared" si="131"/>
        <v>13443570</v>
      </c>
      <c r="AI223" s="121">
        <v>43021</v>
      </c>
      <c r="AJ223" s="88" t="s">
        <v>846</v>
      </c>
      <c r="AK223" s="111">
        <f t="shared" si="132"/>
        <v>326</v>
      </c>
      <c r="AL223" s="111"/>
      <c r="AM223" s="106"/>
    </row>
    <row r="224" spans="1:39" s="112" customFormat="1" ht="87" customHeight="1">
      <c r="A224" s="254" t="s">
        <v>157</v>
      </c>
      <c r="B224" s="92">
        <f t="shared" si="137"/>
        <v>7270327</v>
      </c>
      <c r="C224" s="89" t="s">
        <v>78</v>
      </c>
      <c r="D224" s="89" t="s">
        <v>158</v>
      </c>
      <c r="E224" s="89" t="s">
        <v>121</v>
      </c>
      <c r="F224" s="89" t="s">
        <v>734</v>
      </c>
      <c r="G224" s="89" t="s">
        <v>122</v>
      </c>
      <c r="H224" s="64">
        <v>439</v>
      </c>
      <c r="I224" s="140" t="s">
        <v>1058</v>
      </c>
      <c r="J224" s="141">
        <f>6126680+1225236-81589</f>
        <v>7270327</v>
      </c>
      <c r="K224" s="108" t="s">
        <v>1196</v>
      </c>
      <c r="L224" s="108">
        <f>6126680+1143647</f>
        <v>7270327</v>
      </c>
      <c r="M224" s="142">
        <v>329</v>
      </c>
      <c r="N224" s="144"/>
      <c r="O224" s="99"/>
      <c r="P224" s="99"/>
      <c r="Q224" s="99"/>
      <c r="R224" s="99"/>
      <c r="S224" s="99"/>
      <c r="T224" s="99"/>
      <c r="U224" s="99"/>
      <c r="V224" s="99"/>
      <c r="W224" s="99"/>
      <c r="X224" s="99"/>
      <c r="Y224" s="157">
        <f>2450672+1470403+2205605</f>
        <v>6126680</v>
      </c>
      <c r="Z224" s="155">
        <f t="shared" si="136"/>
        <v>6126680</v>
      </c>
      <c r="AA224" s="520">
        <f t="shared" si="135"/>
        <v>1143647</v>
      </c>
      <c r="AC224" s="83" t="s">
        <v>826</v>
      </c>
      <c r="AD224" s="88" t="str">
        <f t="shared" si="128"/>
        <v>517 - 794</v>
      </c>
      <c r="AE224" s="111">
        <f t="shared" si="129"/>
        <v>7270327</v>
      </c>
      <c r="AF224" s="117">
        <v>43011</v>
      </c>
      <c r="AG224" s="109" t="str">
        <f t="shared" si="130"/>
        <v>860 - 1188</v>
      </c>
      <c r="AH224" s="111">
        <f t="shared" si="131"/>
        <v>7270327</v>
      </c>
      <c r="AI224" s="121">
        <v>43021</v>
      </c>
      <c r="AJ224" s="88" t="s">
        <v>847</v>
      </c>
      <c r="AK224" s="111">
        <f t="shared" si="132"/>
        <v>329</v>
      </c>
      <c r="AL224" s="111"/>
      <c r="AM224" s="106"/>
    </row>
    <row r="225" spans="1:39" s="112" customFormat="1" ht="87" customHeight="1">
      <c r="A225" s="254" t="s">
        <v>157</v>
      </c>
      <c r="B225" s="92">
        <f t="shared" si="137"/>
        <v>1837902</v>
      </c>
      <c r="C225" s="89" t="s">
        <v>78</v>
      </c>
      <c r="D225" s="89" t="s">
        <v>158</v>
      </c>
      <c r="E225" s="89" t="s">
        <v>121</v>
      </c>
      <c r="F225" s="89" t="s">
        <v>734</v>
      </c>
      <c r="G225" s="89" t="s">
        <v>122</v>
      </c>
      <c r="H225" s="64">
        <v>440</v>
      </c>
      <c r="I225" s="140">
        <v>518</v>
      </c>
      <c r="J225" s="141">
        <f>4594755-2756853</f>
        <v>1837902</v>
      </c>
      <c r="K225" s="108">
        <v>1206</v>
      </c>
      <c r="L225" s="108">
        <f>1837902</f>
        <v>1837902</v>
      </c>
      <c r="M225" s="142">
        <v>405</v>
      </c>
      <c r="N225" s="144"/>
      <c r="O225" s="99"/>
      <c r="P225" s="99"/>
      <c r="Q225" s="99"/>
      <c r="R225" s="99"/>
      <c r="S225" s="99"/>
      <c r="T225" s="99"/>
      <c r="U225" s="99"/>
      <c r="V225" s="99"/>
      <c r="W225" s="99"/>
      <c r="X225" s="99"/>
      <c r="Y225" s="143"/>
      <c r="Z225" s="155">
        <f t="shared" si="136"/>
        <v>0</v>
      </c>
      <c r="AA225" s="520">
        <f t="shared" si="135"/>
        <v>1837902</v>
      </c>
      <c r="AC225" s="483" t="s">
        <v>827</v>
      </c>
      <c r="AD225" s="88">
        <f t="shared" si="128"/>
        <v>518</v>
      </c>
      <c r="AE225" s="111">
        <f t="shared" si="129"/>
        <v>1837902</v>
      </c>
      <c r="AF225" s="117">
        <v>43011</v>
      </c>
      <c r="AG225" s="109">
        <f t="shared" si="130"/>
        <v>1206</v>
      </c>
      <c r="AH225" s="111">
        <f t="shared" si="131"/>
        <v>1837902</v>
      </c>
      <c r="AI225" s="121">
        <v>43097</v>
      </c>
      <c r="AJ225" s="88" t="s">
        <v>1193</v>
      </c>
      <c r="AK225" s="111">
        <f t="shared" si="132"/>
        <v>405</v>
      </c>
      <c r="AL225" s="111"/>
      <c r="AM225" s="106"/>
    </row>
    <row r="226" spans="1:39" s="112" customFormat="1" ht="87" customHeight="1">
      <c r="A226" s="254" t="s">
        <v>157</v>
      </c>
      <c r="B226" s="92">
        <f t="shared" si="137"/>
        <v>1837902</v>
      </c>
      <c r="C226" s="89" t="s">
        <v>78</v>
      </c>
      <c r="D226" s="89" t="s">
        <v>158</v>
      </c>
      <c r="E226" s="89" t="s">
        <v>121</v>
      </c>
      <c r="F226" s="89" t="s">
        <v>734</v>
      </c>
      <c r="G226" s="89" t="s">
        <v>122</v>
      </c>
      <c r="H226" s="64">
        <v>441</v>
      </c>
      <c r="I226" s="140">
        <v>519</v>
      </c>
      <c r="J226" s="141">
        <f>4594755-2756853</f>
        <v>1837902</v>
      </c>
      <c r="K226" s="108">
        <v>1151</v>
      </c>
      <c r="L226" s="108">
        <f>1837902</f>
        <v>1837902</v>
      </c>
      <c r="M226" s="142">
        <v>404</v>
      </c>
      <c r="N226" s="144"/>
      <c r="O226" s="99"/>
      <c r="P226" s="99"/>
      <c r="Q226" s="99"/>
      <c r="R226" s="99"/>
      <c r="S226" s="99"/>
      <c r="T226" s="99"/>
      <c r="U226" s="99"/>
      <c r="V226" s="99"/>
      <c r="W226" s="99"/>
      <c r="X226" s="99"/>
      <c r="Y226" s="143"/>
      <c r="Z226" s="155">
        <f t="shared" si="136"/>
        <v>0</v>
      </c>
      <c r="AA226" s="520">
        <f t="shared" si="135"/>
        <v>1837902</v>
      </c>
      <c r="AC226" s="483" t="s">
        <v>827</v>
      </c>
      <c r="AD226" s="88">
        <f t="shared" si="128"/>
        <v>519</v>
      </c>
      <c r="AE226" s="111">
        <f t="shared" si="129"/>
        <v>1837902</v>
      </c>
      <c r="AF226" s="117">
        <v>43011</v>
      </c>
      <c r="AG226" s="109">
        <f t="shared" si="130"/>
        <v>1151</v>
      </c>
      <c r="AH226" s="111">
        <f t="shared" si="131"/>
        <v>1837902</v>
      </c>
      <c r="AI226" s="121">
        <v>43090</v>
      </c>
      <c r="AJ226" s="88" t="s">
        <v>1194</v>
      </c>
      <c r="AK226" s="111">
        <f t="shared" si="132"/>
        <v>404</v>
      </c>
      <c r="AL226" s="111"/>
      <c r="AM226" s="106"/>
    </row>
    <row r="227" spans="1:39" s="112" customFormat="1" ht="76.5">
      <c r="A227" s="254" t="s">
        <v>157</v>
      </c>
      <c r="B227" s="92">
        <f t="shared" si="137"/>
        <v>508700</v>
      </c>
      <c r="C227" s="89" t="s">
        <v>78</v>
      </c>
      <c r="D227" s="89" t="s">
        <v>158</v>
      </c>
      <c r="E227" s="89" t="s">
        <v>121</v>
      </c>
      <c r="F227" s="89" t="s">
        <v>734</v>
      </c>
      <c r="G227" s="89" t="s">
        <v>122</v>
      </c>
      <c r="H227" s="64"/>
      <c r="I227" s="140">
        <v>545</v>
      </c>
      <c r="J227" s="141">
        <v>508700</v>
      </c>
      <c r="K227" s="108">
        <v>865</v>
      </c>
      <c r="L227" s="108">
        <v>508700</v>
      </c>
      <c r="M227" s="142">
        <v>5107</v>
      </c>
      <c r="N227" s="144"/>
      <c r="O227" s="99"/>
      <c r="P227" s="99"/>
      <c r="Q227" s="99"/>
      <c r="R227" s="99"/>
      <c r="S227" s="99"/>
      <c r="T227" s="99"/>
      <c r="U227" s="99"/>
      <c r="V227" s="99"/>
      <c r="W227" s="108"/>
      <c r="X227" s="108">
        <f>508700</f>
        <v>508700</v>
      </c>
      <c r="Y227" s="143"/>
      <c r="Z227" s="155">
        <f t="shared" si="136"/>
        <v>508700</v>
      </c>
      <c r="AA227" s="520">
        <f t="shared" si="135"/>
        <v>0</v>
      </c>
      <c r="AC227" s="83" t="s">
        <v>849</v>
      </c>
      <c r="AD227" s="88">
        <f t="shared" si="128"/>
        <v>545</v>
      </c>
      <c r="AE227" s="108">
        <f t="shared" si="129"/>
        <v>508700</v>
      </c>
      <c r="AF227" s="117">
        <v>42996</v>
      </c>
      <c r="AG227" s="109">
        <f t="shared" si="130"/>
        <v>865</v>
      </c>
      <c r="AH227" s="111">
        <f t="shared" si="131"/>
        <v>508700</v>
      </c>
      <c r="AI227" s="121">
        <v>43026</v>
      </c>
      <c r="AJ227" s="88" t="s">
        <v>594</v>
      </c>
      <c r="AK227" s="111">
        <f t="shared" si="132"/>
        <v>5107</v>
      </c>
      <c r="AL227" s="111"/>
      <c r="AM227" s="106"/>
    </row>
    <row r="228" spans="1:39" s="112" customFormat="1" ht="87" customHeight="1">
      <c r="A228" s="254" t="s">
        <v>157</v>
      </c>
      <c r="B228" s="92">
        <f t="shared" ref="B228:B232" si="138">J228</f>
        <v>445460695</v>
      </c>
      <c r="C228" s="89" t="s">
        <v>78</v>
      </c>
      <c r="D228" s="89" t="s">
        <v>158</v>
      </c>
      <c r="E228" s="89" t="s">
        <v>121</v>
      </c>
      <c r="F228" s="89" t="s">
        <v>734</v>
      </c>
      <c r="G228" s="89" t="s">
        <v>122</v>
      </c>
      <c r="H228" s="64">
        <v>522</v>
      </c>
      <c r="I228" s="140">
        <v>580</v>
      </c>
      <c r="J228" s="141">
        <f>450000000 - 4539305</f>
        <v>445460695</v>
      </c>
      <c r="K228" s="108">
        <v>1194</v>
      </c>
      <c r="L228" s="108">
        <v>445460695</v>
      </c>
      <c r="M228" s="142">
        <v>410</v>
      </c>
      <c r="N228" s="144"/>
      <c r="O228" s="99"/>
      <c r="P228" s="99"/>
      <c r="Q228" s="99"/>
      <c r="R228" s="99"/>
      <c r="S228" s="99"/>
      <c r="T228" s="99"/>
      <c r="U228" s="99"/>
      <c r="V228" s="99"/>
      <c r="W228" s="99"/>
      <c r="X228" s="99"/>
      <c r="Y228" s="143"/>
      <c r="Z228" s="155">
        <f t="shared" si="136"/>
        <v>0</v>
      </c>
      <c r="AA228" s="520">
        <f t="shared" si="135"/>
        <v>445460695</v>
      </c>
      <c r="AC228" s="83" t="s">
        <v>945</v>
      </c>
      <c r="AD228" s="88">
        <f t="shared" si="128"/>
        <v>580</v>
      </c>
      <c r="AE228" s="108">
        <f t="shared" si="129"/>
        <v>445460695</v>
      </c>
      <c r="AF228" s="117">
        <v>43039</v>
      </c>
      <c r="AG228" s="109">
        <f t="shared" si="130"/>
        <v>1194</v>
      </c>
      <c r="AH228" s="111">
        <f t="shared" si="131"/>
        <v>445460695</v>
      </c>
      <c r="AI228" s="121">
        <v>43096</v>
      </c>
      <c r="AJ228" s="88" t="s">
        <v>1195</v>
      </c>
      <c r="AK228" s="111">
        <f t="shared" si="132"/>
        <v>410</v>
      </c>
      <c r="AL228" s="111"/>
      <c r="AM228" s="106"/>
    </row>
    <row r="229" spans="1:39" s="112" customFormat="1" ht="63.75">
      <c r="A229" s="254" t="s">
        <v>157</v>
      </c>
      <c r="B229" s="92">
        <f t="shared" si="138"/>
        <v>74900</v>
      </c>
      <c r="C229" s="89" t="s">
        <v>78</v>
      </c>
      <c r="D229" s="89" t="s">
        <v>158</v>
      </c>
      <c r="E229" s="89" t="s">
        <v>121</v>
      </c>
      <c r="F229" s="89" t="s">
        <v>734</v>
      </c>
      <c r="G229" s="89" t="s">
        <v>122</v>
      </c>
      <c r="H229" s="64"/>
      <c r="I229" s="140">
        <v>592</v>
      </c>
      <c r="J229" s="141">
        <f>74900</f>
        <v>74900</v>
      </c>
      <c r="K229" s="108">
        <v>939</v>
      </c>
      <c r="L229" s="108">
        <f>74900</f>
        <v>74900</v>
      </c>
      <c r="M229" s="142">
        <v>5610</v>
      </c>
      <c r="N229" s="144"/>
      <c r="O229" s="99"/>
      <c r="P229" s="99"/>
      <c r="Q229" s="99"/>
      <c r="R229" s="99"/>
      <c r="S229" s="99"/>
      <c r="T229" s="99"/>
      <c r="U229" s="99"/>
      <c r="V229" s="99"/>
      <c r="W229" s="99"/>
      <c r="X229" s="108">
        <f>74900</f>
        <v>74900</v>
      </c>
      <c r="Y229" s="143"/>
      <c r="Z229" s="155">
        <f t="shared" si="136"/>
        <v>74900</v>
      </c>
      <c r="AA229" s="520">
        <f t="shared" si="135"/>
        <v>0</v>
      </c>
      <c r="AC229" s="83" t="s">
        <v>946</v>
      </c>
      <c r="AD229" s="88">
        <f t="shared" si="128"/>
        <v>592</v>
      </c>
      <c r="AE229" s="108">
        <f t="shared" si="129"/>
        <v>74900</v>
      </c>
      <c r="AF229" s="117">
        <v>43053</v>
      </c>
      <c r="AG229" s="109">
        <f t="shared" si="130"/>
        <v>939</v>
      </c>
      <c r="AH229" s="111">
        <f t="shared" si="131"/>
        <v>74900</v>
      </c>
      <c r="AI229" s="121">
        <v>43053</v>
      </c>
      <c r="AJ229" s="88" t="s">
        <v>594</v>
      </c>
      <c r="AK229" s="111">
        <f t="shared" si="132"/>
        <v>5610</v>
      </c>
      <c r="AL229" s="111"/>
      <c r="AM229" s="106"/>
    </row>
    <row r="230" spans="1:39" s="112" customFormat="1" ht="63.75">
      <c r="A230" s="254" t="s">
        <v>157</v>
      </c>
      <c r="B230" s="92">
        <f t="shared" si="138"/>
        <v>508700</v>
      </c>
      <c r="C230" s="89" t="s">
        <v>78</v>
      </c>
      <c r="D230" s="89" t="s">
        <v>158</v>
      </c>
      <c r="E230" s="89" t="s">
        <v>121</v>
      </c>
      <c r="F230" s="89" t="s">
        <v>734</v>
      </c>
      <c r="G230" s="89" t="s">
        <v>122</v>
      </c>
      <c r="H230" s="64"/>
      <c r="I230" s="140">
        <v>593</v>
      </c>
      <c r="J230" s="141">
        <f>508700</f>
        <v>508700</v>
      </c>
      <c r="K230" s="108">
        <v>941</v>
      </c>
      <c r="L230" s="108">
        <v>508700</v>
      </c>
      <c r="M230" s="145">
        <v>5651</v>
      </c>
      <c r="N230" s="144"/>
      <c r="O230" s="99"/>
      <c r="P230" s="99"/>
      <c r="Q230" s="99"/>
      <c r="R230" s="99"/>
      <c r="S230" s="99"/>
      <c r="T230" s="99"/>
      <c r="U230" s="99"/>
      <c r="V230" s="99"/>
      <c r="W230" s="99"/>
      <c r="X230" s="108">
        <f>508700</f>
        <v>508700</v>
      </c>
      <c r="Y230" s="143"/>
      <c r="Z230" s="155">
        <f t="shared" si="136"/>
        <v>508700</v>
      </c>
      <c r="AA230" s="520">
        <f t="shared" si="135"/>
        <v>0</v>
      </c>
      <c r="AC230" s="83" t="s">
        <v>943</v>
      </c>
      <c r="AD230" s="88">
        <f t="shared" si="128"/>
        <v>593</v>
      </c>
      <c r="AE230" s="108">
        <f t="shared" si="129"/>
        <v>508700</v>
      </c>
      <c r="AF230" s="117">
        <v>43053</v>
      </c>
      <c r="AG230" s="109">
        <f t="shared" si="130"/>
        <v>941</v>
      </c>
      <c r="AH230" s="111">
        <f t="shared" si="131"/>
        <v>508700</v>
      </c>
      <c r="AI230" s="121">
        <v>43053</v>
      </c>
      <c r="AJ230" s="88" t="s">
        <v>594</v>
      </c>
      <c r="AK230" s="111">
        <f t="shared" ref="AK230:AK232" si="139">M230</f>
        <v>5651</v>
      </c>
      <c r="AL230" s="111"/>
      <c r="AM230" s="106"/>
    </row>
    <row r="231" spans="1:39" s="112" customFormat="1" ht="87" customHeight="1">
      <c r="A231" s="254" t="s">
        <v>157</v>
      </c>
      <c r="B231" s="92">
        <f t="shared" si="138"/>
        <v>0</v>
      </c>
      <c r="C231" s="89" t="s">
        <v>78</v>
      </c>
      <c r="D231" s="89" t="s">
        <v>158</v>
      </c>
      <c r="E231" s="89" t="s">
        <v>121</v>
      </c>
      <c r="F231" s="89" t="s">
        <v>734</v>
      </c>
      <c r="G231" s="89" t="s">
        <v>122</v>
      </c>
      <c r="H231" s="64">
        <v>541</v>
      </c>
      <c r="I231" s="140">
        <v>618</v>
      </c>
      <c r="J231" s="141">
        <f>45000000-45000000</f>
        <v>0</v>
      </c>
      <c r="K231" s="108"/>
      <c r="L231" s="108"/>
      <c r="M231" s="142"/>
      <c r="N231" s="144"/>
      <c r="O231" s="99"/>
      <c r="P231" s="99"/>
      <c r="Q231" s="99"/>
      <c r="R231" s="99"/>
      <c r="S231" s="99"/>
      <c r="T231" s="99"/>
      <c r="U231" s="99"/>
      <c r="V231" s="99"/>
      <c r="W231" s="99"/>
      <c r="X231" s="99"/>
      <c r="Y231" s="143"/>
      <c r="Z231" s="155">
        <f t="shared" si="136"/>
        <v>0</v>
      </c>
      <c r="AA231" s="520">
        <f t="shared" si="135"/>
        <v>0</v>
      </c>
      <c r="AC231" s="83" t="s">
        <v>917</v>
      </c>
      <c r="AD231" s="88">
        <f t="shared" si="128"/>
        <v>618</v>
      </c>
      <c r="AE231" s="108">
        <f t="shared" si="129"/>
        <v>0</v>
      </c>
      <c r="AF231" s="117">
        <v>43056</v>
      </c>
      <c r="AG231" s="109">
        <f t="shared" si="130"/>
        <v>0</v>
      </c>
      <c r="AH231" s="111">
        <f t="shared" si="131"/>
        <v>0</v>
      </c>
      <c r="AI231" s="88"/>
      <c r="AJ231" s="88"/>
      <c r="AK231" s="111">
        <f t="shared" si="139"/>
        <v>0</v>
      </c>
      <c r="AL231" s="111"/>
      <c r="AM231" s="106"/>
    </row>
    <row r="232" spans="1:39" s="112" customFormat="1" ht="87" customHeight="1">
      <c r="A232" s="254" t="s">
        <v>157</v>
      </c>
      <c r="B232" s="92">
        <f t="shared" si="138"/>
        <v>508700</v>
      </c>
      <c r="C232" s="89" t="s">
        <v>78</v>
      </c>
      <c r="D232" s="89" t="s">
        <v>158</v>
      </c>
      <c r="E232" s="89" t="s">
        <v>121</v>
      </c>
      <c r="F232" s="89" t="s">
        <v>734</v>
      </c>
      <c r="G232" s="89" t="s">
        <v>122</v>
      </c>
      <c r="H232" s="64"/>
      <c r="I232" s="140">
        <v>807</v>
      </c>
      <c r="J232" s="141">
        <f>508700</f>
        <v>508700</v>
      </c>
      <c r="K232" s="108">
        <v>1125</v>
      </c>
      <c r="L232" s="108">
        <f>508700</f>
        <v>508700</v>
      </c>
      <c r="M232" s="142">
        <v>6845</v>
      </c>
      <c r="N232" s="144"/>
      <c r="O232" s="99"/>
      <c r="P232" s="99"/>
      <c r="Q232" s="99"/>
      <c r="R232" s="99"/>
      <c r="S232" s="99"/>
      <c r="T232" s="99"/>
      <c r="U232" s="99"/>
      <c r="V232" s="99"/>
      <c r="W232" s="99"/>
      <c r="X232" s="99"/>
      <c r="Y232" s="191">
        <f>508700</f>
        <v>508700</v>
      </c>
      <c r="Z232" s="155">
        <f t="shared" si="136"/>
        <v>508700</v>
      </c>
      <c r="AA232" s="520">
        <f t="shared" si="135"/>
        <v>0</v>
      </c>
      <c r="AC232" s="83" t="s">
        <v>1038</v>
      </c>
      <c r="AD232" s="88">
        <f t="shared" si="128"/>
        <v>807</v>
      </c>
      <c r="AE232" s="108">
        <f t="shared" si="129"/>
        <v>508700</v>
      </c>
      <c r="AF232" s="117"/>
      <c r="AG232" s="109">
        <f t="shared" si="130"/>
        <v>1125</v>
      </c>
      <c r="AH232" s="111">
        <f t="shared" si="131"/>
        <v>508700</v>
      </c>
      <c r="AI232" s="121">
        <v>43089</v>
      </c>
      <c r="AJ232" s="89" t="s">
        <v>594</v>
      </c>
      <c r="AK232" s="111">
        <f t="shared" si="139"/>
        <v>6845</v>
      </c>
      <c r="AL232" s="111"/>
      <c r="AM232" s="106"/>
    </row>
    <row r="233" spans="1:39" s="112" customFormat="1" ht="87" customHeight="1">
      <c r="A233" s="254" t="s">
        <v>157</v>
      </c>
      <c r="B233" s="92">
        <f t="shared" si="137"/>
        <v>557303</v>
      </c>
      <c r="C233" s="89" t="s">
        <v>78</v>
      </c>
      <c r="D233" s="89" t="s">
        <v>158</v>
      </c>
      <c r="E233" s="89" t="s">
        <v>121</v>
      </c>
      <c r="F233" s="89" t="s">
        <v>734</v>
      </c>
      <c r="G233" s="89" t="s">
        <v>122</v>
      </c>
      <c r="H233" s="64"/>
      <c r="I233" s="140">
        <v>826</v>
      </c>
      <c r="J233" s="141">
        <f>557303</f>
        <v>557303</v>
      </c>
      <c r="K233" s="108">
        <v>1229</v>
      </c>
      <c r="L233" s="108">
        <f>557303</f>
        <v>557303</v>
      </c>
      <c r="M233" s="157">
        <v>7310</v>
      </c>
      <c r="N233" s="144"/>
      <c r="O233" s="99"/>
      <c r="P233" s="99"/>
      <c r="Q233" s="99"/>
      <c r="R233" s="99"/>
      <c r="S233" s="99"/>
      <c r="T233" s="99"/>
      <c r="U233" s="99"/>
      <c r="V233" s="99"/>
      <c r="W233" s="99"/>
      <c r="X233" s="99"/>
      <c r="Y233" s="164"/>
      <c r="Z233" s="155">
        <f t="shared" si="136"/>
        <v>0</v>
      </c>
      <c r="AA233" s="520">
        <f t="shared" si="135"/>
        <v>557303</v>
      </c>
      <c r="AC233" s="83" t="s">
        <v>1039</v>
      </c>
      <c r="AD233" s="88">
        <f t="shared" si="128"/>
        <v>826</v>
      </c>
      <c r="AE233" s="108">
        <f t="shared" si="129"/>
        <v>557303</v>
      </c>
      <c r="AF233" s="117"/>
      <c r="AG233" s="109">
        <f t="shared" si="130"/>
        <v>1229</v>
      </c>
      <c r="AH233" s="111">
        <f t="shared" si="131"/>
        <v>557303</v>
      </c>
      <c r="AI233" s="121">
        <v>43097</v>
      </c>
      <c r="AJ233" s="89" t="s">
        <v>594</v>
      </c>
      <c r="AK233" s="111">
        <f t="shared" si="132"/>
        <v>7310</v>
      </c>
      <c r="AL233" s="111"/>
      <c r="AM233" s="106"/>
    </row>
    <row r="234" spans="1:39" s="116" customFormat="1" ht="23.25" customHeight="1">
      <c r="A234" s="255" t="s">
        <v>132</v>
      </c>
      <c r="B234" s="99">
        <f>B209-B210-B211-B212-B213-B214-B215-B216-B217-B218-B219-B220-B221-B222-B223-B224-B225-B226-B227-B228-B229-B230-B231-B232-B233</f>
        <v>86829912</v>
      </c>
      <c r="C234" s="99"/>
      <c r="D234" s="99"/>
      <c r="E234" s="99"/>
      <c r="F234" s="99"/>
      <c r="G234" s="164"/>
      <c r="H234" s="65"/>
      <c r="I234" s="99"/>
      <c r="J234" s="135">
        <f>SUM(J210:J233)</f>
        <v>726525176</v>
      </c>
      <c r="K234" s="99"/>
      <c r="L234" s="99">
        <f>SUM(L209:L233)</f>
        <v>726525176</v>
      </c>
      <c r="M234" s="136"/>
      <c r="N234" s="99">
        <f>SUM(N210:N218)</f>
        <v>0</v>
      </c>
      <c r="O234" s="99">
        <f t="shared" ref="O234:W234" si="140">SUM(O210:O233)</f>
        <v>2893333</v>
      </c>
      <c r="P234" s="99">
        <f t="shared" si="140"/>
        <v>17450000</v>
      </c>
      <c r="Q234" s="99">
        <f t="shared" si="140"/>
        <v>19700000</v>
      </c>
      <c r="R234" s="99">
        <f t="shared" si="140"/>
        <v>27830133</v>
      </c>
      <c r="S234" s="99">
        <f t="shared" si="140"/>
        <v>19700000</v>
      </c>
      <c r="T234" s="99">
        <f t="shared" si="140"/>
        <v>21897333</v>
      </c>
      <c r="U234" s="99">
        <f t="shared" si="140"/>
        <v>15815866</v>
      </c>
      <c r="V234" s="99">
        <f t="shared" si="140"/>
        <v>25728599</v>
      </c>
      <c r="W234" s="99">
        <f t="shared" si="140"/>
        <v>24469899</v>
      </c>
      <c r="X234" s="99">
        <f>SUM(X210:X233)</f>
        <v>27653421</v>
      </c>
      <c r="Y234" s="99">
        <f>SUM(Y210:Y233)</f>
        <v>61024225</v>
      </c>
      <c r="Z234" s="99">
        <f t="shared" ref="Z234" si="141">SUM(Z210:Z233)</f>
        <v>264162809</v>
      </c>
      <c r="AA234" s="523">
        <f>SUM(AA209:AA233)</f>
        <v>462362367</v>
      </c>
      <c r="AC234" s="100"/>
      <c r="AD234" s="88"/>
      <c r="AE234" s="99">
        <f>SUM(AE210:AE218)</f>
        <v>253631877</v>
      </c>
      <c r="AF234" s="118"/>
      <c r="AG234" s="109"/>
      <c r="AH234" s="99">
        <f>SUM(AH210:AH218)</f>
        <v>253631877</v>
      </c>
      <c r="AI234" s="54"/>
      <c r="AJ234" s="54"/>
      <c r="AK234" s="101">
        <f>M234</f>
        <v>0</v>
      </c>
      <c r="AL234" s="101"/>
      <c r="AM234" s="99">
        <f>SUM(AM210:AM218)</f>
        <v>0</v>
      </c>
    </row>
    <row r="235" spans="1:39" s="112" customFormat="1" ht="63.75">
      <c r="A235" s="252" t="s">
        <v>159</v>
      </c>
      <c r="B235" s="54">
        <f>1200000000+117102404+210994912+321000000+52480771-94000000-85000000</f>
        <v>1722578087</v>
      </c>
      <c r="C235" s="88" t="s">
        <v>78</v>
      </c>
      <c r="D235" s="88" t="s">
        <v>160</v>
      </c>
      <c r="E235" s="88" t="s">
        <v>121</v>
      </c>
      <c r="F235" s="88" t="s">
        <v>161</v>
      </c>
      <c r="G235" s="88" t="s">
        <v>122</v>
      </c>
      <c r="H235" s="65"/>
      <c r="I235" s="134"/>
      <c r="J235" s="135"/>
      <c r="K235" s="99"/>
      <c r="L235" s="99"/>
      <c r="M235" s="142"/>
      <c r="N235" s="137"/>
      <c r="O235" s="54"/>
      <c r="P235" s="54"/>
      <c r="Q235" s="54"/>
      <c r="R235" s="54"/>
      <c r="S235" s="54"/>
      <c r="T235" s="54"/>
      <c r="U235" s="54"/>
      <c r="V235" s="54"/>
      <c r="W235" s="54"/>
      <c r="X235" s="54"/>
      <c r="Y235" s="136"/>
      <c r="Z235" s="155">
        <f>SUM(N235:Y235)</f>
        <v>0</v>
      </c>
      <c r="AA235" s="520">
        <f>L235-Z235</f>
        <v>0</v>
      </c>
      <c r="AC235" s="83"/>
      <c r="AD235" s="88">
        <f t="shared" ref="AD235:AD266" si="142">I235</f>
        <v>0</v>
      </c>
      <c r="AE235" s="111">
        <f t="shared" ref="AE235:AE266" si="143">J235</f>
        <v>0</v>
      </c>
      <c r="AF235" s="117"/>
      <c r="AG235" s="109">
        <f t="shared" ref="AG235:AG266" si="144">K235</f>
        <v>0</v>
      </c>
      <c r="AH235" s="111">
        <f t="shared" ref="AH235:AH266" si="145">L235</f>
        <v>0</v>
      </c>
      <c r="AI235" s="88"/>
      <c r="AJ235" s="88"/>
      <c r="AK235" s="111">
        <f>M235</f>
        <v>0</v>
      </c>
      <c r="AL235" s="111"/>
      <c r="AM235" s="101">
        <f>AE235-AH235</f>
        <v>0</v>
      </c>
    </row>
    <row r="236" spans="1:39" s="112" customFormat="1" ht="63.75">
      <c r="A236" s="254" t="s">
        <v>159</v>
      </c>
      <c r="B236" s="92">
        <f>J236</f>
        <v>63066667</v>
      </c>
      <c r="C236" s="88" t="s">
        <v>78</v>
      </c>
      <c r="D236" s="88" t="s">
        <v>160</v>
      </c>
      <c r="E236" s="88" t="s">
        <v>121</v>
      </c>
      <c r="F236" s="88" t="s">
        <v>161</v>
      </c>
      <c r="G236" s="88" t="s">
        <v>122</v>
      </c>
      <c r="H236" s="64">
        <v>212</v>
      </c>
      <c r="I236" s="140" t="s">
        <v>1346</v>
      </c>
      <c r="J236" s="141">
        <f>66183975-3117308+2750000-2750000</f>
        <v>63066667</v>
      </c>
      <c r="K236" s="108" t="s">
        <v>1347</v>
      </c>
      <c r="L236" s="108">
        <f>64350000+1833975-1833975-1283333</f>
        <v>63066667</v>
      </c>
      <c r="M236" s="142">
        <v>9</v>
      </c>
      <c r="N236" s="137"/>
      <c r="O236" s="89">
        <f>2566667</f>
        <v>2566667</v>
      </c>
      <c r="P236" s="89">
        <v>5500000</v>
      </c>
      <c r="Q236" s="89">
        <v>5500000</v>
      </c>
      <c r="R236" s="89">
        <v>5500000</v>
      </c>
      <c r="S236" s="89">
        <f>5500000</f>
        <v>5500000</v>
      </c>
      <c r="T236" s="89">
        <v>5500000</v>
      </c>
      <c r="U236" s="89">
        <f>5500000</f>
        <v>5500000</v>
      </c>
      <c r="V236" s="89">
        <f>5500000</f>
        <v>5500000</v>
      </c>
      <c r="W236" s="89">
        <f>5500000</f>
        <v>5500000</v>
      </c>
      <c r="X236" s="89">
        <f>5500000</f>
        <v>5500000</v>
      </c>
      <c r="Y236" s="142">
        <f>5500000+5500000</f>
        <v>11000000</v>
      </c>
      <c r="Z236" s="155">
        <f>SUM(N236:Y236)</f>
        <v>63066667</v>
      </c>
      <c r="AA236" s="520">
        <f t="shared" ref="AA236:AA286" si="146">L236-Z236</f>
        <v>0</v>
      </c>
      <c r="AC236" s="83" t="s">
        <v>273</v>
      </c>
      <c r="AD236" s="88" t="str">
        <f t="shared" si="142"/>
        <v>18 - 670</v>
      </c>
      <c r="AE236" s="111">
        <f t="shared" si="143"/>
        <v>63066667</v>
      </c>
      <c r="AF236" s="122" t="s">
        <v>960</v>
      </c>
      <c r="AG236" s="109" t="str">
        <f t="shared" si="144"/>
        <v>50-51</v>
      </c>
      <c r="AH236" s="111">
        <f t="shared" si="145"/>
        <v>63066667</v>
      </c>
      <c r="AI236" s="121">
        <v>42752</v>
      </c>
      <c r="AJ236" s="88" t="s">
        <v>304</v>
      </c>
      <c r="AK236" s="111">
        <f>M236</f>
        <v>9</v>
      </c>
      <c r="AL236" s="111">
        <v>79688463</v>
      </c>
      <c r="AM236" s="101">
        <f>AE236-AH236</f>
        <v>0</v>
      </c>
    </row>
    <row r="237" spans="1:39" s="112" customFormat="1" ht="63.75">
      <c r="A237" s="254" t="s">
        <v>159</v>
      </c>
      <c r="B237" s="92">
        <f t="shared" ref="B237:B271" si="147">J237</f>
        <v>60132500</v>
      </c>
      <c r="C237" s="88" t="s">
        <v>78</v>
      </c>
      <c r="D237" s="88" t="s">
        <v>160</v>
      </c>
      <c r="E237" s="88" t="s">
        <v>121</v>
      </c>
      <c r="F237" s="88" t="s">
        <v>161</v>
      </c>
      <c r="G237" s="88" t="s">
        <v>122</v>
      </c>
      <c r="H237" s="64">
        <v>219</v>
      </c>
      <c r="I237" s="140" t="s">
        <v>962</v>
      </c>
      <c r="J237" s="141">
        <f>56333516-1561016+5360000</f>
        <v>60132500</v>
      </c>
      <c r="K237" s="108" t="s">
        <v>1348</v>
      </c>
      <c r="L237" s="108">
        <f>54772500+1561016-1561016+5360000</f>
        <v>60132500</v>
      </c>
      <c r="M237" s="142">
        <v>13</v>
      </c>
      <c r="N237" s="144"/>
      <c r="O237" s="108">
        <v>2345000</v>
      </c>
      <c r="P237" s="108">
        <v>5025000</v>
      </c>
      <c r="Q237" s="108">
        <v>5025000</v>
      </c>
      <c r="R237" s="108">
        <v>5025000</v>
      </c>
      <c r="S237" s="108">
        <f>5025000</f>
        <v>5025000</v>
      </c>
      <c r="T237" s="108">
        <v>5025000</v>
      </c>
      <c r="U237" s="108">
        <f t="shared" ref="U237:W238" si="148">5025000</f>
        <v>5025000</v>
      </c>
      <c r="V237" s="108">
        <f t="shared" si="148"/>
        <v>5025000</v>
      </c>
      <c r="W237" s="108">
        <f t="shared" si="148"/>
        <v>5025000</v>
      </c>
      <c r="X237" s="108">
        <f>5025000</f>
        <v>5025000</v>
      </c>
      <c r="Y237" s="157">
        <f>5025000+2177500+2847500</f>
        <v>10050000</v>
      </c>
      <c r="Z237" s="155">
        <f t="shared" ref="Z237:Z286" si="149">SUM(N237:Y237)</f>
        <v>57620000</v>
      </c>
      <c r="AA237" s="520">
        <f t="shared" si="146"/>
        <v>2512500</v>
      </c>
      <c r="AC237" s="83" t="s">
        <v>274</v>
      </c>
      <c r="AD237" s="88" t="str">
        <f t="shared" si="142"/>
        <v>19 - 673</v>
      </c>
      <c r="AE237" s="111">
        <f t="shared" si="143"/>
        <v>60132500</v>
      </c>
      <c r="AF237" s="117">
        <v>42747</v>
      </c>
      <c r="AG237" s="109" t="str">
        <f t="shared" si="144"/>
        <v>40-41 - 1070</v>
      </c>
      <c r="AH237" s="111">
        <f t="shared" si="145"/>
        <v>60132500</v>
      </c>
      <c r="AI237" s="121">
        <v>42752</v>
      </c>
      <c r="AJ237" s="88" t="s">
        <v>305</v>
      </c>
      <c r="AK237" s="111">
        <f t="shared" ref="AK237:AK304" si="150">M237</f>
        <v>13</v>
      </c>
      <c r="AL237" s="111">
        <v>65634460</v>
      </c>
      <c r="AM237" s="101">
        <f t="shared" ref="AM237:AM304" si="151">AE237-AH237</f>
        <v>0</v>
      </c>
    </row>
    <row r="238" spans="1:39" s="112" customFormat="1" ht="63.75">
      <c r="A238" s="254" t="s">
        <v>159</v>
      </c>
      <c r="B238" s="92">
        <f t="shared" si="147"/>
        <v>56782500</v>
      </c>
      <c r="C238" s="88" t="s">
        <v>78</v>
      </c>
      <c r="D238" s="88" t="s">
        <v>160</v>
      </c>
      <c r="E238" s="88" t="s">
        <v>121</v>
      </c>
      <c r="F238" s="88" t="s">
        <v>161</v>
      </c>
      <c r="G238" s="88" t="s">
        <v>122</v>
      </c>
      <c r="H238" s="64">
        <v>220</v>
      </c>
      <c r="I238" s="140" t="s">
        <v>1078</v>
      </c>
      <c r="J238" s="141">
        <f>56333516-1561016+2010000</f>
        <v>56782500</v>
      </c>
      <c r="K238" s="108" t="s">
        <v>1349</v>
      </c>
      <c r="L238" s="108">
        <f>54772500+1561016-1561016+2010000</f>
        <v>56782500</v>
      </c>
      <c r="M238" s="142">
        <v>25</v>
      </c>
      <c r="N238" s="144"/>
      <c r="O238" s="108">
        <v>2177500</v>
      </c>
      <c r="P238" s="108">
        <v>5025000</v>
      </c>
      <c r="Q238" s="108">
        <v>4690000</v>
      </c>
      <c r="R238" s="108">
        <v>2345000</v>
      </c>
      <c r="S238" s="108">
        <f>5025000</f>
        <v>5025000</v>
      </c>
      <c r="T238" s="108">
        <v>5025000</v>
      </c>
      <c r="U238" s="108">
        <f t="shared" si="148"/>
        <v>5025000</v>
      </c>
      <c r="V238" s="108">
        <f t="shared" si="148"/>
        <v>5025000</v>
      </c>
      <c r="W238" s="108">
        <f t="shared" si="148"/>
        <v>5025000</v>
      </c>
      <c r="X238" s="108">
        <f>5025000</f>
        <v>5025000</v>
      </c>
      <c r="Y238" s="157">
        <f>5025000+5025000</f>
        <v>10050000</v>
      </c>
      <c r="Z238" s="155">
        <f t="shared" si="149"/>
        <v>54437500</v>
      </c>
      <c r="AA238" s="520">
        <f t="shared" si="146"/>
        <v>2345000</v>
      </c>
      <c r="AC238" s="83" t="s">
        <v>274</v>
      </c>
      <c r="AD238" s="88" t="str">
        <f t="shared" si="142"/>
        <v>20 - 742</v>
      </c>
      <c r="AE238" s="111">
        <f t="shared" si="143"/>
        <v>56782500</v>
      </c>
      <c r="AF238" s="117">
        <v>42747</v>
      </c>
      <c r="AG238" s="109" t="str">
        <f t="shared" si="144"/>
        <v>67-68-1122</v>
      </c>
      <c r="AH238" s="111">
        <f t="shared" si="145"/>
        <v>56782500</v>
      </c>
      <c r="AI238" s="121">
        <v>42753</v>
      </c>
      <c r="AJ238" s="88" t="s">
        <v>306</v>
      </c>
      <c r="AK238" s="111">
        <f t="shared" si="150"/>
        <v>25</v>
      </c>
      <c r="AL238" s="111">
        <v>80032207</v>
      </c>
      <c r="AM238" s="101">
        <f t="shared" si="151"/>
        <v>0</v>
      </c>
    </row>
    <row r="239" spans="1:39" s="112" customFormat="1" ht="63.75">
      <c r="A239" s="254" t="s">
        <v>159</v>
      </c>
      <c r="B239" s="92">
        <f t="shared" si="147"/>
        <v>61846270</v>
      </c>
      <c r="C239" s="88" t="s">
        <v>78</v>
      </c>
      <c r="D239" s="88" t="s">
        <v>160</v>
      </c>
      <c r="E239" s="88" t="s">
        <v>121</v>
      </c>
      <c r="F239" s="88" t="s">
        <v>161</v>
      </c>
      <c r="G239" s="88" t="s">
        <v>122</v>
      </c>
      <c r="H239" s="64">
        <v>224</v>
      </c>
      <c r="I239" s="140" t="s">
        <v>1095</v>
      </c>
      <c r="J239" s="141">
        <f>56333516-5+5512759</f>
        <v>61846270</v>
      </c>
      <c r="K239" s="108" t="s">
        <v>1197</v>
      </c>
      <c r="L239" s="108">
        <f>56333516-5+5512759</f>
        <v>61846270</v>
      </c>
      <c r="M239" s="142">
        <v>24</v>
      </c>
      <c r="N239" s="144"/>
      <c r="O239" s="108">
        <v>2411832</v>
      </c>
      <c r="P239" s="108">
        <v>5168212</v>
      </c>
      <c r="Q239" s="108">
        <v>5168212</v>
      </c>
      <c r="R239" s="108">
        <v>5168212</v>
      </c>
      <c r="S239" s="108">
        <f>5168212</f>
        <v>5168212</v>
      </c>
      <c r="T239" s="108">
        <v>5168212</v>
      </c>
      <c r="U239" s="108">
        <f>5168212</f>
        <v>5168212</v>
      </c>
      <c r="V239" s="108">
        <f>5168212</f>
        <v>5168212</v>
      </c>
      <c r="W239" s="108">
        <f>5168212</f>
        <v>5168212</v>
      </c>
      <c r="X239" s="108">
        <f>5168212</f>
        <v>5168212</v>
      </c>
      <c r="Y239" s="157">
        <f>5168212+2239559+2928653</f>
        <v>10336424</v>
      </c>
      <c r="Z239" s="155">
        <f t="shared" si="149"/>
        <v>59262164</v>
      </c>
      <c r="AA239" s="520">
        <f t="shared" si="146"/>
        <v>2584106</v>
      </c>
      <c r="AC239" s="83" t="s">
        <v>275</v>
      </c>
      <c r="AD239" s="88" t="str">
        <f t="shared" si="142"/>
        <v>21 - 697</v>
      </c>
      <c r="AE239" s="111">
        <f t="shared" si="143"/>
        <v>61846270</v>
      </c>
      <c r="AF239" s="117">
        <v>42747</v>
      </c>
      <c r="AG239" s="109" t="str">
        <f t="shared" si="144"/>
        <v>64 - 1071</v>
      </c>
      <c r="AH239" s="111">
        <f t="shared" si="145"/>
        <v>61846270</v>
      </c>
      <c r="AI239" s="121">
        <v>42752</v>
      </c>
      <c r="AJ239" s="88" t="s">
        <v>307</v>
      </c>
      <c r="AK239" s="111">
        <f t="shared" si="150"/>
        <v>24</v>
      </c>
      <c r="AL239" s="111">
        <v>52708610</v>
      </c>
      <c r="AM239" s="101">
        <f t="shared" si="151"/>
        <v>0</v>
      </c>
    </row>
    <row r="240" spans="1:39" s="112" customFormat="1" ht="63.75">
      <c r="A240" s="254" t="s">
        <v>159</v>
      </c>
      <c r="B240" s="92">
        <f t="shared" si="147"/>
        <v>71093333</v>
      </c>
      <c r="C240" s="88" t="s">
        <v>78</v>
      </c>
      <c r="D240" s="88" t="s">
        <v>160</v>
      </c>
      <c r="E240" s="88" t="s">
        <v>121</v>
      </c>
      <c r="F240" s="88" t="s">
        <v>161</v>
      </c>
      <c r="G240" s="88" t="s">
        <v>122</v>
      </c>
      <c r="H240" s="64">
        <v>226</v>
      </c>
      <c r="I240" s="140" t="s">
        <v>1350</v>
      </c>
      <c r="J240" s="141">
        <f>75882730-4789397+3100000-3100000</f>
        <v>71093333</v>
      </c>
      <c r="K240" s="108" t="s">
        <v>1351</v>
      </c>
      <c r="L240" s="108">
        <f>74104229-3010896+1778501+247659-1778501-247659</f>
        <v>71093333</v>
      </c>
      <c r="M240" s="142">
        <v>12</v>
      </c>
      <c r="N240" s="144"/>
      <c r="O240" s="108">
        <v>2893333</v>
      </c>
      <c r="P240" s="108">
        <v>6200000</v>
      </c>
      <c r="Q240" s="108">
        <v>6200000</v>
      </c>
      <c r="R240" s="108">
        <f>6200000</f>
        <v>6200000</v>
      </c>
      <c r="S240" s="108">
        <f>6200000</f>
        <v>6200000</v>
      </c>
      <c r="T240" s="108">
        <v>5373333</v>
      </c>
      <c r="U240" s="108">
        <f>5580000</f>
        <v>5580000</v>
      </c>
      <c r="V240" s="108">
        <v>6200000</v>
      </c>
      <c r="W240" s="108">
        <f>4753333</f>
        <v>4753333</v>
      </c>
      <c r="X240" s="108">
        <f>6200000</f>
        <v>6200000</v>
      </c>
      <c r="Y240" s="157">
        <f>6200000+6200000</f>
        <v>12400000</v>
      </c>
      <c r="Z240" s="155">
        <f t="shared" si="149"/>
        <v>68199999</v>
      </c>
      <c r="AA240" s="520">
        <f t="shared" si="146"/>
        <v>2893334</v>
      </c>
      <c r="AC240" s="83" t="s">
        <v>276</v>
      </c>
      <c r="AD240" s="88" t="str">
        <f t="shared" si="142"/>
        <v>22 - 672</v>
      </c>
      <c r="AE240" s="111">
        <f t="shared" si="143"/>
        <v>71093333</v>
      </c>
      <c r="AF240" s="122" t="s">
        <v>960</v>
      </c>
      <c r="AG240" s="109" t="str">
        <f t="shared" si="144"/>
        <v>34-35-161</v>
      </c>
      <c r="AH240" s="111">
        <f t="shared" si="145"/>
        <v>71093333</v>
      </c>
      <c r="AI240" s="121">
        <v>42752</v>
      </c>
      <c r="AJ240" s="88" t="s">
        <v>308</v>
      </c>
      <c r="AK240" s="111">
        <f t="shared" si="150"/>
        <v>12</v>
      </c>
      <c r="AL240" s="111">
        <v>46450640</v>
      </c>
      <c r="AM240" s="101">
        <f t="shared" si="151"/>
        <v>0</v>
      </c>
    </row>
    <row r="241" spans="1:39" s="112" customFormat="1" ht="63.75">
      <c r="A241" s="254" t="s">
        <v>159</v>
      </c>
      <c r="B241" s="92">
        <f t="shared" si="147"/>
        <v>0</v>
      </c>
      <c r="C241" s="88" t="s">
        <v>78</v>
      </c>
      <c r="D241" s="88" t="s">
        <v>160</v>
      </c>
      <c r="E241" s="88" t="s">
        <v>121</v>
      </c>
      <c r="F241" s="88" t="s">
        <v>161</v>
      </c>
      <c r="G241" s="88" t="s">
        <v>122</v>
      </c>
      <c r="H241" s="64">
        <v>241</v>
      </c>
      <c r="I241" s="140">
        <v>26</v>
      </c>
      <c r="J241" s="141">
        <f>3178065-3178065</f>
        <v>0</v>
      </c>
      <c r="K241" s="108"/>
      <c r="L241" s="108"/>
      <c r="M241" s="142"/>
      <c r="N241" s="144"/>
      <c r="O241" s="99"/>
      <c r="P241" s="108"/>
      <c r="Q241" s="108"/>
      <c r="R241" s="108"/>
      <c r="S241" s="108"/>
      <c r="T241" s="108"/>
      <c r="U241" s="108"/>
      <c r="V241" s="108"/>
      <c r="W241" s="108"/>
      <c r="X241" s="108"/>
      <c r="Y241" s="157"/>
      <c r="Z241" s="155">
        <f t="shared" si="149"/>
        <v>0</v>
      </c>
      <c r="AA241" s="520">
        <f t="shared" si="146"/>
        <v>0</v>
      </c>
      <c r="AC241" s="83" t="s">
        <v>279</v>
      </c>
      <c r="AD241" s="88">
        <f t="shared" si="142"/>
        <v>26</v>
      </c>
      <c r="AE241" s="111">
        <f t="shared" si="143"/>
        <v>0</v>
      </c>
      <c r="AF241" s="117">
        <v>42747</v>
      </c>
      <c r="AG241" s="109">
        <f t="shared" si="144"/>
        <v>0</v>
      </c>
      <c r="AH241" s="111">
        <f t="shared" si="145"/>
        <v>0</v>
      </c>
      <c r="AI241" s="88"/>
      <c r="AJ241" s="88"/>
      <c r="AK241" s="111">
        <f t="shared" si="150"/>
        <v>0</v>
      </c>
      <c r="AL241" s="111"/>
      <c r="AM241" s="101">
        <f t="shared" si="151"/>
        <v>0</v>
      </c>
    </row>
    <row r="242" spans="1:39" s="112" customFormat="1" ht="63.75">
      <c r="A242" s="254" t="s">
        <v>159</v>
      </c>
      <c r="B242" s="92">
        <f t="shared" si="147"/>
        <v>26289102</v>
      </c>
      <c r="C242" s="88" t="s">
        <v>78</v>
      </c>
      <c r="D242" s="88" t="s">
        <v>160</v>
      </c>
      <c r="E242" s="88" t="s">
        <v>121</v>
      </c>
      <c r="F242" s="88" t="s">
        <v>161</v>
      </c>
      <c r="G242" s="88" t="s">
        <v>122</v>
      </c>
      <c r="H242" s="64">
        <v>237</v>
      </c>
      <c r="I242" s="140">
        <v>15</v>
      </c>
      <c r="J242" s="141">
        <f>27038341-749239</f>
        <v>26289102</v>
      </c>
      <c r="K242" s="108" t="s">
        <v>1352</v>
      </c>
      <c r="L242" s="108">
        <f>26289102+749239-749239</f>
        <v>26289102</v>
      </c>
      <c r="M242" s="142">
        <v>7</v>
      </c>
      <c r="N242" s="144"/>
      <c r="O242" s="108">
        <v>2079364</v>
      </c>
      <c r="P242" s="108">
        <v>4455780</v>
      </c>
      <c r="Q242" s="108">
        <v>4455780</v>
      </c>
      <c r="R242" s="108">
        <v>4455780</v>
      </c>
      <c r="S242" s="108">
        <f>4455780</f>
        <v>4455780</v>
      </c>
      <c r="T242" s="108">
        <v>4455780</v>
      </c>
      <c r="U242" s="108"/>
      <c r="V242" s="108">
        <f>1930838</f>
        <v>1930838</v>
      </c>
      <c r="W242" s="108"/>
      <c r="X242" s="108"/>
      <c r="Y242" s="157"/>
      <c r="Z242" s="155">
        <f t="shared" si="149"/>
        <v>26289102</v>
      </c>
      <c r="AA242" s="520">
        <f t="shared" si="146"/>
        <v>0</v>
      </c>
      <c r="AC242" s="83" t="s">
        <v>270</v>
      </c>
      <c r="AD242" s="88">
        <f t="shared" si="142"/>
        <v>15</v>
      </c>
      <c r="AE242" s="111">
        <f t="shared" si="143"/>
        <v>26289102</v>
      </c>
      <c r="AF242" s="117">
        <v>42747</v>
      </c>
      <c r="AG242" s="109" t="str">
        <f t="shared" si="144"/>
        <v>32-33</v>
      </c>
      <c r="AH242" s="111">
        <f t="shared" si="145"/>
        <v>26289102</v>
      </c>
      <c r="AI242" s="121">
        <v>42751</v>
      </c>
      <c r="AJ242" s="88" t="s">
        <v>301</v>
      </c>
      <c r="AK242" s="111">
        <f t="shared" si="150"/>
        <v>7</v>
      </c>
      <c r="AL242" s="111">
        <v>1030569741</v>
      </c>
      <c r="AM242" s="101">
        <f t="shared" si="151"/>
        <v>0</v>
      </c>
    </row>
    <row r="243" spans="1:39" s="112" customFormat="1" ht="63.75">
      <c r="A243" s="254" t="s">
        <v>159</v>
      </c>
      <c r="B243" s="92">
        <f t="shared" si="147"/>
        <v>70680000</v>
      </c>
      <c r="C243" s="88" t="s">
        <v>78</v>
      </c>
      <c r="D243" s="88" t="s">
        <v>160</v>
      </c>
      <c r="E243" s="88" t="s">
        <v>121</v>
      </c>
      <c r="F243" s="88" t="s">
        <v>161</v>
      </c>
      <c r="G243" s="88" t="s">
        <v>122</v>
      </c>
      <c r="H243" s="64">
        <v>208</v>
      </c>
      <c r="I243" s="140" t="s">
        <v>961</v>
      </c>
      <c r="J243" s="141">
        <f>68230690-1890690+4340000</f>
        <v>70680000</v>
      </c>
      <c r="K243" s="108" t="s">
        <v>1353</v>
      </c>
      <c r="L243" s="108">
        <f>66340000+1890690-1890690+4340000</f>
        <v>70680000</v>
      </c>
      <c r="M243" s="142">
        <v>11</v>
      </c>
      <c r="N243" s="144"/>
      <c r="O243" s="108">
        <v>2893333</v>
      </c>
      <c r="P243" s="108">
        <v>6200000</v>
      </c>
      <c r="Q243" s="108">
        <v>6200000</v>
      </c>
      <c r="R243" s="108">
        <v>6200000</v>
      </c>
      <c r="S243" s="108">
        <f>6200000</f>
        <v>6200000</v>
      </c>
      <c r="T243" s="108">
        <v>6200000</v>
      </c>
      <c r="U243" s="108">
        <f>6200000</f>
        <v>6200000</v>
      </c>
      <c r="V243" s="108">
        <f>2686667</f>
        <v>2686667</v>
      </c>
      <c r="W243" s="108">
        <f>6200000</f>
        <v>6200000</v>
      </c>
      <c r="X243" s="108">
        <f>6200000</f>
        <v>6200000</v>
      </c>
      <c r="Y243" s="157">
        <f>6200000+4960000+1240000</f>
        <v>12400000</v>
      </c>
      <c r="Z243" s="155">
        <f t="shared" si="149"/>
        <v>67580000</v>
      </c>
      <c r="AA243" s="520">
        <f t="shared" si="146"/>
        <v>3100000</v>
      </c>
      <c r="AC243" s="83" t="s">
        <v>281</v>
      </c>
      <c r="AD243" s="88" t="str">
        <f t="shared" si="142"/>
        <v>28 - 671</v>
      </c>
      <c r="AE243" s="111">
        <f t="shared" si="143"/>
        <v>70680000</v>
      </c>
      <c r="AF243" s="122" t="s">
        <v>960</v>
      </c>
      <c r="AG243" s="109" t="str">
        <f t="shared" si="144"/>
        <v>38-39-1110</v>
      </c>
      <c r="AH243" s="111">
        <f t="shared" si="145"/>
        <v>70680000</v>
      </c>
      <c r="AI243" s="121">
        <v>42752</v>
      </c>
      <c r="AJ243" s="88" t="s">
        <v>311</v>
      </c>
      <c r="AK243" s="111">
        <f t="shared" si="150"/>
        <v>11</v>
      </c>
      <c r="AL243" s="111">
        <v>52694229</v>
      </c>
      <c r="AM243" s="101">
        <f t="shared" si="151"/>
        <v>0</v>
      </c>
    </row>
    <row r="244" spans="1:39" s="112" customFormat="1" ht="63.75">
      <c r="A244" s="254" t="s">
        <v>159</v>
      </c>
      <c r="B244" s="92">
        <f t="shared" si="147"/>
        <v>93753333</v>
      </c>
      <c r="C244" s="88" t="s">
        <v>78</v>
      </c>
      <c r="D244" s="88" t="s">
        <v>160</v>
      </c>
      <c r="E244" s="88" t="s">
        <v>121</v>
      </c>
      <c r="F244" s="88" t="s">
        <v>161</v>
      </c>
      <c r="G244" s="88" t="s">
        <v>122</v>
      </c>
      <c r="H244" s="64">
        <v>215</v>
      </c>
      <c r="I244" s="140" t="s">
        <v>1354</v>
      </c>
      <c r="J244" s="141">
        <f>98112043-4358710+4100000-4100000</f>
        <v>93753333</v>
      </c>
      <c r="K244" s="108" t="s">
        <v>1355</v>
      </c>
      <c r="L244" s="108">
        <f>95393333+2718710-2718710-1640000</f>
        <v>93753333</v>
      </c>
      <c r="M244" s="142">
        <v>23</v>
      </c>
      <c r="N244" s="144"/>
      <c r="O244" s="108">
        <v>3553333</v>
      </c>
      <c r="P244" s="108">
        <v>8200000</v>
      </c>
      <c r="Q244" s="108">
        <v>8200000</v>
      </c>
      <c r="R244" s="108">
        <v>8200000</v>
      </c>
      <c r="S244" s="108">
        <f>8200000</f>
        <v>8200000</v>
      </c>
      <c r="T244" s="108">
        <v>8200000</v>
      </c>
      <c r="U244" s="108">
        <f>8200000</f>
        <v>8200000</v>
      </c>
      <c r="V244" s="108">
        <f>8200000</f>
        <v>8200000</v>
      </c>
      <c r="W244" s="108">
        <f>8200000</f>
        <v>8200000</v>
      </c>
      <c r="X244" s="108">
        <f>8200000</f>
        <v>8200000</v>
      </c>
      <c r="Y244" s="157">
        <f>8200000+8200000</f>
        <v>16400000</v>
      </c>
      <c r="Z244" s="155">
        <f t="shared" si="149"/>
        <v>93753333</v>
      </c>
      <c r="AA244" s="520">
        <f t="shared" si="146"/>
        <v>0</v>
      </c>
      <c r="AC244" s="83" t="s">
        <v>280</v>
      </c>
      <c r="AD244" s="88" t="str">
        <f t="shared" si="142"/>
        <v>27 - 674</v>
      </c>
      <c r="AE244" s="111">
        <f t="shared" si="143"/>
        <v>93753333</v>
      </c>
      <c r="AF244" s="117">
        <v>42747</v>
      </c>
      <c r="AG244" s="109" t="str">
        <f t="shared" si="144"/>
        <v>62-63</v>
      </c>
      <c r="AH244" s="111">
        <f t="shared" si="145"/>
        <v>93753333</v>
      </c>
      <c r="AI244" s="121">
        <v>42752</v>
      </c>
      <c r="AJ244" s="88" t="s">
        <v>310</v>
      </c>
      <c r="AK244" s="111">
        <f t="shared" si="150"/>
        <v>23</v>
      </c>
      <c r="AL244" s="111">
        <v>39785559</v>
      </c>
      <c r="AM244" s="101">
        <f t="shared" si="151"/>
        <v>0</v>
      </c>
    </row>
    <row r="245" spans="1:39" s="112" customFormat="1" ht="63.75">
      <c r="A245" s="254" t="s">
        <v>159</v>
      </c>
      <c r="B245" s="92">
        <f t="shared" si="147"/>
        <v>26220000</v>
      </c>
      <c r="C245" s="88" t="s">
        <v>78</v>
      </c>
      <c r="D245" s="88" t="s">
        <v>160</v>
      </c>
      <c r="E245" s="88" t="s">
        <v>121</v>
      </c>
      <c r="F245" s="88" t="s">
        <v>161</v>
      </c>
      <c r="G245" s="88" t="s">
        <v>122</v>
      </c>
      <c r="H245" s="64">
        <v>223</v>
      </c>
      <c r="I245" s="140">
        <v>112</v>
      </c>
      <c r="J245" s="141">
        <f>26967270-747270</f>
        <v>26220000</v>
      </c>
      <c r="K245" s="108" t="s">
        <v>1356</v>
      </c>
      <c r="L245" s="108">
        <f>26220000+747270-747270</f>
        <v>26220000</v>
      </c>
      <c r="M245" s="142">
        <v>57</v>
      </c>
      <c r="N245" s="144"/>
      <c r="O245" s="108"/>
      <c r="P245" s="108">
        <v>4600000</v>
      </c>
      <c r="Q245" s="108">
        <v>4600000</v>
      </c>
      <c r="R245" s="108">
        <v>4600000</v>
      </c>
      <c r="S245" s="108">
        <f>4600000</f>
        <v>4600000</v>
      </c>
      <c r="T245" s="108">
        <v>4600000</v>
      </c>
      <c r="U245" s="108">
        <f>3220000</f>
        <v>3220000</v>
      </c>
      <c r="V245" s="108"/>
      <c r="W245" s="108"/>
      <c r="X245" s="108"/>
      <c r="Y245" s="157"/>
      <c r="Z245" s="155">
        <f t="shared" si="149"/>
        <v>26220000</v>
      </c>
      <c r="AA245" s="520">
        <f t="shared" si="146"/>
        <v>0</v>
      </c>
      <c r="AC245" s="83" t="s">
        <v>294</v>
      </c>
      <c r="AD245" s="88">
        <f t="shared" si="142"/>
        <v>112</v>
      </c>
      <c r="AE245" s="111">
        <f t="shared" si="143"/>
        <v>26220000</v>
      </c>
      <c r="AF245" s="117">
        <v>42761</v>
      </c>
      <c r="AG245" s="109" t="str">
        <f t="shared" si="144"/>
        <v>144-145</v>
      </c>
      <c r="AH245" s="111">
        <f t="shared" si="145"/>
        <v>26220000</v>
      </c>
      <c r="AI245" s="121">
        <v>42762</v>
      </c>
      <c r="AJ245" s="88" t="s">
        <v>323</v>
      </c>
      <c r="AK245" s="111">
        <f t="shared" si="150"/>
        <v>57</v>
      </c>
      <c r="AL245" s="111">
        <v>79434873</v>
      </c>
      <c r="AM245" s="101">
        <f t="shared" si="151"/>
        <v>0</v>
      </c>
    </row>
    <row r="246" spans="1:39" s="112" customFormat="1" ht="63.75">
      <c r="A246" s="254" t="s">
        <v>159</v>
      </c>
      <c r="B246" s="92">
        <f t="shared" si="147"/>
        <v>27637500</v>
      </c>
      <c r="C246" s="88" t="s">
        <v>78</v>
      </c>
      <c r="D246" s="88" t="s">
        <v>160</v>
      </c>
      <c r="E246" s="88" t="s">
        <v>121</v>
      </c>
      <c r="F246" s="88" t="s">
        <v>161</v>
      </c>
      <c r="G246" s="88" t="s">
        <v>122</v>
      </c>
      <c r="H246" s="64">
        <v>221</v>
      </c>
      <c r="I246" s="140">
        <v>48</v>
      </c>
      <c r="J246" s="141">
        <f>28425169-787669</f>
        <v>27637500</v>
      </c>
      <c r="K246" s="108" t="s">
        <v>1357</v>
      </c>
      <c r="L246" s="108">
        <f>27637500+787669-787669</f>
        <v>27637500</v>
      </c>
      <c r="M246" s="142">
        <v>37</v>
      </c>
      <c r="N246" s="144"/>
      <c r="O246" s="108">
        <v>1842500</v>
      </c>
      <c r="P246" s="108">
        <v>5025000</v>
      </c>
      <c r="Q246" s="108">
        <v>5025000</v>
      </c>
      <c r="R246" s="108">
        <v>5025000</v>
      </c>
      <c r="S246" s="108">
        <f>5025000</f>
        <v>5025000</v>
      </c>
      <c r="T246" s="108">
        <v>5025000</v>
      </c>
      <c r="U246" s="108">
        <f>670000</f>
        <v>670000</v>
      </c>
      <c r="V246" s="108"/>
      <c r="W246" s="108"/>
      <c r="X246" s="108"/>
      <c r="Y246" s="157"/>
      <c r="Z246" s="155">
        <f t="shared" si="149"/>
        <v>27637500</v>
      </c>
      <c r="AA246" s="520">
        <f t="shared" si="146"/>
        <v>0</v>
      </c>
      <c r="AC246" s="83" t="s">
        <v>274</v>
      </c>
      <c r="AD246" s="88">
        <f t="shared" si="142"/>
        <v>48</v>
      </c>
      <c r="AE246" s="111">
        <f t="shared" si="143"/>
        <v>27637500</v>
      </c>
      <c r="AF246" s="117">
        <v>42751</v>
      </c>
      <c r="AG246" s="109" t="str">
        <f t="shared" si="144"/>
        <v>97-98</v>
      </c>
      <c r="AH246" s="111">
        <f t="shared" si="145"/>
        <v>27637500</v>
      </c>
      <c r="AI246" s="121">
        <v>42755</v>
      </c>
      <c r="AJ246" s="88" t="s">
        <v>312</v>
      </c>
      <c r="AK246" s="111">
        <f t="shared" si="150"/>
        <v>37</v>
      </c>
      <c r="AL246" s="111">
        <v>72211971</v>
      </c>
      <c r="AM246" s="101">
        <f t="shared" si="151"/>
        <v>0</v>
      </c>
    </row>
    <row r="247" spans="1:39" s="112" customFormat="1" ht="51" customHeight="1">
      <c r="A247" s="254" t="s">
        <v>159</v>
      </c>
      <c r="B247" s="92">
        <f t="shared" si="147"/>
        <v>70473333</v>
      </c>
      <c r="C247" s="88" t="s">
        <v>78</v>
      </c>
      <c r="D247" s="88" t="s">
        <v>160</v>
      </c>
      <c r="E247" s="88" t="s">
        <v>121</v>
      </c>
      <c r="F247" s="88" t="s">
        <v>161</v>
      </c>
      <c r="G247" s="88" t="s">
        <v>122</v>
      </c>
      <c r="H247" s="64">
        <v>234</v>
      </c>
      <c r="I247" s="140" t="s">
        <v>1093</v>
      </c>
      <c r="J247" s="141">
        <f>70143700-1943700+5373333-3100000</f>
        <v>70473333</v>
      </c>
      <c r="K247" s="108" t="s">
        <v>1358</v>
      </c>
      <c r="L247" s="108">
        <f>68200000+1943700-1943700+2273333</f>
        <v>70473333</v>
      </c>
      <c r="M247" s="142">
        <v>40</v>
      </c>
      <c r="N247" s="144"/>
      <c r="O247" s="108">
        <v>2273333</v>
      </c>
      <c r="P247" s="108">
        <v>6200000</v>
      </c>
      <c r="Q247" s="108">
        <v>6200000</v>
      </c>
      <c r="R247" s="108">
        <v>6200000</v>
      </c>
      <c r="S247" s="108">
        <f>6200000</f>
        <v>6200000</v>
      </c>
      <c r="T247" s="108">
        <v>6200000</v>
      </c>
      <c r="U247" s="108">
        <f>6200000</f>
        <v>6200000</v>
      </c>
      <c r="V247" s="108">
        <f>6200000</f>
        <v>6200000</v>
      </c>
      <c r="W247" s="108">
        <f>6200000</f>
        <v>6200000</v>
      </c>
      <c r="X247" s="108">
        <f>6200000</f>
        <v>6200000</v>
      </c>
      <c r="Y247" s="157">
        <f>6200000+3926667+2273333</f>
        <v>12400000</v>
      </c>
      <c r="Z247" s="155">
        <f t="shared" si="149"/>
        <v>70473333</v>
      </c>
      <c r="AA247" s="520">
        <f t="shared" si="146"/>
        <v>0</v>
      </c>
      <c r="AC247" s="83" t="s">
        <v>282</v>
      </c>
      <c r="AD247" s="88" t="str">
        <f t="shared" si="142"/>
        <v>49 - 702</v>
      </c>
      <c r="AE247" s="111">
        <f t="shared" si="143"/>
        <v>70473333</v>
      </c>
      <c r="AF247" s="117">
        <v>42751</v>
      </c>
      <c r="AG247" s="109" t="str">
        <f t="shared" si="144"/>
        <v>99-100-1099</v>
      </c>
      <c r="AH247" s="111">
        <f t="shared" si="145"/>
        <v>70473333</v>
      </c>
      <c r="AI247" s="121">
        <v>42755</v>
      </c>
      <c r="AJ247" s="88" t="s">
        <v>313</v>
      </c>
      <c r="AK247" s="111">
        <f t="shared" si="150"/>
        <v>40</v>
      </c>
      <c r="AL247" s="111">
        <v>80135391</v>
      </c>
      <c r="AM247" s="101">
        <f t="shared" si="151"/>
        <v>0</v>
      </c>
    </row>
    <row r="248" spans="1:39" s="112" customFormat="1" ht="63.75">
      <c r="A248" s="254" t="s">
        <v>159</v>
      </c>
      <c r="B248" s="92">
        <f t="shared" si="147"/>
        <v>23305095</v>
      </c>
      <c r="C248" s="88" t="s">
        <v>78</v>
      </c>
      <c r="D248" s="88" t="s">
        <v>160</v>
      </c>
      <c r="E248" s="88" t="s">
        <v>121</v>
      </c>
      <c r="F248" s="88" t="s">
        <v>161</v>
      </c>
      <c r="G248" s="88" t="s">
        <v>122</v>
      </c>
      <c r="H248" s="64">
        <v>230</v>
      </c>
      <c r="I248" s="140">
        <v>63</v>
      </c>
      <c r="J248" s="141">
        <f>23969290-664195</f>
        <v>23305095</v>
      </c>
      <c r="K248" s="108" t="s">
        <v>1359</v>
      </c>
      <c r="L248" s="108">
        <f>23305095+664195-664195</f>
        <v>23305095</v>
      </c>
      <c r="M248" s="142">
        <v>58</v>
      </c>
      <c r="N248" s="144"/>
      <c r="O248" s="108"/>
      <c r="P248" s="108">
        <v>4943505</v>
      </c>
      <c r="Q248" s="108">
        <v>4237290</v>
      </c>
      <c r="R248" s="108">
        <v>4237290</v>
      </c>
      <c r="S248" s="108">
        <f>4237290</f>
        <v>4237290</v>
      </c>
      <c r="T248" s="108">
        <v>4237290</v>
      </c>
      <c r="U248" s="108">
        <f>1412430</f>
        <v>1412430</v>
      </c>
      <c r="V248" s="108"/>
      <c r="W248" s="99"/>
      <c r="X248" s="99"/>
      <c r="Y248" s="143"/>
      <c r="Z248" s="155">
        <f t="shared" si="149"/>
        <v>23305095</v>
      </c>
      <c r="AA248" s="520">
        <f t="shared" si="146"/>
        <v>0</v>
      </c>
      <c r="AC248" s="83" t="s">
        <v>285</v>
      </c>
      <c r="AD248" s="88">
        <f t="shared" si="142"/>
        <v>63</v>
      </c>
      <c r="AE248" s="111">
        <f t="shared" si="143"/>
        <v>23305095</v>
      </c>
      <c r="AF248" s="117">
        <v>42753</v>
      </c>
      <c r="AG248" s="109" t="str">
        <f t="shared" si="144"/>
        <v>136-137</v>
      </c>
      <c r="AH248" s="111">
        <f t="shared" si="145"/>
        <v>23305095</v>
      </c>
      <c r="AI248" s="121">
        <v>42761</v>
      </c>
      <c r="AJ248" s="88" t="s">
        <v>316</v>
      </c>
      <c r="AK248" s="111">
        <f t="shared" si="150"/>
        <v>58</v>
      </c>
      <c r="AL248" s="111">
        <v>1016043513</v>
      </c>
      <c r="AM248" s="101">
        <f t="shared" si="151"/>
        <v>0</v>
      </c>
    </row>
    <row r="249" spans="1:39" s="112" customFormat="1" ht="63.75">
      <c r="A249" s="254" t="s">
        <v>159</v>
      </c>
      <c r="B249" s="92">
        <f t="shared" si="147"/>
        <v>51835574</v>
      </c>
      <c r="C249" s="88" t="s">
        <v>78</v>
      </c>
      <c r="D249" s="88" t="s">
        <v>160</v>
      </c>
      <c r="E249" s="88" t="s">
        <v>121</v>
      </c>
      <c r="F249" s="88" t="s">
        <v>161</v>
      </c>
      <c r="G249" s="88" t="s">
        <v>122</v>
      </c>
      <c r="H249" s="64">
        <v>232</v>
      </c>
      <c r="I249" s="140" t="s">
        <v>940</v>
      </c>
      <c r="J249" s="141">
        <f>47660805-1320693+5495462</f>
        <v>51835574</v>
      </c>
      <c r="K249" s="108" t="s">
        <v>1360</v>
      </c>
      <c r="L249" s="108">
        <f>46340112+1320693-1320693+5495462</f>
        <v>51835574</v>
      </c>
      <c r="M249" s="142">
        <v>62</v>
      </c>
      <c r="N249" s="144"/>
      <c r="O249" s="108">
        <v>594104</v>
      </c>
      <c r="P249" s="108">
        <v>4455780</v>
      </c>
      <c r="Q249" s="108">
        <v>4455780</v>
      </c>
      <c r="R249" s="108">
        <v>4455780</v>
      </c>
      <c r="S249" s="108">
        <f>4455780</f>
        <v>4455780</v>
      </c>
      <c r="T249" s="108">
        <v>4455780</v>
      </c>
      <c r="U249" s="108">
        <f t="shared" ref="U249:W250" si="152">4455780</f>
        <v>4455780</v>
      </c>
      <c r="V249" s="108">
        <f t="shared" si="152"/>
        <v>4455780</v>
      </c>
      <c r="W249" s="108">
        <f t="shared" si="152"/>
        <v>4455780</v>
      </c>
      <c r="X249" s="108">
        <f>4455780</f>
        <v>4455780</v>
      </c>
      <c r="Y249" s="157">
        <f>4455780+1188208+3267572</f>
        <v>8911560</v>
      </c>
      <c r="Z249" s="155">
        <f t="shared" si="149"/>
        <v>49607684</v>
      </c>
      <c r="AA249" s="520">
        <f t="shared" si="146"/>
        <v>2227890</v>
      </c>
      <c r="AC249" s="83" t="s">
        <v>293</v>
      </c>
      <c r="AD249" s="88" t="str">
        <f t="shared" si="142"/>
        <v>110  - 637</v>
      </c>
      <c r="AE249" s="111">
        <f t="shared" si="143"/>
        <v>51835574</v>
      </c>
      <c r="AF249" s="117">
        <v>42761</v>
      </c>
      <c r="AG249" s="109" t="str">
        <f t="shared" si="144"/>
        <v>146-147-1030</v>
      </c>
      <c r="AH249" s="111">
        <f t="shared" si="145"/>
        <v>51835574</v>
      </c>
      <c r="AI249" s="121">
        <v>42762</v>
      </c>
      <c r="AJ249" s="88" t="s">
        <v>322</v>
      </c>
      <c r="AK249" s="111">
        <f t="shared" si="150"/>
        <v>62</v>
      </c>
      <c r="AL249" s="111">
        <v>1014188712</v>
      </c>
      <c r="AM249" s="101">
        <f t="shared" si="151"/>
        <v>0</v>
      </c>
    </row>
    <row r="250" spans="1:39" s="112" customFormat="1" ht="63.75">
      <c r="A250" s="254" t="s">
        <v>159</v>
      </c>
      <c r="B250" s="92">
        <f t="shared" si="147"/>
        <v>47676846</v>
      </c>
      <c r="C250" s="88" t="s">
        <v>78</v>
      </c>
      <c r="D250" s="88" t="s">
        <v>160</v>
      </c>
      <c r="E250" s="88" t="s">
        <v>121</v>
      </c>
      <c r="F250" s="88" t="s">
        <v>161</v>
      </c>
      <c r="G250" s="88" t="s">
        <v>122</v>
      </c>
      <c r="H250" s="64">
        <v>236</v>
      </c>
      <c r="I250" s="140">
        <v>65</v>
      </c>
      <c r="J250" s="141">
        <f>49035636-1358790</f>
        <v>47676846</v>
      </c>
      <c r="K250" s="108" t="s">
        <v>1361</v>
      </c>
      <c r="L250" s="108">
        <f>47676846+1358790-1358790</f>
        <v>47676846</v>
      </c>
      <c r="M250" s="142">
        <v>64</v>
      </c>
      <c r="N250" s="144"/>
      <c r="O250" s="108"/>
      <c r="P250" s="108">
        <v>4604306</v>
      </c>
      <c r="Q250" s="108">
        <v>4455780</v>
      </c>
      <c r="R250" s="108">
        <v>4455780</v>
      </c>
      <c r="S250" s="108">
        <f>4455780</f>
        <v>4455780</v>
      </c>
      <c r="T250" s="108">
        <v>4455780</v>
      </c>
      <c r="U250" s="108">
        <f t="shared" si="152"/>
        <v>4455780</v>
      </c>
      <c r="V250" s="108">
        <f t="shared" si="152"/>
        <v>4455780</v>
      </c>
      <c r="W250" s="108">
        <f t="shared" si="152"/>
        <v>4455780</v>
      </c>
      <c r="X250" s="108">
        <f>4455780</f>
        <v>4455780</v>
      </c>
      <c r="Y250" s="157">
        <f>4455780+2970520</f>
        <v>7426300</v>
      </c>
      <c r="Z250" s="155">
        <f t="shared" si="149"/>
        <v>47676846</v>
      </c>
      <c r="AA250" s="520">
        <f t="shared" si="146"/>
        <v>0</v>
      </c>
      <c r="AC250" s="83" t="s">
        <v>270</v>
      </c>
      <c r="AD250" s="88">
        <f t="shared" si="142"/>
        <v>65</v>
      </c>
      <c r="AE250" s="111">
        <f t="shared" si="143"/>
        <v>47676846</v>
      </c>
      <c r="AF250" s="117">
        <v>42753</v>
      </c>
      <c r="AG250" s="109" t="str">
        <f t="shared" si="144"/>
        <v>150-151</v>
      </c>
      <c r="AH250" s="111">
        <f t="shared" si="145"/>
        <v>47676846</v>
      </c>
      <c r="AI250" s="121">
        <v>42765</v>
      </c>
      <c r="AJ250" s="88" t="s">
        <v>317</v>
      </c>
      <c r="AK250" s="111">
        <f t="shared" si="150"/>
        <v>64</v>
      </c>
      <c r="AL250" s="111">
        <v>1020750598</v>
      </c>
      <c r="AM250" s="101">
        <f t="shared" si="151"/>
        <v>0</v>
      </c>
    </row>
    <row r="251" spans="1:39" s="112" customFormat="1" ht="73.5" customHeight="1">
      <c r="A251" s="254" t="s">
        <v>159</v>
      </c>
      <c r="B251" s="92">
        <f t="shared" si="147"/>
        <v>22457637</v>
      </c>
      <c r="C251" s="88" t="s">
        <v>78</v>
      </c>
      <c r="D251" s="88" t="s">
        <v>160</v>
      </c>
      <c r="E251" s="88" t="s">
        <v>121</v>
      </c>
      <c r="F251" s="88" t="s">
        <v>161</v>
      </c>
      <c r="G251" s="88" t="s">
        <v>122</v>
      </c>
      <c r="H251" s="64">
        <v>228</v>
      </c>
      <c r="I251" s="140">
        <v>76</v>
      </c>
      <c r="J251" s="141">
        <f>23097680-640043</f>
        <v>22457637</v>
      </c>
      <c r="K251" s="108" t="s">
        <v>1362</v>
      </c>
      <c r="L251" s="108">
        <f>22457637+640043-640043</f>
        <v>22457637</v>
      </c>
      <c r="M251" s="142">
        <v>63</v>
      </c>
      <c r="N251" s="144"/>
      <c r="O251" s="108"/>
      <c r="P251" s="108">
        <v>4378533</v>
      </c>
      <c r="Q251" s="108">
        <v>4237290</v>
      </c>
      <c r="R251" s="108">
        <v>4237290</v>
      </c>
      <c r="S251" s="108">
        <f>4237290</f>
        <v>4237290</v>
      </c>
      <c r="T251" s="108">
        <v>4237290</v>
      </c>
      <c r="U251" s="108">
        <f>1129944</f>
        <v>1129944</v>
      </c>
      <c r="V251" s="108"/>
      <c r="W251" s="99"/>
      <c r="X251" s="99"/>
      <c r="Y251" s="143"/>
      <c r="Z251" s="155">
        <f t="shared" si="149"/>
        <v>22457637</v>
      </c>
      <c r="AA251" s="520">
        <f t="shared" si="146"/>
        <v>0</v>
      </c>
      <c r="AC251" s="83" t="s">
        <v>288</v>
      </c>
      <c r="AD251" s="88">
        <f t="shared" si="142"/>
        <v>76</v>
      </c>
      <c r="AE251" s="111">
        <f t="shared" si="143"/>
        <v>22457637</v>
      </c>
      <c r="AF251" s="117">
        <v>42755</v>
      </c>
      <c r="AG251" s="109" t="str">
        <f t="shared" si="144"/>
        <v>148-149</v>
      </c>
      <c r="AH251" s="111">
        <f t="shared" si="145"/>
        <v>22457637</v>
      </c>
      <c r="AI251" s="121">
        <v>42765</v>
      </c>
      <c r="AJ251" s="88" t="s">
        <v>320</v>
      </c>
      <c r="AK251" s="111">
        <f t="shared" si="150"/>
        <v>63</v>
      </c>
      <c r="AL251" s="111">
        <v>1088302710</v>
      </c>
      <c r="AM251" s="101">
        <f t="shared" si="151"/>
        <v>0</v>
      </c>
    </row>
    <row r="252" spans="1:39" s="112" customFormat="1" ht="63.75">
      <c r="A252" s="254" t="s">
        <v>159</v>
      </c>
      <c r="B252" s="92">
        <f t="shared" si="147"/>
        <v>51389996</v>
      </c>
      <c r="C252" s="88" t="s">
        <v>78</v>
      </c>
      <c r="D252" s="88" t="s">
        <v>160</v>
      </c>
      <c r="E252" s="88" t="s">
        <v>121</v>
      </c>
      <c r="F252" s="88" t="s">
        <v>161</v>
      </c>
      <c r="G252" s="88" t="s">
        <v>122</v>
      </c>
      <c r="H252" s="64">
        <v>233</v>
      </c>
      <c r="I252" s="140" t="s">
        <v>963</v>
      </c>
      <c r="J252" s="141">
        <f>46285974-1282596+6386618</f>
        <v>51389996</v>
      </c>
      <c r="K252" s="108" t="s">
        <v>1363</v>
      </c>
      <c r="L252" s="108">
        <f>45003378+1282596-1282596+6386618</f>
        <v>51389996</v>
      </c>
      <c r="M252" s="142">
        <v>66</v>
      </c>
      <c r="N252" s="144"/>
      <c r="O252" s="99"/>
      <c r="P252" s="108">
        <v>4604306</v>
      </c>
      <c r="Q252" s="108">
        <v>4455780</v>
      </c>
      <c r="R252" s="108">
        <v>4455780</v>
      </c>
      <c r="S252" s="108">
        <f>4455780</f>
        <v>4455780</v>
      </c>
      <c r="T252" s="108">
        <v>4455780</v>
      </c>
      <c r="U252" s="108">
        <f>4455780</f>
        <v>4455780</v>
      </c>
      <c r="V252" s="108">
        <f>4455780</f>
        <v>4455780</v>
      </c>
      <c r="W252" s="108">
        <f>4455780</f>
        <v>4455780</v>
      </c>
      <c r="X252" s="108">
        <f>3267572+1188208</f>
        <v>4455780</v>
      </c>
      <c r="Y252" s="157">
        <f>4455780+4455780</f>
        <v>8911560</v>
      </c>
      <c r="Z252" s="155">
        <f t="shared" si="149"/>
        <v>49162106</v>
      </c>
      <c r="AA252" s="520">
        <f t="shared" si="146"/>
        <v>2227890</v>
      </c>
      <c r="AC252" s="83" t="s">
        <v>289</v>
      </c>
      <c r="AD252" s="88" t="str">
        <f t="shared" si="142"/>
        <v>77 - 675</v>
      </c>
      <c r="AE252" s="111">
        <f t="shared" si="143"/>
        <v>51389996</v>
      </c>
      <c r="AF252" s="117">
        <v>42755</v>
      </c>
      <c r="AG252" s="109" t="str">
        <f t="shared" si="144"/>
        <v>154-155-998</v>
      </c>
      <c r="AH252" s="111">
        <f t="shared" si="145"/>
        <v>51389996</v>
      </c>
      <c r="AI252" s="121">
        <v>42765</v>
      </c>
      <c r="AJ252" s="88" t="s">
        <v>321</v>
      </c>
      <c r="AK252" s="111">
        <f t="shared" si="150"/>
        <v>66</v>
      </c>
      <c r="AL252" s="111">
        <v>1032437103</v>
      </c>
      <c r="AM252" s="101">
        <f t="shared" si="151"/>
        <v>0</v>
      </c>
    </row>
    <row r="253" spans="1:39" s="112" customFormat="1" ht="63.75">
      <c r="A253" s="254" t="s">
        <v>159</v>
      </c>
      <c r="B253" s="92">
        <f t="shared" si="147"/>
        <v>21981848</v>
      </c>
      <c r="C253" s="88" t="s">
        <v>78</v>
      </c>
      <c r="D253" s="88" t="s">
        <v>160</v>
      </c>
      <c r="E253" s="88" t="s">
        <v>121</v>
      </c>
      <c r="F253" s="88" t="s">
        <v>161</v>
      </c>
      <c r="G253" s="88" t="s">
        <v>122</v>
      </c>
      <c r="H253" s="64">
        <v>240</v>
      </c>
      <c r="I253" s="140">
        <v>109</v>
      </c>
      <c r="J253" s="141">
        <f>22913849-932001</f>
        <v>21981848</v>
      </c>
      <c r="K253" s="108" t="s">
        <v>1364</v>
      </c>
      <c r="L253" s="108">
        <f>22278900+634949-634949-297052</f>
        <v>21981848</v>
      </c>
      <c r="M253" s="142">
        <v>85</v>
      </c>
      <c r="N253" s="144"/>
      <c r="O253" s="99"/>
      <c r="P253" s="108"/>
      <c r="Q253" s="108">
        <f>3861676+3267572</f>
        <v>7129248</v>
      </c>
      <c r="R253" s="108">
        <v>4455780</v>
      </c>
      <c r="S253" s="108">
        <f>4455780</f>
        <v>4455780</v>
      </c>
      <c r="T253" s="108">
        <v>4455780</v>
      </c>
      <c r="U253" s="108"/>
      <c r="V253" s="108">
        <f>1485260</f>
        <v>1485260</v>
      </c>
      <c r="W253" s="108"/>
      <c r="X253" s="108"/>
      <c r="Y253" s="157"/>
      <c r="Z253" s="155">
        <f t="shared" si="149"/>
        <v>21981848</v>
      </c>
      <c r="AA253" s="520">
        <f t="shared" si="146"/>
        <v>0</v>
      </c>
      <c r="AC253" s="83" t="s">
        <v>292</v>
      </c>
      <c r="AD253" s="88">
        <f t="shared" si="142"/>
        <v>109</v>
      </c>
      <c r="AE253" s="111">
        <f t="shared" si="143"/>
        <v>21981848</v>
      </c>
      <c r="AF253" s="117">
        <v>42761</v>
      </c>
      <c r="AG253" s="109" t="str">
        <f t="shared" si="144"/>
        <v>219-220</v>
      </c>
      <c r="AH253" s="111">
        <f t="shared" si="145"/>
        <v>21981848</v>
      </c>
      <c r="AI253" s="121">
        <v>42767</v>
      </c>
      <c r="AJ253" s="88" t="s">
        <v>404</v>
      </c>
      <c r="AK253" s="111">
        <f t="shared" si="150"/>
        <v>85</v>
      </c>
      <c r="AL253" s="111">
        <v>1013605450</v>
      </c>
      <c r="AM253" s="101">
        <f t="shared" si="151"/>
        <v>0</v>
      </c>
    </row>
    <row r="254" spans="1:39" s="112" customFormat="1" ht="63.75">
      <c r="A254" s="254" t="s">
        <v>159</v>
      </c>
      <c r="B254" s="92">
        <f t="shared" si="147"/>
        <v>17920000</v>
      </c>
      <c r="C254" s="88" t="s">
        <v>78</v>
      </c>
      <c r="D254" s="88" t="s">
        <v>160</v>
      </c>
      <c r="E254" s="88" t="s">
        <v>121</v>
      </c>
      <c r="F254" s="88" t="s">
        <v>161</v>
      </c>
      <c r="G254" s="88" t="s">
        <v>122</v>
      </c>
      <c r="H254" s="64">
        <v>209</v>
      </c>
      <c r="I254" s="140" t="s">
        <v>1087</v>
      </c>
      <c r="J254" s="141">
        <f>17607920-487920+1600000-800000</f>
        <v>17920000</v>
      </c>
      <c r="K254" s="108" t="s">
        <v>1365</v>
      </c>
      <c r="L254" s="108">
        <f>17120000+487920-487920+800000</f>
        <v>17920000</v>
      </c>
      <c r="M254" s="142">
        <v>121</v>
      </c>
      <c r="N254" s="144"/>
      <c r="O254" s="99"/>
      <c r="P254" s="108">
        <v>1120000</v>
      </c>
      <c r="Q254" s="108">
        <v>1600000</v>
      </c>
      <c r="R254" s="108">
        <v>1600000</v>
      </c>
      <c r="S254" s="108">
        <f>1600000</f>
        <v>1600000</v>
      </c>
      <c r="T254" s="108">
        <v>1600000</v>
      </c>
      <c r="U254" s="108">
        <f>1600000</f>
        <v>1600000</v>
      </c>
      <c r="V254" s="108">
        <f>1600000</f>
        <v>1600000</v>
      </c>
      <c r="W254" s="108">
        <f>1600000</f>
        <v>1600000</v>
      </c>
      <c r="X254" s="108">
        <f>1600000</f>
        <v>1600000</v>
      </c>
      <c r="Y254" s="157">
        <f>1600000+1600000</f>
        <v>3200000</v>
      </c>
      <c r="Z254" s="155">
        <f t="shared" si="149"/>
        <v>17120000</v>
      </c>
      <c r="AA254" s="520">
        <f t="shared" si="146"/>
        <v>800000</v>
      </c>
      <c r="AC254" s="83" t="s">
        <v>377</v>
      </c>
      <c r="AD254" s="88" t="str">
        <f t="shared" si="142"/>
        <v>143 - 724</v>
      </c>
      <c r="AE254" s="111">
        <f t="shared" si="143"/>
        <v>17920000</v>
      </c>
      <c r="AF254" s="117">
        <v>42768</v>
      </c>
      <c r="AG254" s="109" t="str">
        <f t="shared" si="144"/>
        <v>276-277-1135</v>
      </c>
      <c r="AH254" s="111">
        <f t="shared" si="145"/>
        <v>17920000</v>
      </c>
      <c r="AI254" s="121">
        <v>42776</v>
      </c>
      <c r="AJ254" s="88" t="s">
        <v>407</v>
      </c>
      <c r="AK254" s="111">
        <f t="shared" si="150"/>
        <v>121</v>
      </c>
      <c r="AL254" s="111">
        <v>1032398173</v>
      </c>
      <c r="AM254" s="101">
        <f t="shared" si="151"/>
        <v>0</v>
      </c>
    </row>
    <row r="255" spans="1:39" s="112" customFormat="1" ht="63.75">
      <c r="A255" s="254" t="s">
        <v>159</v>
      </c>
      <c r="B255" s="92">
        <f t="shared" si="147"/>
        <v>64480000</v>
      </c>
      <c r="C255" s="88" t="s">
        <v>78</v>
      </c>
      <c r="D255" s="88" t="s">
        <v>160</v>
      </c>
      <c r="E255" s="88" t="s">
        <v>121</v>
      </c>
      <c r="F255" s="88" t="s">
        <v>161</v>
      </c>
      <c r="G255" s="88" t="s">
        <v>122</v>
      </c>
      <c r="H255" s="64">
        <v>231</v>
      </c>
      <c r="I255" s="140" t="s">
        <v>1076</v>
      </c>
      <c r="J255" s="141">
        <f>70143700-8143700+3720000-1240000</f>
        <v>64480000</v>
      </c>
      <c r="K255" s="108" t="s">
        <v>1198</v>
      </c>
      <c r="L255" s="108">
        <f>62000000+2480000</f>
        <v>64480000</v>
      </c>
      <c r="M255" s="142">
        <v>152</v>
      </c>
      <c r="N255" s="144"/>
      <c r="O255" s="99"/>
      <c r="P255" s="108"/>
      <c r="Q255" s="108">
        <v>6820000</v>
      </c>
      <c r="R255" s="108">
        <v>6200000</v>
      </c>
      <c r="S255" s="108">
        <f>6200000</f>
        <v>6200000</v>
      </c>
      <c r="T255" s="108">
        <v>6200000</v>
      </c>
      <c r="U255" s="108">
        <f>6200000</f>
        <v>6200000</v>
      </c>
      <c r="V255" s="108">
        <f>6200000</f>
        <v>6200000</v>
      </c>
      <c r="W255" s="108">
        <f>4753333</f>
        <v>4753333</v>
      </c>
      <c r="X255" s="108">
        <f>6200000</f>
        <v>6200000</v>
      </c>
      <c r="Y255" s="157">
        <f>6200000+6200000</f>
        <v>12400000</v>
      </c>
      <c r="Z255" s="155">
        <f t="shared" si="149"/>
        <v>61173333</v>
      </c>
      <c r="AA255" s="520">
        <f t="shared" si="146"/>
        <v>3306667</v>
      </c>
      <c r="AC255" s="83" t="s">
        <v>378</v>
      </c>
      <c r="AD255" s="88" t="str">
        <f t="shared" si="142"/>
        <v>144 - 746</v>
      </c>
      <c r="AE255" s="111">
        <f t="shared" si="143"/>
        <v>64480000</v>
      </c>
      <c r="AF255" s="117">
        <v>42768</v>
      </c>
      <c r="AG255" s="109" t="str">
        <f t="shared" si="144"/>
        <v>324-1158</v>
      </c>
      <c r="AH255" s="111">
        <f t="shared" si="145"/>
        <v>64480000</v>
      </c>
      <c r="AI255" s="121">
        <v>42794</v>
      </c>
      <c r="AJ255" s="88" t="s">
        <v>485</v>
      </c>
      <c r="AK255" s="111">
        <f t="shared" si="150"/>
        <v>152</v>
      </c>
      <c r="AL255" s="111">
        <v>19752376</v>
      </c>
      <c r="AM255" s="101">
        <f t="shared" si="151"/>
        <v>0</v>
      </c>
    </row>
    <row r="256" spans="1:39" s="112" customFormat="1" ht="63.75">
      <c r="A256" s="254" t="s">
        <v>159</v>
      </c>
      <c r="B256" s="92">
        <f t="shared" si="147"/>
        <v>23309000</v>
      </c>
      <c r="C256" s="88" t="s">
        <v>78</v>
      </c>
      <c r="D256" s="88" t="s">
        <v>160</v>
      </c>
      <c r="E256" s="88" t="s">
        <v>121</v>
      </c>
      <c r="F256" s="88" t="s">
        <v>161</v>
      </c>
      <c r="G256" s="88" t="s">
        <v>122</v>
      </c>
      <c r="H256" s="64">
        <v>244</v>
      </c>
      <c r="I256" s="140" t="s">
        <v>964</v>
      </c>
      <c r="J256" s="141">
        <f>20520500+2788500</f>
        <v>23309000</v>
      </c>
      <c r="K256" s="108" t="s">
        <v>1199</v>
      </c>
      <c r="L256" s="108">
        <f>20520500+2788500</f>
        <v>23309000</v>
      </c>
      <c r="M256" s="142">
        <v>134</v>
      </c>
      <c r="N256" s="144"/>
      <c r="O256" s="99"/>
      <c r="P256" s="108">
        <v>786500</v>
      </c>
      <c r="Q256" s="108">
        <v>2145000</v>
      </c>
      <c r="R256" s="108">
        <v>2145000</v>
      </c>
      <c r="S256" s="108">
        <f>2145000</f>
        <v>2145000</v>
      </c>
      <c r="T256" s="108">
        <v>2145000</v>
      </c>
      <c r="U256" s="108">
        <f>2145000</f>
        <v>2145000</v>
      </c>
      <c r="V256" s="108">
        <f>2145000</f>
        <v>2145000</v>
      </c>
      <c r="W256" s="108">
        <f>2145000</f>
        <v>2145000</v>
      </c>
      <c r="X256" s="108">
        <f>2145000</f>
        <v>2145000</v>
      </c>
      <c r="Y256" s="157">
        <f>2145000+429000+1716000</f>
        <v>4290000</v>
      </c>
      <c r="Z256" s="155">
        <f t="shared" si="149"/>
        <v>22236500</v>
      </c>
      <c r="AA256" s="520">
        <f t="shared" si="146"/>
        <v>1072500</v>
      </c>
      <c r="AC256" s="83" t="s">
        <v>918</v>
      </c>
      <c r="AD256" s="88" t="str">
        <f t="shared" si="142"/>
        <v>177 - 676</v>
      </c>
      <c r="AE256" s="111">
        <f t="shared" si="143"/>
        <v>23309000</v>
      </c>
      <c r="AF256" s="117">
        <v>42783</v>
      </c>
      <c r="AG256" s="109" t="str">
        <f t="shared" si="144"/>
        <v>292-1017</v>
      </c>
      <c r="AH256" s="111">
        <f t="shared" si="145"/>
        <v>23309000</v>
      </c>
      <c r="AI256" s="121">
        <v>42786</v>
      </c>
      <c r="AJ256" s="88" t="s">
        <v>470</v>
      </c>
      <c r="AK256" s="111">
        <f t="shared" si="150"/>
        <v>134</v>
      </c>
      <c r="AL256" s="111">
        <v>1052382465</v>
      </c>
      <c r="AM256" s="101">
        <f t="shared" si="151"/>
        <v>0</v>
      </c>
    </row>
    <row r="257" spans="1:39" s="112" customFormat="1" ht="63.75">
      <c r="A257" s="254" t="s">
        <v>159</v>
      </c>
      <c r="B257" s="92">
        <f t="shared" si="147"/>
        <v>41884332</v>
      </c>
      <c r="C257" s="88" t="s">
        <v>78</v>
      </c>
      <c r="D257" s="88" t="s">
        <v>160</v>
      </c>
      <c r="E257" s="88" t="s">
        <v>121</v>
      </c>
      <c r="F257" s="88" t="s">
        <v>161</v>
      </c>
      <c r="G257" s="88" t="s">
        <v>122</v>
      </c>
      <c r="H257" s="64">
        <v>229</v>
      </c>
      <c r="I257" s="140" t="s">
        <v>1366</v>
      </c>
      <c r="J257" s="141">
        <f>41884332+2401131-2401131</f>
        <v>41884332</v>
      </c>
      <c r="K257" s="108">
        <v>333</v>
      </c>
      <c r="L257" s="108">
        <v>41884332</v>
      </c>
      <c r="M257" s="142">
        <v>156</v>
      </c>
      <c r="N257" s="144"/>
      <c r="O257" s="99"/>
      <c r="P257" s="108"/>
      <c r="Q257" s="108">
        <v>4307254</v>
      </c>
      <c r="R257" s="108">
        <v>4455780</v>
      </c>
      <c r="S257" s="108">
        <f>4455780</f>
        <v>4455780</v>
      </c>
      <c r="T257" s="108">
        <v>4455780</v>
      </c>
      <c r="U257" s="108">
        <f t="shared" ref="U257:W258" si="153">4455780</f>
        <v>4455780</v>
      </c>
      <c r="V257" s="108">
        <f t="shared" si="153"/>
        <v>4455780</v>
      </c>
      <c r="W257" s="108">
        <f t="shared" si="153"/>
        <v>4455780</v>
      </c>
      <c r="X257" s="108">
        <f>1930838</f>
        <v>1930838</v>
      </c>
      <c r="Y257" s="157">
        <f>4455780+4455780</f>
        <v>8911560</v>
      </c>
      <c r="Z257" s="155">
        <f t="shared" si="149"/>
        <v>41884332</v>
      </c>
      <c r="AA257" s="520">
        <f t="shared" si="146"/>
        <v>0</v>
      </c>
      <c r="AC257" s="83" t="s">
        <v>457</v>
      </c>
      <c r="AD257" s="88" t="str">
        <f t="shared" si="142"/>
        <v>194 - 711</v>
      </c>
      <c r="AE257" s="111">
        <f t="shared" si="143"/>
        <v>41884332</v>
      </c>
      <c r="AF257" s="117">
        <v>42787</v>
      </c>
      <c r="AG257" s="109">
        <f t="shared" si="144"/>
        <v>333</v>
      </c>
      <c r="AH257" s="111">
        <f t="shared" si="145"/>
        <v>41884332</v>
      </c>
      <c r="AI257" s="121">
        <v>42796</v>
      </c>
      <c r="AJ257" s="88" t="s">
        <v>519</v>
      </c>
      <c r="AK257" s="111">
        <f t="shared" si="150"/>
        <v>156</v>
      </c>
      <c r="AL257" s="111">
        <v>52887283</v>
      </c>
      <c r="AM257" s="101">
        <f t="shared" si="151"/>
        <v>0</v>
      </c>
    </row>
    <row r="258" spans="1:39" s="112" customFormat="1" ht="63.75">
      <c r="A258" s="254" t="s">
        <v>159</v>
      </c>
      <c r="B258" s="92">
        <f t="shared" si="147"/>
        <v>47231268</v>
      </c>
      <c r="C258" s="88" t="s">
        <v>78</v>
      </c>
      <c r="D258" s="88" t="s">
        <v>160</v>
      </c>
      <c r="E258" s="88" t="s">
        <v>121</v>
      </c>
      <c r="F258" s="88" t="s">
        <v>161</v>
      </c>
      <c r="G258" s="88" t="s">
        <v>122</v>
      </c>
      <c r="H258" s="64">
        <v>225</v>
      </c>
      <c r="I258" s="140" t="s">
        <v>965</v>
      </c>
      <c r="J258" s="141">
        <f>41587280+5643988</f>
        <v>47231268</v>
      </c>
      <c r="K258" s="108" t="s">
        <v>1200</v>
      </c>
      <c r="L258" s="108">
        <f>41587280+5643988</f>
        <v>47231268</v>
      </c>
      <c r="M258" s="142">
        <v>150</v>
      </c>
      <c r="N258" s="144"/>
      <c r="O258" s="99"/>
      <c r="P258" s="99"/>
      <c r="Q258" s="108">
        <v>4901358</v>
      </c>
      <c r="R258" s="108">
        <v>4455780</v>
      </c>
      <c r="S258" s="108">
        <f>4455780</f>
        <v>4455780</v>
      </c>
      <c r="T258" s="108">
        <v>4455780</v>
      </c>
      <c r="U258" s="108">
        <f t="shared" si="153"/>
        <v>4455780</v>
      </c>
      <c r="V258" s="108">
        <f t="shared" si="153"/>
        <v>4455780</v>
      </c>
      <c r="W258" s="108">
        <f t="shared" si="153"/>
        <v>4455780</v>
      </c>
      <c r="X258" s="108">
        <f>4455780</f>
        <v>4455780</v>
      </c>
      <c r="Y258" s="157">
        <f>4455780+1039682+3416098</f>
        <v>8911560</v>
      </c>
      <c r="Z258" s="155">
        <f t="shared" si="149"/>
        <v>45003378</v>
      </c>
      <c r="AA258" s="520">
        <f t="shared" si="146"/>
        <v>2227890</v>
      </c>
      <c r="AC258" s="83" t="s">
        <v>275</v>
      </c>
      <c r="AD258" s="88" t="str">
        <f t="shared" si="142"/>
        <v>193 - 677</v>
      </c>
      <c r="AE258" s="111">
        <f t="shared" si="143"/>
        <v>47231268</v>
      </c>
      <c r="AF258" s="117">
        <v>42787</v>
      </c>
      <c r="AG258" s="109" t="str">
        <f t="shared" si="144"/>
        <v>325-1018</v>
      </c>
      <c r="AH258" s="111">
        <f t="shared" si="145"/>
        <v>47231268</v>
      </c>
      <c r="AI258" s="121">
        <v>42794</v>
      </c>
      <c r="AJ258" s="88" t="s">
        <v>486</v>
      </c>
      <c r="AK258" s="111">
        <f t="shared" si="150"/>
        <v>150</v>
      </c>
      <c r="AL258" s="111">
        <v>1010182494</v>
      </c>
      <c r="AM258" s="101">
        <f t="shared" si="151"/>
        <v>0</v>
      </c>
    </row>
    <row r="259" spans="1:39" s="112" customFormat="1" ht="63.75">
      <c r="A259" s="254" t="s">
        <v>159</v>
      </c>
      <c r="B259" s="92">
        <f t="shared" si="147"/>
        <v>49580000</v>
      </c>
      <c r="C259" s="88" t="s">
        <v>78</v>
      </c>
      <c r="D259" s="88" t="s">
        <v>160</v>
      </c>
      <c r="E259" s="88" t="s">
        <v>121</v>
      </c>
      <c r="F259" s="88" t="s">
        <v>161</v>
      </c>
      <c r="G259" s="88" t="s">
        <v>122</v>
      </c>
      <c r="H259" s="64">
        <v>218</v>
      </c>
      <c r="I259" s="140" t="s">
        <v>1092</v>
      </c>
      <c r="J259" s="141">
        <f>45225000+4355000</f>
        <v>49580000</v>
      </c>
      <c r="K259" s="108" t="s">
        <v>1201</v>
      </c>
      <c r="L259" s="108">
        <f>45225000+4355000</f>
        <v>49580000</v>
      </c>
      <c r="M259" s="142">
        <v>153</v>
      </c>
      <c r="N259" s="144"/>
      <c r="O259" s="99"/>
      <c r="P259" s="99"/>
      <c r="Q259" s="108">
        <v>4857500</v>
      </c>
      <c r="R259" s="108">
        <v>5025000</v>
      </c>
      <c r="S259" s="108">
        <f>5025000</f>
        <v>5025000</v>
      </c>
      <c r="T259" s="108">
        <v>5025000</v>
      </c>
      <c r="U259" s="108">
        <f>5025000</f>
        <v>5025000</v>
      </c>
      <c r="V259" s="108">
        <f>2847500</f>
        <v>2847500</v>
      </c>
      <c r="W259" s="108">
        <f>4187500</f>
        <v>4187500</v>
      </c>
      <c r="X259" s="108">
        <f>5025000</f>
        <v>5025000</v>
      </c>
      <c r="Y259" s="157">
        <f>5025000+3182500+1842500</f>
        <v>10050000</v>
      </c>
      <c r="Z259" s="155">
        <f t="shared" si="149"/>
        <v>47067500</v>
      </c>
      <c r="AA259" s="520">
        <f t="shared" si="146"/>
        <v>2512500</v>
      </c>
      <c r="AC259" s="83" t="s">
        <v>274</v>
      </c>
      <c r="AD259" s="88" t="str">
        <f t="shared" si="142"/>
        <v>191 - 703</v>
      </c>
      <c r="AE259" s="111">
        <f t="shared" si="143"/>
        <v>49580000</v>
      </c>
      <c r="AF259" s="117">
        <v>42787</v>
      </c>
      <c r="AG259" s="109" t="str">
        <f t="shared" si="144"/>
        <v>331-1087</v>
      </c>
      <c r="AH259" s="111">
        <f t="shared" si="145"/>
        <v>49580000</v>
      </c>
      <c r="AI259" s="121">
        <v>42796</v>
      </c>
      <c r="AJ259" s="88" t="s">
        <v>518</v>
      </c>
      <c r="AK259" s="111">
        <f t="shared" si="150"/>
        <v>153</v>
      </c>
      <c r="AL259" s="111">
        <v>52998639</v>
      </c>
      <c r="AM259" s="101">
        <f t="shared" si="151"/>
        <v>0</v>
      </c>
    </row>
    <row r="260" spans="1:39" s="112" customFormat="1" ht="63.75">
      <c r="A260" s="254" t="s">
        <v>159</v>
      </c>
      <c r="B260" s="92">
        <f t="shared" si="147"/>
        <v>52762500</v>
      </c>
      <c r="C260" s="88" t="s">
        <v>78</v>
      </c>
      <c r="D260" s="88" t="s">
        <v>160</v>
      </c>
      <c r="E260" s="88" t="s">
        <v>121</v>
      </c>
      <c r="F260" s="88" t="s">
        <v>161</v>
      </c>
      <c r="G260" s="88" t="s">
        <v>122</v>
      </c>
      <c r="H260" s="64">
        <v>217</v>
      </c>
      <c r="I260" s="140" t="s">
        <v>938</v>
      </c>
      <c r="J260" s="141">
        <f>45225000+7537500</f>
        <v>52762500</v>
      </c>
      <c r="K260" s="108" t="s">
        <v>1202</v>
      </c>
      <c r="L260" s="108">
        <f>45225000+7537500</f>
        <v>52762500</v>
      </c>
      <c r="M260" s="142">
        <v>154</v>
      </c>
      <c r="N260" s="144"/>
      <c r="O260" s="99"/>
      <c r="P260" s="99"/>
      <c r="Q260" s="108">
        <v>5025000</v>
      </c>
      <c r="R260" s="108">
        <v>5025000</v>
      </c>
      <c r="S260" s="108">
        <f>5025000</f>
        <v>5025000</v>
      </c>
      <c r="T260" s="108">
        <v>5025000</v>
      </c>
      <c r="U260" s="108">
        <f>5025000</f>
        <v>5025000</v>
      </c>
      <c r="V260" s="108">
        <f>5025000</f>
        <v>5025000</v>
      </c>
      <c r="W260" s="108">
        <f>5025000</f>
        <v>5025000</v>
      </c>
      <c r="X260" s="108">
        <f>5025000</f>
        <v>5025000</v>
      </c>
      <c r="Y260" s="157">
        <f>5025000+5025000</f>
        <v>10050000</v>
      </c>
      <c r="Z260" s="155">
        <f t="shared" si="149"/>
        <v>50250000</v>
      </c>
      <c r="AA260" s="520">
        <f t="shared" si="146"/>
        <v>2512500</v>
      </c>
      <c r="AC260" s="83" t="s">
        <v>274</v>
      </c>
      <c r="AD260" s="88" t="str">
        <f t="shared" si="142"/>
        <v>192 - 635</v>
      </c>
      <c r="AE260" s="111">
        <f t="shared" si="143"/>
        <v>52762500</v>
      </c>
      <c r="AF260" s="117">
        <v>42787</v>
      </c>
      <c r="AG260" s="109" t="str">
        <f t="shared" si="144"/>
        <v>329-990</v>
      </c>
      <c r="AH260" s="111">
        <f t="shared" si="145"/>
        <v>52762500</v>
      </c>
      <c r="AI260" s="121">
        <v>42795</v>
      </c>
      <c r="AJ260" s="88" t="s">
        <v>516</v>
      </c>
      <c r="AK260" s="111">
        <f t="shared" si="150"/>
        <v>154</v>
      </c>
      <c r="AL260" s="111">
        <v>33365270</v>
      </c>
      <c r="AM260" s="101">
        <f t="shared" si="151"/>
        <v>0</v>
      </c>
    </row>
    <row r="261" spans="1:39" s="112" customFormat="1" ht="63.75">
      <c r="A261" s="254" t="s">
        <v>159</v>
      </c>
      <c r="B261" s="92">
        <f t="shared" si="147"/>
        <v>38561008</v>
      </c>
      <c r="C261" s="88" t="s">
        <v>78</v>
      </c>
      <c r="D261" s="88" t="s">
        <v>160</v>
      </c>
      <c r="E261" s="88" t="s">
        <v>121</v>
      </c>
      <c r="F261" s="88" t="s">
        <v>161</v>
      </c>
      <c r="G261" s="88" t="s">
        <v>122</v>
      </c>
      <c r="H261" s="64">
        <v>216</v>
      </c>
      <c r="I261" s="140" t="s">
        <v>1094</v>
      </c>
      <c r="J261" s="141">
        <f>34780517+3780491</f>
        <v>38561008</v>
      </c>
      <c r="K261" s="108" t="s">
        <v>1203</v>
      </c>
      <c r="L261" s="108">
        <f>34780517+3780491</f>
        <v>38561008</v>
      </c>
      <c r="M261" s="142">
        <v>166</v>
      </c>
      <c r="N261" s="144"/>
      <c r="O261" s="99"/>
      <c r="P261" s="99"/>
      <c r="Q261" s="108">
        <v>2646344</v>
      </c>
      <c r="R261" s="108">
        <v>3780491</v>
      </c>
      <c r="S261" s="108">
        <f>3780491</f>
        <v>3780491</v>
      </c>
      <c r="T261" s="108">
        <v>3780491</v>
      </c>
      <c r="U261" s="108">
        <f>3780491</f>
        <v>3780491</v>
      </c>
      <c r="V261" s="108">
        <f>3780491</f>
        <v>3780491</v>
      </c>
      <c r="W261" s="108">
        <f>3780491</f>
        <v>3780491</v>
      </c>
      <c r="X261" s="108">
        <f>3780491</f>
        <v>3780491</v>
      </c>
      <c r="Y261" s="157">
        <f>3780491+1890245+1890246</f>
        <v>7560982</v>
      </c>
      <c r="Z261" s="155">
        <f t="shared" si="149"/>
        <v>36670763</v>
      </c>
      <c r="AA261" s="520">
        <f t="shared" si="146"/>
        <v>1890245</v>
      </c>
      <c r="AC261" s="83" t="s">
        <v>476</v>
      </c>
      <c r="AD261" s="88" t="str">
        <f t="shared" si="142"/>
        <v>205 - 700</v>
      </c>
      <c r="AE261" s="111">
        <f t="shared" si="143"/>
        <v>38561008</v>
      </c>
      <c r="AF261" s="117">
        <v>42795</v>
      </c>
      <c r="AG261" s="109" t="str">
        <f t="shared" si="144"/>
        <v>358-1084</v>
      </c>
      <c r="AH261" s="111">
        <f t="shared" si="145"/>
        <v>38561008</v>
      </c>
      <c r="AI261" s="121">
        <v>42804</v>
      </c>
      <c r="AJ261" s="88" t="s">
        <v>523</v>
      </c>
      <c r="AK261" s="111">
        <f t="shared" si="150"/>
        <v>166</v>
      </c>
      <c r="AL261" s="111">
        <v>1020772036</v>
      </c>
      <c r="AM261" s="101">
        <f t="shared" si="151"/>
        <v>0</v>
      </c>
    </row>
    <row r="262" spans="1:39" s="112" customFormat="1" ht="63.75">
      <c r="A262" s="254" t="s">
        <v>159</v>
      </c>
      <c r="B262" s="92">
        <f t="shared" si="147"/>
        <v>17674594</v>
      </c>
      <c r="C262" s="88" t="s">
        <v>78</v>
      </c>
      <c r="D262" s="88" t="s">
        <v>160</v>
      </c>
      <c r="E262" s="88" t="s">
        <v>121</v>
      </c>
      <c r="F262" s="88" t="s">
        <v>161</v>
      </c>
      <c r="G262" s="88" t="s">
        <v>122</v>
      </c>
      <c r="H262" s="64">
        <v>238</v>
      </c>
      <c r="I262" s="140">
        <v>208</v>
      </c>
      <c r="J262" s="141">
        <v>17674594</v>
      </c>
      <c r="K262" s="108">
        <v>355</v>
      </c>
      <c r="L262" s="108">
        <v>17674594</v>
      </c>
      <c r="M262" s="142">
        <v>165</v>
      </c>
      <c r="N262" s="144"/>
      <c r="O262" s="99"/>
      <c r="P262" s="99"/>
      <c r="Q262" s="108">
        <v>2079364</v>
      </c>
      <c r="R262" s="108">
        <v>1782312</v>
      </c>
      <c r="S262" s="108">
        <f>4455780</f>
        <v>4455780</v>
      </c>
      <c r="T262" s="108">
        <v>4455780</v>
      </c>
      <c r="U262" s="108">
        <f>4455780</f>
        <v>4455780</v>
      </c>
      <c r="V262" s="108">
        <f>445578</f>
        <v>445578</v>
      </c>
      <c r="W262" s="99"/>
      <c r="X262" s="99"/>
      <c r="Y262" s="143"/>
      <c r="Z262" s="155">
        <f t="shared" si="149"/>
        <v>17674594</v>
      </c>
      <c r="AA262" s="520">
        <f t="shared" si="146"/>
        <v>0</v>
      </c>
      <c r="AC262" s="83" t="s">
        <v>488</v>
      </c>
      <c r="AD262" s="88">
        <f t="shared" si="142"/>
        <v>208</v>
      </c>
      <c r="AE262" s="111">
        <f t="shared" si="143"/>
        <v>17674594</v>
      </c>
      <c r="AF262" s="117">
        <v>42797</v>
      </c>
      <c r="AG262" s="109">
        <f t="shared" si="144"/>
        <v>355</v>
      </c>
      <c r="AH262" s="111">
        <f t="shared" si="145"/>
        <v>17674594</v>
      </c>
      <c r="AI262" s="121">
        <v>42804</v>
      </c>
      <c r="AJ262" s="88" t="s">
        <v>521</v>
      </c>
      <c r="AK262" s="111">
        <f t="shared" ref="AK262:AK280" si="154">M262</f>
        <v>165</v>
      </c>
      <c r="AL262" s="111">
        <v>1020743141</v>
      </c>
      <c r="AM262" s="101">
        <f t="shared" si="151"/>
        <v>0</v>
      </c>
    </row>
    <row r="263" spans="1:39" s="112" customFormat="1" ht="63.75">
      <c r="A263" s="254" t="s">
        <v>159</v>
      </c>
      <c r="B263" s="92">
        <f t="shared" si="147"/>
        <v>42329910</v>
      </c>
      <c r="C263" s="88" t="s">
        <v>78</v>
      </c>
      <c r="D263" s="88" t="s">
        <v>160</v>
      </c>
      <c r="E263" s="88" t="s">
        <v>121</v>
      </c>
      <c r="F263" s="88" t="s">
        <v>161</v>
      </c>
      <c r="G263" s="88" t="s">
        <v>122</v>
      </c>
      <c r="H263" s="64">
        <v>227</v>
      </c>
      <c r="I263" s="140" t="s">
        <v>1090</v>
      </c>
      <c r="J263" s="141">
        <f>40102020+2316476-88586</f>
        <v>42329910</v>
      </c>
      <c r="K263" s="108" t="s">
        <v>1204</v>
      </c>
      <c r="L263" s="108">
        <f>40102020+2227890</f>
        <v>42329910</v>
      </c>
      <c r="M263" s="142">
        <v>174</v>
      </c>
      <c r="N263" s="144"/>
      <c r="O263" s="99"/>
      <c r="P263" s="99"/>
      <c r="Q263" s="108">
        <v>2376416</v>
      </c>
      <c r="R263" s="108"/>
      <c r="S263" s="530">
        <f>2376416+4307254</f>
        <v>6683670</v>
      </c>
      <c r="T263" s="108">
        <v>4455780</v>
      </c>
      <c r="U263" s="108">
        <f>4455780</f>
        <v>4455780</v>
      </c>
      <c r="V263" s="108">
        <f>4455780</f>
        <v>4455780</v>
      </c>
      <c r="W263" s="108">
        <f>4455780</f>
        <v>4455780</v>
      </c>
      <c r="X263" s="108">
        <f>4455780</f>
        <v>4455780</v>
      </c>
      <c r="Y263" s="157">
        <f>4455780+4307254+148526</f>
        <v>8911560</v>
      </c>
      <c r="Z263" s="155">
        <f t="shared" si="149"/>
        <v>40250546</v>
      </c>
      <c r="AA263" s="520">
        <f t="shared" si="146"/>
        <v>2079364</v>
      </c>
      <c r="AC263" s="83" t="s">
        <v>457</v>
      </c>
      <c r="AD263" s="88" t="str">
        <f t="shared" si="142"/>
        <v>227 - 710</v>
      </c>
      <c r="AE263" s="111">
        <f t="shared" si="143"/>
        <v>42329910</v>
      </c>
      <c r="AF263" s="117">
        <v>42807</v>
      </c>
      <c r="AG263" s="109" t="str">
        <f t="shared" si="144"/>
        <v>363-1134</v>
      </c>
      <c r="AH263" s="111">
        <f t="shared" si="145"/>
        <v>42329910</v>
      </c>
      <c r="AI263" s="121">
        <v>42809</v>
      </c>
      <c r="AJ263" s="88" t="s">
        <v>541</v>
      </c>
      <c r="AK263" s="111">
        <f t="shared" si="154"/>
        <v>174</v>
      </c>
      <c r="AL263" s="111">
        <v>1013577868</v>
      </c>
      <c r="AM263" s="101">
        <f t="shared" si="151"/>
        <v>0</v>
      </c>
    </row>
    <row r="264" spans="1:39" s="112" customFormat="1" ht="63.75">
      <c r="A264" s="254" t="s">
        <v>159</v>
      </c>
      <c r="B264" s="92">
        <f t="shared" si="147"/>
        <v>7865000</v>
      </c>
      <c r="C264" s="88" t="s">
        <v>78</v>
      </c>
      <c r="D264" s="88" t="s">
        <v>160</v>
      </c>
      <c r="E264" s="88" t="s">
        <v>121</v>
      </c>
      <c r="F264" s="88" t="s">
        <v>161</v>
      </c>
      <c r="G264" s="88" t="s">
        <v>122</v>
      </c>
      <c r="H264" s="64">
        <v>210</v>
      </c>
      <c r="I264" s="140">
        <v>232</v>
      </c>
      <c r="J264" s="141">
        <v>7865000</v>
      </c>
      <c r="K264" s="108">
        <v>380</v>
      </c>
      <c r="L264" s="108">
        <v>7865000</v>
      </c>
      <c r="M264" s="142">
        <v>179</v>
      </c>
      <c r="N264" s="144"/>
      <c r="O264" s="99"/>
      <c r="P264" s="99"/>
      <c r="Q264" s="108">
        <v>643500</v>
      </c>
      <c r="R264" s="108">
        <v>2145000</v>
      </c>
      <c r="S264" s="108">
        <f>2145000</f>
        <v>2145000</v>
      </c>
      <c r="T264" s="108">
        <v>2145000</v>
      </c>
      <c r="U264" s="108">
        <f>786500</f>
        <v>786500</v>
      </c>
      <c r="V264" s="108"/>
      <c r="W264" s="99"/>
      <c r="X264" s="99"/>
      <c r="Y264" s="143"/>
      <c r="Z264" s="155">
        <f t="shared" si="149"/>
        <v>7865000</v>
      </c>
      <c r="AA264" s="520">
        <f t="shared" si="146"/>
        <v>0</v>
      </c>
      <c r="AC264" s="83" t="s">
        <v>526</v>
      </c>
      <c r="AD264" s="88">
        <f t="shared" si="142"/>
        <v>232</v>
      </c>
      <c r="AE264" s="111">
        <f t="shared" si="143"/>
        <v>7865000</v>
      </c>
      <c r="AF264" s="117">
        <v>42809</v>
      </c>
      <c r="AG264" s="109">
        <f t="shared" si="144"/>
        <v>380</v>
      </c>
      <c r="AH264" s="111">
        <f t="shared" si="145"/>
        <v>7865000</v>
      </c>
      <c r="AI264" s="121">
        <v>42816</v>
      </c>
      <c r="AJ264" s="88" t="s">
        <v>559</v>
      </c>
      <c r="AK264" s="111">
        <f t="shared" si="154"/>
        <v>179</v>
      </c>
      <c r="AL264" s="111">
        <v>20941045</v>
      </c>
      <c r="AM264" s="101">
        <f t="shared" ref="AM264:AM280" si="155">AE264-AH264</f>
        <v>0</v>
      </c>
    </row>
    <row r="265" spans="1:39" s="112" customFormat="1" ht="63.75">
      <c r="A265" s="254" t="s">
        <v>159</v>
      </c>
      <c r="B265" s="92">
        <f t="shared" si="147"/>
        <v>15946667</v>
      </c>
      <c r="C265" s="88" t="s">
        <v>78</v>
      </c>
      <c r="D265" s="88" t="s">
        <v>160</v>
      </c>
      <c r="E265" s="88" t="s">
        <v>121</v>
      </c>
      <c r="F265" s="88" t="s">
        <v>161</v>
      </c>
      <c r="G265" s="88" t="s">
        <v>122</v>
      </c>
      <c r="H265" s="64">
        <v>222</v>
      </c>
      <c r="I265" s="140">
        <v>245</v>
      </c>
      <c r="J265" s="141">
        <v>15946667</v>
      </c>
      <c r="K265" s="108">
        <v>428</v>
      </c>
      <c r="L265" s="108">
        <v>15946667</v>
      </c>
      <c r="M265" s="142">
        <v>204</v>
      </c>
      <c r="N265" s="144"/>
      <c r="O265" s="99"/>
      <c r="P265" s="99"/>
      <c r="Q265" s="108"/>
      <c r="R265" s="108">
        <v>3220000</v>
      </c>
      <c r="S265" s="108">
        <f>4600000</f>
        <v>4600000</v>
      </c>
      <c r="T265" s="108">
        <v>4600000</v>
      </c>
      <c r="U265" s="108">
        <f>3526667</f>
        <v>3526667</v>
      </c>
      <c r="V265" s="108"/>
      <c r="W265" s="99"/>
      <c r="X265" s="99"/>
      <c r="Y265" s="143"/>
      <c r="Z265" s="155">
        <f t="shared" si="149"/>
        <v>15946667</v>
      </c>
      <c r="AA265" s="520">
        <f t="shared" si="146"/>
        <v>0</v>
      </c>
      <c r="AC265" s="83" t="s">
        <v>294</v>
      </c>
      <c r="AD265" s="88">
        <f t="shared" si="142"/>
        <v>245</v>
      </c>
      <c r="AE265" s="111">
        <f t="shared" si="143"/>
        <v>15946667</v>
      </c>
      <c r="AF265" s="117">
        <v>42816</v>
      </c>
      <c r="AG265" s="109">
        <f t="shared" si="144"/>
        <v>428</v>
      </c>
      <c r="AH265" s="111">
        <f t="shared" si="145"/>
        <v>15946667</v>
      </c>
      <c r="AI265" s="121">
        <v>42835</v>
      </c>
      <c r="AJ265" s="88" t="s">
        <v>596</v>
      </c>
      <c r="AK265" s="111">
        <f t="shared" si="154"/>
        <v>204</v>
      </c>
      <c r="AL265" s="111">
        <v>52778785</v>
      </c>
      <c r="AM265" s="101">
        <f t="shared" si="155"/>
        <v>0</v>
      </c>
    </row>
    <row r="266" spans="1:39" s="112" customFormat="1" ht="63.75">
      <c r="A266" s="254" t="s">
        <v>159</v>
      </c>
      <c r="B266" s="92">
        <f t="shared" si="147"/>
        <v>27810000</v>
      </c>
      <c r="C266" s="88" t="s">
        <v>78</v>
      </c>
      <c r="D266" s="88" t="s">
        <v>160</v>
      </c>
      <c r="E266" s="88" t="s">
        <v>121</v>
      </c>
      <c r="F266" s="88" t="s">
        <v>161</v>
      </c>
      <c r="G266" s="88" t="s">
        <v>122</v>
      </c>
      <c r="H266" s="64">
        <v>211</v>
      </c>
      <c r="I266" s="140">
        <v>254</v>
      </c>
      <c r="J266" s="141">
        <f>29252000-1442000</f>
        <v>27810000</v>
      </c>
      <c r="K266" s="108">
        <v>408</v>
      </c>
      <c r="L266" s="108">
        <v>27810000</v>
      </c>
      <c r="M266" s="142">
        <v>195</v>
      </c>
      <c r="N266" s="144"/>
      <c r="O266" s="99"/>
      <c r="P266" s="99"/>
      <c r="Q266" s="108"/>
      <c r="R266" s="108">
        <v>3193000</v>
      </c>
      <c r="S266" s="108">
        <f>3090000</f>
        <v>3090000</v>
      </c>
      <c r="T266" s="108">
        <v>3090000</v>
      </c>
      <c r="U266" s="108">
        <f>3090000</f>
        <v>3090000</v>
      </c>
      <c r="V266" s="108">
        <f>3090000</f>
        <v>3090000</v>
      </c>
      <c r="W266" s="108">
        <f>3090000</f>
        <v>3090000</v>
      </c>
      <c r="X266" s="108">
        <f>3090000</f>
        <v>3090000</v>
      </c>
      <c r="Y266" s="157">
        <f>3090000+2987000</f>
        <v>6077000</v>
      </c>
      <c r="Z266" s="155">
        <f t="shared" si="149"/>
        <v>27810000</v>
      </c>
      <c r="AA266" s="520">
        <f t="shared" si="146"/>
        <v>0</v>
      </c>
      <c r="AC266" s="83" t="s">
        <v>552</v>
      </c>
      <c r="AD266" s="88">
        <f t="shared" si="142"/>
        <v>254</v>
      </c>
      <c r="AE266" s="111">
        <f t="shared" si="143"/>
        <v>27810000</v>
      </c>
      <c r="AF266" s="117">
        <v>42823</v>
      </c>
      <c r="AG266" s="109">
        <f t="shared" si="144"/>
        <v>408</v>
      </c>
      <c r="AH266" s="111">
        <f t="shared" si="145"/>
        <v>27810000</v>
      </c>
      <c r="AI266" s="121">
        <v>42824</v>
      </c>
      <c r="AJ266" s="88" t="s">
        <v>571</v>
      </c>
      <c r="AK266" s="111">
        <f t="shared" si="154"/>
        <v>195</v>
      </c>
      <c r="AL266" s="111">
        <v>78075841</v>
      </c>
      <c r="AM266" s="101">
        <f t="shared" si="155"/>
        <v>0</v>
      </c>
    </row>
    <row r="267" spans="1:39" s="112" customFormat="1" ht="63.75">
      <c r="A267" s="254" t="s">
        <v>159</v>
      </c>
      <c r="B267" s="92">
        <f t="shared" si="147"/>
        <v>46900000</v>
      </c>
      <c r="C267" s="88" t="s">
        <v>78</v>
      </c>
      <c r="D267" s="88" t="s">
        <v>160</v>
      </c>
      <c r="E267" s="88" t="s">
        <v>121</v>
      </c>
      <c r="F267" s="88" t="s">
        <v>161</v>
      </c>
      <c r="G267" s="88" t="s">
        <v>122</v>
      </c>
      <c r="H267" s="64">
        <v>235</v>
      </c>
      <c r="I267" s="140" t="s">
        <v>1091</v>
      </c>
      <c r="J267" s="141">
        <f>42712500+4187500</f>
        <v>46900000</v>
      </c>
      <c r="K267" s="108" t="s">
        <v>1205</v>
      </c>
      <c r="L267" s="108">
        <f>42712500+4187500</f>
        <v>46900000</v>
      </c>
      <c r="M267" s="142">
        <v>202</v>
      </c>
      <c r="N267" s="144"/>
      <c r="O267" s="99"/>
      <c r="P267" s="99"/>
      <c r="Q267" s="108"/>
      <c r="R267" s="108">
        <v>4187500</v>
      </c>
      <c r="S267" s="108">
        <f>5025000</f>
        <v>5025000</v>
      </c>
      <c r="T267" s="108">
        <v>5025000</v>
      </c>
      <c r="U267" s="108">
        <f>5025000</f>
        <v>5025000</v>
      </c>
      <c r="V267" s="108">
        <f>5025000</f>
        <v>5025000</v>
      </c>
      <c r="W267" s="108">
        <f>5025000</f>
        <v>5025000</v>
      </c>
      <c r="X267" s="108">
        <f>5025000</f>
        <v>5025000</v>
      </c>
      <c r="Y267" s="157">
        <f>5025000+3350000+1675000</f>
        <v>10050000</v>
      </c>
      <c r="Z267" s="155">
        <f t="shared" si="149"/>
        <v>44387500</v>
      </c>
      <c r="AA267" s="520">
        <f t="shared" si="146"/>
        <v>2512500</v>
      </c>
      <c r="AC267" s="83" t="s">
        <v>567</v>
      </c>
      <c r="AD267" s="88" t="str">
        <f t="shared" ref="AD267:AD286" si="156">I267</f>
        <v>256 - 704</v>
      </c>
      <c r="AE267" s="111">
        <f t="shared" ref="AE267:AE286" si="157">J267</f>
        <v>46900000</v>
      </c>
      <c r="AF267" s="117">
        <v>42824</v>
      </c>
      <c r="AG267" s="109" t="str">
        <f t="shared" ref="AG267:AG286" si="158">K267</f>
        <v>418-1086</v>
      </c>
      <c r="AH267" s="111">
        <f t="shared" ref="AH267:AH286" si="159">L267</f>
        <v>46900000</v>
      </c>
      <c r="AI267" s="121">
        <v>42831</v>
      </c>
      <c r="AJ267" s="88" t="s">
        <v>595</v>
      </c>
      <c r="AK267" s="111">
        <f t="shared" si="154"/>
        <v>202</v>
      </c>
      <c r="AL267" s="111">
        <v>1032417067</v>
      </c>
      <c r="AM267" s="101">
        <f t="shared" si="155"/>
        <v>0</v>
      </c>
    </row>
    <row r="268" spans="1:39" s="112" customFormat="1" ht="63.75">
      <c r="A268" s="254" t="s">
        <v>159</v>
      </c>
      <c r="B268" s="92">
        <f t="shared" si="147"/>
        <v>20449000</v>
      </c>
      <c r="C268" s="88" t="s">
        <v>78</v>
      </c>
      <c r="D268" s="88" t="s">
        <v>160</v>
      </c>
      <c r="E268" s="88" t="s">
        <v>121</v>
      </c>
      <c r="F268" s="88" t="s">
        <v>161</v>
      </c>
      <c r="G268" s="88" t="s">
        <v>122</v>
      </c>
      <c r="H268" s="64">
        <v>243</v>
      </c>
      <c r="I268" s="140" t="s">
        <v>1096</v>
      </c>
      <c r="J268" s="141">
        <f>18089500+3146000-786500</f>
        <v>20449000</v>
      </c>
      <c r="K268" s="108" t="s">
        <v>1206</v>
      </c>
      <c r="L268" s="108">
        <f>18089500+2359500</f>
        <v>20449000</v>
      </c>
      <c r="M268" s="142">
        <v>194</v>
      </c>
      <c r="N268" s="144"/>
      <c r="O268" s="99"/>
      <c r="P268" s="99"/>
      <c r="Q268" s="99"/>
      <c r="R268" s="108">
        <v>2216500</v>
      </c>
      <c r="S268" s="108">
        <f>2145000</f>
        <v>2145000</v>
      </c>
      <c r="T268" s="108">
        <v>2145000</v>
      </c>
      <c r="U268" s="108">
        <f>2145000</f>
        <v>2145000</v>
      </c>
      <c r="V268" s="108">
        <f>2145000</f>
        <v>2145000</v>
      </c>
      <c r="W268" s="108">
        <f>2145000</f>
        <v>2145000</v>
      </c>
      <c r="X268" s="108">
        <f>2145000</f>
        <v>2145000</v>
      </c>
      <c r="Y268" s="157">
        <f>2145000+858000+1287000</f>
        <v>4290000</v>
      </c>
      <c r="Z268" s="155">
        <f t="shared" si="149"/>
        <v>19376500</v>
      </c>
      <c r="AA268" s="520">
        <f t="shared" si="146"/>
        <v>1072500</v>
      </c>
      <c r="AC268" s="83" t="s">
        <v>371</v>
      </c>
      <c r="AD268" s="88" t="str">
        <f t="shared" si="156"/>
        <v>255 - 696</v>
      </c>
      <c r="AE268" s="111">
        <f t="shared" si="157"/>
        <v>20449000</v>
      </c>
      <c r="AF268" s="117">
        <v>42823</v>
      </c>
      <c r="AG268" s="109" t="str">
        <f t="shared" si="158"/>
        <v>407-1052</v>
      </c>
      <c r="AH268" s="111">
        <f t="shared" si="159"/>
        <v>20449000</v>
      </c>
      <c r="AI268" s="121">
        <v>42824</v>
      </c>
      <c r="AJ268" s="88" t="s">
        <v>570</v>
      </c>
      <c r="AK268" s="111">
        <f t="shared" si="154"/>
        <v>194</v>
      </c>
      <c r="AL268" s="111">
        <v>80813338</v>
      </c>
      <c r="AM268" s="101">
        <f t="shared" si="155"/>
        <v>0</v>
      </c>
    </row>
    <row r="269" spans="1:39" s="112" customFormat="1" ht="63.75">
      <c r="A269" s="254" t="s">
        <v>159</v>
      </c>
      <c r="B269" s="92">
        <f t="shared" si="147"/>
        <v>25284783</v>
      </c>
      <c r="C269" s="88" t="s">
        <v>78</v>
      </c>
      <c r="D269" s="88" t="s">
        <v>160</v>
      </c>
      <c r="E269" s="88" t="s">
        <v>121</v>
      </c>
      <c r="F269" s="88" t="s">
        <v>161</v>
      </c>
      <c r="G269" s="88" t="s">
        <v>122</v>
      </c>
      <c r="H269" s="64">
        <v>242</v>
      </c>
      <c r="I269" s="140" t="s">
        <v>1097</v>
      </c>
      <c r="J269" s="141">
        <f>22367308+2917475</f>
        <v>25284783</v>
      </c>
      <c r="K269" s="108" t="s">
        <v>1208</v>
      </c>
      <c r="L269" s="108">
        <f>22367308+2917475</f>
        <v>25284783</v>
      </c>
      <c r="M269" s="142">
        <v>196</v>
      </c>
      <c r="N269" s="144"/>
      <c r="O269" s="99"/>
      <c r="P269" s="99"/>
      <c r="Q269" s="99"/>
      <c r="R269" s="108">
        <v>2740658</v>
      </c>
      <c r="S269" s="108">
        <f>2652250</f>
        <v>2652250</v>
      </c>
      <c r="T269" s="108">
        <v>2652250</v>
      </c>
      <c r="U269" s="108">
        <f>2652250</f>
        <v>2652250</v>
      </c>
      <c r="V269" s="108">
        <f>2652250</f>
        <v>2652250</v>
      </c>
      <c r="W269" s="108">
        <f>2652250</f>
        <v>2652250</v>
      </c>
      <c r="X269" s="108">
        <f>2652250</f>
        <v>2652250</v>
      </c>
      <c r="Y269" s="157">
        <f>2652250+1060900+1591350</f>
        <v>5304500</v>
      </c>
      <c r="Z269" s="155">
        <f t="shared" si="149"/>
        <v>23958658</v>
      </c>
      <c r="AA269" s="520">
        <f t="shared" si="146"/>
        <v>1326125</v>
      </c>
      <c r="AC269" s="83" t="s">
        <v>551</v>
      </c>
      <c r="AD269" s="88" t="str">
        <f t="shared" si="156"/>
        <v>253 - 695</v>
      </c>
      <c r="AE269" s="111">
        <f t="shared" si="157"/>
        <v>25284783</v>
      </c>
      <c r="AF269" s="117">
        <v>42823</v>
      </c>
      <c r="AG269" s="109" t="str">
        <f t="shared" si="158"/>
        <v>409-1053</v>
      </c>
      <c r="AH269" s="111">
        <f t="shared" si="159"/>
        <v>25284783</v>
      </c>
      <c r="AI269" s="121">
        <v>42824</v>
      </c>
      <c r="AJ269" s="88" t="s">
        <v>572</v>
      </c>
      <c r="AK269" s="111">
        <f t="shared" si="154"/>
        <v>196</v>
      </c>
      <c r="AL269" s="111">
        <v>1023876968</v>
      </c>
      <c r="AM269" s="101">
        <f t="shared" si="155"/>
        <v>0</v>
      </c>
    </row>
    <row r="270" spans="1:39" s="112" customFormat="1" ht="63.75">
      <c r="A270" s="254" t="s">
        <v>159</v>
      </c>
      <c r="B270" s="92">
        <f t="shared" si="147"/>
        <v>13016667</v>
      </c>
      <c r="C270" s="88" t="s">
        <v>78</v>
      </c>
      <c r="D270" s="88" t="s">
        <v>160</v>
      </c>
      <c r="E270" s="88" t="s">
        <v>121</v>
      </c>
      <c r="F270" s="88" t="s">
        <v>161</v>
      </c>
      <c r="G270" s="88" t="s">
        <v>122</v>
      </c>
      <c r="H270" s="64">
        <v>213</v>
      </c>
      <c r="I270" s="140" t="s">
        <v>1367</v>
      </c>
      <c r="J270" s="141">
        <f>46750000-46750000+41250000-28233333</f>
        <v>13016667</v>
      </c>
      <c r="K270" s="108">
        <v>510</v>
      </c>
      <c r="L270" s="108">
        <f>38500000-25483333</f>
        <v>13016667</v>
      </c>
      <c r="M270" s="142">
        <v>234</v>
      </c>
      <c r="N270" s="144"/>
      <c r="O270" s="99"/>
      <c r="P270" s="99"/>
      <c r="Q270" s="99"/>
      <c r="R270" s="99"/>
      <c r="S270" s="99"/>
      <c r="T270" s="99"/>
      <c r="U270" s="99"/>
      <c r="V270" s="99"/>
      <c r="W270" s="99"/>
      <c r="X270" s="99"/>
      <c r="Y270" s="157">
        <f>13016667</f>
        <v>13016667</v>
      </c>
      <c r="Z270" s="155">
        <f t="shared" si="149"/>
        <v>13016667</v>
      </c>
      <c r="AA270" s="520">
        <f t="shared" si="146"/>
        <v>0</v>
      </c>
      <c r="AC270" s="83" t="s">
        <v>273</v>
      </c>
      <c r="AD270" s="88" t="str">
        <f t="shared" si="156"/>
        <v>260 - 293</v>
      </c>
      <c r="AE270" s="111">
        <f t="shared" si="157"/>
        <v>13016667</v>
      </c>
      <c r="AF270" s="117">
        <v>42828</v>
      </c>
      <c r="AG270" s="109">
        <f t="shared" si="158"/>
        <v>510</v>
      </c>
      <c r="AH270" s="111">
        <f t="shared" si="159"/>
        <v>13016667</v>
      </c>
      <c r="AI270" s="121">
        <v>42879</v>
      </c>
      <c r="AJ270" s="88" t="s">
        <v>648</v>
      </c>
      <c r="AK270" s="111">
        <f t="shared" si="154"/>
        <v>234</v>
      </c>
      <c r="AL270" s="111">
        <v>74185884</v>
      </c>
      <c r="AM270" s="101">
        <f t="shared" si="155"/>
        <v>0</v>
      </c>
    </row>
    <row r="271" spans="1:39" s="112" customFormat="1" ht="63.75">
      <c r="A271" s="254" t="s">
        <v>159</v>
      </c>
      <c r="B271" s="92">
        <f t="shared" si="147"/>
        <v>29647500</v>
      </c>
      <c r="C271" s="88" t="s">
        <v>78</v>
      </c>
      <c r="D271" s="88" t="s">
        <v>160</v>
      </c>
      <c r="E271" s="88" t="s">
        <v>121</v>
      </c>
      <c r="F271" s="88" t="s">
        <v>161</v>
      </c>
      <c r="G271" s="88" t="s">
        <v>122</v>
      </c>
      <c r="H271" s="64">
        <v>369</v>
      </c>
      <c r="I271" s="140" t="s">
        <v>1060</v>
      </c>
      <c r="J271" s="141">
        <f>27470000-335000+2512500</f>
        <v>29647500</v>
      </c>
      <c r="K271" s="108" t="s">
        <v>1207</v>
      </c>
      <c r="L271" s="108">
        <f>27135000+2512500</f>
        <v>29647500</v>
      </c>
      <c r="M271" s="142">
        <v>266</v>
      </c>
      <c r="N271" s="144"/>
      <c r="O271" s="99"/>
      <c r="P271" s="99"/>
      <c r="Q271" s="99"/>
      <c r="R271" s="99"/>
      <c r="S271" s="99"/>
      <c r="T271" s="99"/>
      <c r="U271" s="108">
        <f>2010000</f>
        <v>2010000</v>
      </c>
      <c r="V271" s="108">
        <f>5025000</f>
        <v>5025000</v>
      </c>
      <c r="W271" s="108">
        <f>5025000</f>
        <v>5025000</v>
      </c>
      <c r="X271" s="108">
        <f>3685000</f>
        <v>3685000</v>
      </c>
      <c r="Y271" s="157">
        <f>1340000+5025000+5025000</f>
        <v>11390000</v>
      </c>
      <c r="Z271" s="155">
        <f t="shared" si="149"/>
        <v>27135000</v>
      </c>
      <c r="AA271" s="520">
        <f t="shared" si="146"/>
        <v>2512500</v>
      </c>
      <c r="AC271" s="83" t="s">
        <v>274</v>
      </c>
      <c r="AD271" s="88" t="str">
        <f t="shared" si="156"/>
        <v>390 - 786</v>
      </c>
      <c r="AE271" s="111">
        <f t="shared" si="157"/>
        <v>29647500</v>
      </c>
      <c r="AF271" s="117">
        <v>42929</v>
      </c>
      <c r="AG271" s="109" t="str">
        <f t="shared" si="158"/>
        <v>630-1130</v>
      </c>
      <c r="AH271" s="111">
        <f t="shared" si="159"/>
        <v>29647500</v>
      </c>
      <c r="AI271" s="121">
        <v>42935</v>
      </c>
      <c r="AJ271" s="88" t="s">
        <v>312</v>
      </c>
      <c r="AK271" s="111">
        <f t="shared" si="154"/>
        <v>266</v>
      </c>
      <c r="AL271" s="111"/>
      <c r="AM271" s="101">
        <f t="shared" si="155"/>
        <v>0</v>
      </c>
    </row>
    <row r="272" spans="1:39" s="112" customFormat="1" ht="63.75">
      <c r="A272" s="254" t="s">
        <v>159</v>
      </c>
      <c r="B272" s="92">
        <f t="shared" ref="B272:B280" si="160">J272</f>
        <v>22278900</v>
      </c>
      <c r="C272" s="88" t="s">
        <v>78</v>
      </c>
      <c r="D272" s="88" t="s">
        <v>160</v>
      </c>
      <c r="E272" s="88" t="s">
        <v>121</v>
      </c>
      <c r="F272" s="88" t="s">
        <v>161</v>
      </c>
      <c r="G272" s="88" t="s">
        <v>122</v>
      </c>
      <c r="H272" s="64">
        <v>376</v>
      </c>
      <c r="I272" s="140" t="s">
        <v>1084</v>
      </c>
      <c r="J272" s="141">
        <f>24358264+2227890-2227890-2079364</f>
        <v>22278900</v>
      </c>
      <c r="K272" s="108">
        <v>662</v>
      </c>
      <c r="L272" s="108">
        <f>22278900</f>
        <v>22278900</v>
      </c>
      <c r="M272" s="142">
        <v>283</v>
      </c>
      <c r="N272" s="144"/>
      <c r="O272" s="99"/>
      <c r="P272" s="99"/>
      <c r="Q272" s="99"/>
      <c r="R272" s="99"/>
      <c r="S272" s="99"/>
      <c r="T272" s="99"/>
      <c r="U272" s="99"/>
      <c r="V272" s="108">
        <f>4455780</f>
        <v>4455780</v>
      </c>
      <c r="W272" s="108">
        <f>4455780</f>
        <v>4455780</v>
      </c>
      <c r="X272" s="99"/>
      <c r="Y272" s="157">
        <f>4158728+2524942+4455780</f>
        <v>11139450</v>
      </c>
      <c r="Z272" s="155">
        <f t="shared" si="149"/>
        <v>20051010</v>
      </c>
      <c r="AA272" s="520">
        <f t="shared" si="146"/>
        <v>2227890</v>
      </c>
      <c r="AC272" s="83" t="s">
        <v>292</v>
      </c>
      <c r="AD272" s="88" t="str">
        <f t="shared" si="156"/>
        <v>399 - 734</v>
      </c>
      <c r="AE272" s="111">
        <f t="shared" si="157"/>
        <v>22278900</v>
      </c>
      <c r="AF272" s="117">
        <v>42937</v>
      </c>
      <c r="AG272" s="109">
        <f t="shared" si="158"/>
        <v>662</v>
      </c>
      <c r="AH272" s="111">
        <f t="shared" si="159"/>
        <v>22278900</v>
      </c>
      <c r="AI272" s="121">
        <v>42948</v>
      </c>
      <c r="AJ272" s="88" t="s">
        <v>404</v>
      </c>
      <c r="AK272" s="111">
        <f t="shared" si="154"/>
        <v>283</v>
      </c>
      <c r="AL272" s="111"/>
      <c r="AM272" s="101">
        <f t="shared" si="155"/>
        <v>0</v>
      </c>
    </row>
    <row r="273" spans="1:39" s="112" customFormat="1" ht="63.75">
      <c r="A273" s="254" t="s">
        <v>159</v>
      </c>
      <c r="B273" s="92">
        <f t="shared" si="160"/>
        <v>21981848</v>
      </c>
      <c r="C273" s="88" t="s">
        <v>78</v>
      </c>
      <c r="D273" s="88" t="s">
        <v>160</v>
      </c>
      <c r="E273" s="88" t="s">
        <v>121</v>
      </c>
      <c r="F273" s="88" t="s">
        <v>161</v>
      </c>
      <c r="G273" s="88" t="s">
        <v>122</v>
      </c>
      <c r="H273" s="64">
        <v>374</v>
      </c>
      <c r="I273" s="140">
        <v>398</v>
      </c>
      <c r="J273" s="141">
        <f>24358264-2376416</f>
        <v>21981848</v>
      </c>
      <c r="K273" s="108">
        <v>678</v>
      </c>
      <c r="L273" s="108">
        <f>21981848</f>
        <v>21981848</v>
      </c>
      <c r="M273" s="142">
        <v>285</v>
      </c>
      <c r="N273" s="144"/>
      <c r="O273" s="99"/>
      <c r="P273" s="99"/>
      <c r="Q273" s="99"/>
      <c r="R273" s="99"/>
      <c r="S273" s="99"/>
      <c r="T273" s="99"/>
      <c r="U273" s="99"/>
      <c r="V273" s="108">
        <f>4307254</f>
        <v>4307254</v>
      </c>
      <c r="W273" s="108">
        <f>4455780</f>
        <v>4455780</v>
      </c>
      <c r="X273" s="108">
        <f>4455780</f>
        <v>4455780</v>
      </c>
      <c r="Y273" s="157">
        <f>3861676+2970520</f>
        <v>6832196</v>
      </c>
      <c r="Z273" s="155">
        <f t="shared" si="149"/>
        <v>20051010</v>
      </c>
      <c r="AA273" s="520">
        <f t="shared" si="146"/>
        <v>1930838</v>
      </c>
      <c r="AC273" s="83" t="s">
        <v>270</v>
      </c>
      <c r="AD273" s="88">
        <f t="shared" si="156"/>
        <v>398</v>
      </c>
      <c r="AE273" s="111">
        <f t="shared" si="157"/>
        <v>21981848</v>
      </c>
      <c r="AF273" s="117">
        <v>42937</v>
      </c>
      <c r="AG273" s="109">
        <f t="shared" si="158"/>
        <v>678</v>
      </c>
      <c r="AH273" s="111">
        <f t="shared" si="159"/>
        <v>21981848</v>
      </c>
      <c r="AI273" s="121">
        <v>42949</v>
      </c>
      <c r="AJ273" s="88" t="s">
        <v>301</v>
      </c>
      <c r="AK273" s="111">
        <f t="shared" si="154"/>
        <v>285</v>
      </c>
      <c r="AL273" s="111"/>
      <c r="AM273" s="101">
        <f t="shared" si="155"/>
        <v>0</v>
      </c>
    </row>
    <row r="274" spans="1:39" s="112" customFormat="1" ht="63.75">
      <c r="A274" s="254" t="s">
        <v>159</v>
      </c>
      <c r="B274" s="92">
        <f t="shared" si="160"/>
        <v>21610179</v>
      </c>
      <c r="C274" s="88" t="s">
        <v>78</v>
      </c>
      <c r="D274" s="88" t="s">
        <v>160</v>
      </c>
      <c r="E274" s="88" t="s">
        <v>121</v>
      </c>
      <c r="F274" s="88" t="s">
        <v>161</v>
      </c>
      <c r="G274" s="88" t="s">
        <v>122</v>
      </c>
      <c r="H274" s="64">
        <v>372</v>
      </c>
      <c r="I274" s="140">
        <f>401</f>
        <v>401</v>
      </c>
      <c r="J274" s="141">
        <f>22033908+2259888-2259888-423729</f>
        <v>21610179</v>
      </c>
      <c r="K274" s="108">
        <v>652</v>
      </c>
      <c r="L274" s="108">
        <f>21610179</f>
        <v>21610179</v>
      </c>
      <c r="M274" s="142">
        <v>278</v>
      </c>
      <c r="N274" s="144"/>
      <c r="O274" s="99"/>
      <c r="P274" s="99"/>
      <c r="Q274" s="99"/>
      <c r="R274" s="99"/>
      <c r="S274" s="99"/>
      <c r="T274" s="99"/>
      <c r="U274" s="99"/>
      <c r="V274" s="108">
        <f>4802262</f>
        <v>4802262</v>
      </c>
      <c r="W274" s="108">
        <f>4237290</f>
        <v>4237290</v>
      </c>
      <c r="X274" s="108">
        <f>4237290</f>
        <v>4237290</v>
      </c>
      <c r="Y274" s="157">
        <f>4237290+4096047</f>
        <v>8333337</v>
      </c>
      <c r="Z274" s="155">
        <f t="shared" si="149"/>
        <v>21610179</v>
      </c>
      <c r="AA274" s="520">
        <f t="shared" si="146"/>
        <v>0</v>
      </c>
      <c r="AC274" s="83" t="s">
        <v>691</v>
      </c>
      <c r="AD274" s="88">
        <f t="shared" si="156"/>
        <v>401</v>
      </c>
      <c r="AE274" s="111">
        <f t="shared" si="157"/>
        <v>21610179</v>
      </c>
      <c r="AF274" s="117">
        <v>42940</v>
      </c>
      <c r="AG274" s="109">
        <f t="shared" si="158"/>
        <v>652</v>
      </c>
      <c r="AH274" s="111">
        <f t="shared" si="159"/>
        <v>21610179</v>
      </c>
      <c r="AI274" s="121">
        <v>42943</v>
      </c>
      <c r="AJ274" s="88" t="s">
        <v>320</v>
      </c>
      <c r="AK274" s="111">
        <f t="shared" si="154"/>
        <v>278</v>
      </c>
      <c r="AL274" s="111"/>
      <c r="AM274" s="101">
        <f t="shared" si="155"/>
        <v>0</v>
      </c>
    </row>
    <row r="275" spans="1:39" s="112" customFormat="1" ht="63.75">
      <c r="A275" s="254" t="s">
        <v>159</v>
      </c>
      <c r="B275" s="92">
        <f t="shared" si="160"/>
        <v>12012000</v>
      </c>
      <c r="C275" s="88" t="s">
        <v>78</v>
      </c>
      <c r="D275" s="88" t="s">
        <v>160</v>
      </c>
      <c r="E275" s="88" t="s">
        <v>121</v>
      </c>
      <c r="F275" s="88" t="s">
        <v>161</v>
      </c>
      <c r="G275" s="88" t="s">
        <v>122</v>
      </c>
      <c r="H275" s="64">
        <v>368</v>
      </c>
      <c r="I275" s="140" t="s">
        <v>1077</v>
      </c>
      <c r="J275" s="141">
        <f>11154000+1072500-214500</f>
        <v>12012000</v>
      </c>
      <c r="K275" s="108" t="s">
        <v>1209</v>
      </c>
      <c r="L275" s="108">
        <f>10939500+1072500</f>
        <v>12012000</v>
      </c>
      <c r="M275" s="142">
        <v>280</v>
      </c>
      <c r="N275" s="144"/>
      <c r="O275" s="99"/>
      <c r="P275" s="99"/>
      <c r="Q275" s="99"/>
      <c r="R275" s="99"/>
      <c r="S275" s="99"/>
      <c r="T275" s="99"/>
      <c r="U275" s="99"/>
      <c r="V275" s="108">
        <f>2359500</f>
        <v>2359500</v>
      </c>
      <c r="W275" s="108">
        <f>2145000</f>
        <v>2145000</v>
      </c>
      <c r="X275" s="108">
        <f>2145000</f>
        <v>2145000</v>
      </c>
      <c r="Y275" s="157">
        <f>2145000+2145000</f>
        <v>4290000</v>
      </c>
      <c r="Z275" s="155">
        <f t="shared" si="149"/>
        <v>10939500</v>
      </c>
      <c r="AA275" s="520">
        <f t="shared" si="146"/>
        <v>1072500</v>
      </c>
      <c r="AC275" s="83" t="s">
        <v>692</v>
      </c>
      <c r="AD275" s="88" t="str">
        <f t="shared" si="156"/>
        <v>400 - 744</v>
      </c>
      <c r="AE275" s="111">
        <f t="shared" si="157"/>
        <v>12012000</v>
      </c>
      <c r="AF275" s="117">
        <v>42940</v>
      </c>
      <c r="AG275" s="109" t="str">
        <f t="shared" si="158"/>
        <v>654-1121</v>
      </c>
      <c r="AH275" s="111">
        <f t="shared" si="159"/>
        <v>12012000</v>
      </c>
      <c r="AI275" s="121">
        <v>42944</v>
      </c>
      <c r="AJ275" s="88" t="s">
        <v>559</v>
      </c>
      <c r="AK275" s="111">
        <f t="shared" si="154"/>
        <v>280</v>
      </c>
      <c r="AL275" s="111"/>
      <c r="AM275" s="101">
        <f t="shared" si="155"/>
        <v>0</v>
      </c>
    </row>
    <row r="276" spans="1:39" s="112" customFormat="1" ht="63.75">
      <c r="A276" s="254" t="s">
        <v>159</v>
      </c>
      <c r="B276" s="92">
        <f t="shared" si="160"/>
        <v>25760000</v>
      </c>
      <c r="C276" s="88" t="s">
        <v>78</v>
      </c>
      <c r="D276" s="88" t="s">
        <v>160</v>
      </c>
      <c r="E276" s="88" t="s">
        <v>121</v>
      </c>
      <c r="F276" s="88" t="s">
        <v>161</v>
      </c>
      <c r="G276" s="88" t="s">
        <v>122</v>
      </c>
      <c r="H276" s="64">
        <v>371</v>
      </c>
      <c r="I276" s="189" t="s">
        <v>1072</v>
      </c>
      <c r="J276" s="141">
        <f>24073333+2300000-613333</f>
        <v>25760000</v>
      </c>
      <c r="K276" s="108" t="s">
        <v>1210</v>
      </c>
      <c r="L276" s="108">
        <f>23460000+2300000</f>
        <v>25760000</v>
      </c>
      <c r="M276" s="142">
        <f>279</f>
        <v>279</v>
      </c>
      <c r="N276" s="144"/>
      <c r="O276" s="99"/>
      <c r="P276" s="99"/>
      <c r="Q276" s="99"/>
      <c r="R276" s="99"/>
      <c r="S276" s="99"/>
      <c r="T276" s="99"/>
      <c r="U276" s="99"/>
      <c r="V276" s="108">
        <f>5060000</f>
        <v>5060000</v>
      </c>
      <c r="W276" s="108">
        <f>4600000</f>
        <v>4600000</v>
      </c>
      <c r="X276" s="108">
        <f>4600000</f>
        <v>4600000</v>
      </c>
      <c r="Y276" s="157">
        <f>4600000+4600000</f>
        <v>9200000</v>
      </c>
      <c r="Z276" s="155">
        <f t="shared" si="149"/>
        <v>23460000</v>
      </c>
      <c r="AA276" s="520">
        <f t="shared" si="146"/>
        <v>2300000</v>
      </c>
      <c r="AC276" s="83" t="s">
        <v>294</v>
      </c>
      <c r="AD276" s="88" t="str">
        <f t="shared" si="156"/>
        <v>405 - 763</v>
      </c>
      <c r="AE276" s="111">
        <f t="shared" si="157"/>
        <v>25760000</v>
      </c>
      <c r="AF276" s="117">
        <v>42941</v>
      </c>
      <c r="AG276" s="109" t="str">
        <f t="shared" si="158"/>
        <v>653-1177</v>
      </c>
      <c r="AH276" s="111">
        <f t="shared" si="159"/>
        <v>25760000</v>
      </c>
      <c r="AI276" s="121">
        <v>42944</v>
      </c>
      <c r="AJ276" s="88" t="s">
        <v>323</v>
      </c>
      <c r="AK276" s="111">
        <f t="shared" si="154"/>
        <v>279</v>
      </c>
      <c r="AL276" s="111"/>
      <c r="AM276" s="101">
        <f t="shared" si="155"/>
        <v>0</v>
      </c>
    </row>
    <row r="277" spans="1:39" s="112" customFormat="1" ht="63.75">
      <c r="A277" s="254" t="s">
        <v>159</v>
      </c>
      <c r="B277" s="92">
        <f t="shared" si="160"/>
        <v>25760000</v>
      </c>
      <c r="C277" s="88" t="s">
        <v>78</v>
      </c>
      <c r="D277" s="88" t="s">
        <v>160</v>
      </c>
      <c r="E277" s="88" t="s">
        <v>121</v>
      </c>
      <c r="F277" s="88" t="s">
        <v>161</v>
      </c>
      <c r="G277" s="88" t="s">
        <v>122</v>
      </c>
      <c r="H277" s="64">
        <v>370</v>
      </c>
      <c r="I277" s="140" t="s">
        <v>1075</v>
      </c>
      <c r="J277" s="141">
        <f>24073333+2300000-613333</f>
        <v>25760000</v>
      </c>
      <c r="K277" s="108" t="s">
        <v>1211</v>
      </c>
      <c r="L277" s="108">
        <f>23460000+2300000</f>
        <v>25760000</v>
      </c>
      <c r="M277" s="142">
        <v>281</v>
      </c>
      <c r="N277" s="144"/>
      <c r="O277" s="99"/>
      <c r="P277" s="99"/>
      <c r="Q277" s="99"/>
      <c r="R277" s="99"/>
      <c r="S277" s="99"/>
      <c r="T277" s="99"/>
      <c r="U277" s="99"/>
      <c r="V277" s="108">
        <f>5060000</f>
        <v>5060000</v>
      </c>
      <c r="W277" s="108">
        <f>4600000</f>
        <v>4600000</v>
      </c>
      <c r="X277" s="108">
        <f>4600000</f>
        <v>4600000</v>
      </c>
      <c r="Y277" s="157">
        <f>4600000+4600000</f>
        <v>9200000</v>
      </c>
      <c r="Z277" s="155">
        <f t="shared" si="149"/>
        <v>23460000</v>
      </c>
      <c r="AA277" s="520">
        <f t="shared" si="146"/>
        <v>2300000</v>
      </c>
      <c r="AC277" s="83" t="s">
        <v>294</v>
      </c>
      <c r="AD277" s="88" t="str">
        <f t="shared" si="156"/>
        <v>404 - 748</v>
      </c>
      <c r="AE277" s="111">
        <f t="shared" si="157"/>
        <v>25760000</v>
      </c>
      <c r="AF277" s="117">
        <v>42941</v>
      </c>
      <c r="AG277" s="109" t="str">
        <f t="shared" si="158"/>
        <v>655-1178</v>
      </c>
      <c r="AH277" s="111">
        <f t="shared" si="159"/>
        <v>25760000</v>
      </c>
      <c r="AI277" s="121">
        <v>42944</v>
      </c>
      <c r="AJ277" s="88" t="s">
        <v>596</v>
      </c>
      <c r="AK277" s="111">
        <f t="shared" si="154"/>
        <v>281</v>
      </c>
      <c r="AL277" s="111"/>
      <c r="AM277" s="101">
        <f t="shared" si="155"/>
        <v>0</v>
      </c>
    </row>
    <row r="278" spans="1:39" s="112" customFormat="1" ht="63.75">
      <c r="A278" s="254" t="s">
        <v>159</v>
      </c>
      <c r="B278" s="92">
        <f t="shared" si="160"/>
        <v>22427426</v>
      </c>
      <c r="C278" s="88" t="s">
        <v>78</v>
      </c>
      <c r="D278" s="88" t="s">
        <v>160</v>
      </c>
      <c r="E278" s="88" t="s">
        <v>121</v>
      </c>
      <c r="F278" s="88" t="s">
        <v>161</v>
      </c>
      <c r="G278" s="88" t="s">
        <v>122</v>
      </c>
      <c r="H278" s="64">
        <v>375</v>
      </c>
      <c r="I278" s="140" t="s">
        <v>1089</v>
      </c>
      <c r="J278" s="141">
        <f>21833322+2227890-1633786</f>
        <v>22427426</v>
      </c>
      <c r="K278" s="108" t="s">
        <v>1212</v>
      </c>
      <c r="L278" s="108">
        <f>20199536+2227890</f>
        <v>22427426</v>
      </c>
      <c r="M278" s="142">
        <v>289</v>
      </c>
      <c r="N278" s="144"/>
      <c r="O278" s="99"/>
      <c r="P278" s="99"/>
      <c r="Q278" s="99"/>
      <c r="R278" s="99"/>
      <c r="S278" s="99"/>
      <c r="T278" s="99"/>
      <c r="U278" s="99"/>
      <c r="V278" s="108">
        <f>2524942</f>
        <v>2524942</v>
      </c>
      <c r="W278" s="108">
        <f>4455780</f>
        <v>4455780</v>
      </c>
      <c r="X278" s="108">
        <f>4455780</f>
        <v>4455780</v>
      </c>
      <c r="Y278" s="157">
        <f>4455780+4307254+148526</f>
        <v>8911560</v>
      </c>
      <c r="Z278" s="155">
        <f t="shared" si="149"/>
        <v>20348062</v>
      </c>
      <c r="AA278" s="520">
        <f t="shared" si="146"/>
        <v>2079364</v>
      </c>
      <c r="AC278" s="83" t="s">
        <v>705</v>
      </c>
      <c r="AD278" s="88" t="str">
        <f t="shared" si="156"/>
        <v>414 - 712</v>
      </c>
      <c r="AE278" s="111">
        <f t="shared" si="157"/>
        <v>22427426</v>
      </c>
      <c r="AF278" s="117">
        <v>42955</v>
      </c>
      <c r="AG278" s="109" t="str">
        <f t="shared" si="158"/>
        <v>693-1166</v>
      </c>
      <c r="AH278" s="111">
        <f t="shared" si="159"/>
        <v>22427426</v>
      </c>
      <c r="AI278" s="121">
        <v>42961</v>
      </c>
      <c r="AJ278" s="88" t="s">
        <v>521</v>
      </c>
      <c r="AK278" s="111">
        <f t="shared" si="154"/>
        <v>289</v>
      </c>
      <c r="AL278" s="111"/>
      <c r="AM278" s="101">
        <f t="shared" si="155"/>
        <v>0</v>
      </c>
    </row>
    <row r="279" spans="1:39" s="112" customFormat="1" ht="63.75">
      <c r="A279" s="254" t="s">
        <v>159</v>
      </c>
      <c r="B279" s="92">
        <f t="shared" si="160"/>
        <v>20056506</v>
      </c>
      <c r="C279" s="88" t="s">
        <v>78</v>
      </c>
      <c r="D279" s="88" t="s">
        <v>160</v>
      </c>
      <c r="E279" s="88" t="s">
        <v>121</v>
      </c>
      <c r="F279" s="88" t="s">
        <v>161</v>
      </c>
      <c r="G279" s="88" t="s">
        <v>122</v>
      </c>
      <c r="H279" s="64">
        <v>373</v>
      </c>
      <c r="I279" s="140" t="s">
        <v>1074</v>
      </c>
      <c r="J279" s="141">
        <f>17937861+2401131-282486</f>
        <v>20056506</v>
      </c>
      <c r="K279" s="108" t="s">
        <v>1213</v>
      </c>
      <c r="L279" s="108">
        <f>17655375+2401131</f>
        <v>20056506</v>
      </c>
      <c r="M279" s="142">
        <v>298</v>
      </c>
      <c r="N279" s="144"/>
      <c r="O279" s="99"/>
      <c r="P279" s="99"/>
      <c r="Q279" s="99"/>
      <c r="R279" s="99"/>
      <c r="S279" s="99"/>
      <c r="T279" s="99"/>
      <c r="U279" s="99"/>
      <c r="V279" s="99"/>
      <c r="W279" s="108">
        <f>5084748</f>
        <v>5084748</v>
      </c>
      <c r="X279" s="108">
        <f>4237290</f>
        <v>4237290</v>
      </c>
      <c r="Y279" s="157">
        <f>4237290+4096047+141243</f>
        <v>8474580</v>
      </c>
      <c r="Z279" s="155">
        <f t="shared" si="149"/>
        <v>17796618</v>
      </c>
      <c r="AA279" s="520">
        <f t="shared" si="146"/>
        <v>2259888</v>
      </c>
      <c r="AC279" s="83" t="s">
        <v>697</v>
      </c>
      <c r="AD279" s="88" t="str">
        <f t="shared" si="156"/>
        <v>429 - 749</v>
      </c>
      <c r="AE279" s="111">
        <f t="shared" si="157"/>
        <v>20056506</v>
      </c>
      <c r="AF279" s="117">
        <v>42965</v>
      </c>
      <c r="AG279" s="109" t="str">
        <f t="shared" si="158"/>
        <v>728-1117</v>
      </c>
      <c r="AH279" s="111">
        <f t="shared" si="159"/>
        <v>20056506</v>
      </c>
      <c r="AI279" s="121">
        <v>42972</v>
      </c>
      <c r="AJ279" s="88" t="s">
        <v>726</v>
      </c>
      <c r="AK279" s="111">
        <f t="shared" si="154"/>
        <v>298</v>
      </c>
      <c r="AL279" s="111"/>
      <c r="AM279" s="101">
        <f t="shared" si="155"/>
        <v>0</v>
      </c>
    </row>
    <row r="280" spans="1:39" s="112" customFormat="1" ht="63.75">
      <c r="A280" s="254" t="s">
        <v>159</v>
      </c>
      <c r="B280" s="92">
        <f t="shared" si="160"/>
        <v>17783333</v>
      </c>
      <c r="C280" s="88" t="s">
        <v>78</v>
      </c>
      <c r="D280" s="88" t="s">
        <v>160</v>
      </c>
      <c r="E280" s="88" t="s">
        <v>121</v>
      </c>
      <c r="F280" s="88" t="s">
        <v>161</v>
      </c>
      <c r="G280" s="88" t="s">
        <v>122</v>
      </c>
      <c r="H280" s="64">
        <v>454</v>
      </c>
      <c r="I280" s="140" t="s">
        <v>1055</v>
      </c>
      <c r="J280" s="141">
        <f>16500000+4033333-2750000</f>
        <v>17783333</v>
      </c>
      <c r="K280" s="108" t="s">
        <v>1214</v>
      </c>
      <c r="L280" s="108">
        <f>13750000+4033333</f>
        <v>17783333</v>
      </c>
      <c r="M280" s="142">
        <v>322</v>
      </c>
      <c r="N280" s="144"/>
      <c r="O280" s="99"/>
      <c r="P280" s="99"/>
      <c r="Q280" s="99"/>
      <c r="R280" s="99"/>
      <c r="S280" s="99"/>
      <c r="T280" s="99"/>
      <c r="U280" s="99"/>
      <c r="V280" s="99"/>
      <c r="W280" s="99"/>
      <c r="X280" s="108">
        <f>4033333</f>
        <v>4033333</v>
      </c>
      <c r="Y280" s="157">
        <f>5500000+4216667</f>
        <v>9716667</v>
      </c>
      <c r="Z280" s="155">
        <f t="shared" si="149"/>
        <v>13750000</v>
      </c>
      <c r="AA280" s="520">
        <f t="shared" si="146"/>
        <v>4033333</v>
      </c>
      <c r="AC280" s="83" t="s">
        <v>792</v>
      </c>
      <c r="AD280" s="88" t="str">
        <f t="shared" si="156"/>
        <v>486 - 814</v>
      </c>
      <c r="AE280" s="111">
        <f t="shared" si="157"/>
        <v>17783333</v>
      </c>
      <c r="AF280" s="117">
        <v>42999</v>
      </c>
      <c r="AG280" s="109" t="str">
        <f t="shared" si="158"/>
        <v>841-1176</v>
      </c>
      <c r="AH280" s="111">
        <f t="shared" si="159"/>
        <v>17783333</v>
      </c>
      <c r="AI280" s="121">
        <v>43014</v>
      </c>
      <c r="AJ280" s="88" t="s">
        <v>845</v>
      </c>
      <c r="AK280" s="111">
        <f t="shared" si="154"/>
        <v>322</v>
      </c>
      <c r="AL280" s="111"/>
      <c r="AM280" s="101">
        <f t="shared" si="155"/>
        <v>0</v>
      </c>
    </row>
    <row r="281" spans="1:39" s="112" customFormat="1" ht="63.75">
      <c r="A281" s="254" t="s">
        <v>159</v>
      </c>
      <c r="B281" s="92">
        <f t="shared" ref="B281:B286" si="161">J281</f>
        <v>12730000</v>
      </c>
      <c r="C281" s="88" t="s">
        <v>78</v>
      </c>
      <c r="D281" s="88" t="s">
        <v>160</v>
      </c>
      <c r="E281" s="88" t="s">
        <v>121</v>
      </c>
      <c r="F281" s="88" t="s">
        <v>161</v>
      </c>
      <c r="G281" s="88" t="s">
        <v>122</v>
      </c>
      <c r="H281" s="64">
        <v>511</v>
      </c>
      <c r="I281" s="140" t="s">
        <v>1054</v>
      </c>
      <c r="J281" s="141">
        <f>11390000-1340000+2680000</f>
        <v>12730000</v>
      </c>
      <c r="K281" s="108" t="s">
        <v>1215</v>
      </c>
      <c r="L281" s="108">
        <f>10050000+2680000</f>
        <v>12730000</v>
      </c>
      <c r="M281" s="142">
        <v>351</v>
      </c>
      <c r="N281" s="144"/>
      <c r="O281" s="99"/>
      <c r="P281" s="99"/>
      <c r="Q281" s="99"/>
      <c r="R281" s="99"/>
      <c r="S281" s="99"/>
      <c r="T281" s="99"/>
      <c r="U281" s="99"/>
      <c r="V281" s="99"/>
      <c r="W281" s="99"/>
      <c r="X281" s="99"/>
      <c r="Y281" s="157">
        <f>5025000+5025000</f>
        <v>10050000</v>
      </c>
      <c r="Z281" s="155">
        <f t="shared" si="149"/>
        <v>10050000</v>
      </c>
      <c r="AA281" s="520">
        <f t="shared" si="146"/>
        <v>2680000</v>
      </c>
      <c r="AC281" s="83" t="s">
        <v>830</v>
      </c>
      <c r="AD281" s="88" t="str">
        <f t="shared" si="156"/>
        <v>551 - 796</v>
      </c>
      <c r="AE281" s="111">
        <f t="shared" si="157"/>
        <v>12730000</v>
      </c>
      <c r="AF281" s="117">
        <v>43026</v>
      </c>
      <c r="AG281" s="109" t="str">
        <f t="shared" si="158"/>
        <v>901-1153</v>
      </c>
      <c r="AH281" s="111">
        <f t="shared" si="159"/>
        <v>12730000</v>
      </c>
      <c r="AI281" s="369">
        <v>43039</v>
      </c>
      <c r="AJ281" s="130" t="s">
        <v>862</v>
      </c>
      <c r="AK281" s="111">
        <f t="shared" ref="AK281:AK286" si="162">M281</f>
        <v>351</v>
      </c>
      <c r="AL281" s="111"/>
      <c r="AM281" s="101">
        <f t="shared" ref="AM281:AM286" si="163">AE281-AH281</f>
        <v>0</v>
      </c>
    </row>
    <row r="282" spans="1:39" s="112" customFormat="1" ht="63.75">
      <c r="A282" s="254" t="s">
        <v>159</v>
      </c>
      <c r="B282" s="92">
        <f t="shared" si="161"/>
        <v>6700000</v>
      </c>
      <c r="C282" s="88" t="s">
        <v>78</v>
      </c>
      <c r="D282" s="88" t="s">
        <v>160</v>
      </c>
      <c r="E282" s="88" t="s">
        <v>121</v>
      </c>
      <c r="F282" s="88" t="s">
        <v>161</v>
      </c>
      <c r="G282" s="88" t="s">
        <v>122</v>
      </c>
      <c r="H282" s="64">
        <v>540</v>
      </c>
      <c r="I282" s="140">
        <v>633</v>
      </c>
      <c r="J282" s="141">
        <f>6700000</f>
        <v>6700000</v>
      </c>
      <c r="K282" s="108">
        <v>1003</v>
      </c>
      <c r="L282" s="108">
        <f>6700000</f>
        <v>6700000</v>
      </c>
      <c r="M282" s="142">
        <v>371</v>
      </c>
      <c r="N282" s="144"/>
      <c r="O282" s="99"/>
      <c r="P282" s="99"/>
      <c r="Q282" s="99"/>
      <c r="R282" s="99"/>
      <c r="S282" s="99"/>
      <c r="T282" s="99"/>
      <c r="U282" s="99"/>
      <c r="V282" s="99"/>
      <c r="W282" s="99"/>
      <c r="X282" s="99"/>
      <c r="Y282" s="157">
        <f>4355000</f>
        <v>4355000</v>
      </c>
      <c r="Z282" s="155">
        <f t="shared" si="149"/>
        <v>4355000</v>
      </c>
      <c r="AA282" s="520">
        <f t="shared" si="146"/>
        <v>2345000</v>
      </c>
      <c r="AC282" s="83" t="s">
        <v>936</v>
      </c>
      <c r="AD282" s="88">
        <f t="shared" si="156"/>
        <v>633</v>
      </c>
      <c r="AE282" s="111">
        <f t="shared" si="157"/>
        <v>6700000</v>
      </c>
      <c r="AF282" s="117">
        <v>43060</v>
      </c>
      <c r="AG282" s="109">
        <f t="shared" si="158"/>
        <v>1003</v>
      </c>
      <c r="AH282" s="111">
        <f t="shared" si="159"/>
        <v>6700000</v>
      </c>
      <c r="AI282" s="121">
        <v>43073</v>
      </c>
      <c r="AJ282" s="88" t="s">
        <v>1216</v>
      </c>
      <c r="AK282" s="111">
        <f t="shared" si="162"/>
        <v>371</v>
      </c>
      <c r="AL282" s="111"/>
      <c r="AM282" s="101">
        <f t="shared" si="163"/>
        <v>0</v>
      </c>
    </row>
    <row r="283" spans="1:39" s="112" customFormat="1" ht="63.75">
      <c r="A283" s="254" t="s">
        <v>159</v>
      </c>
      <c r="B283" s="92">
        <f t="shared" si="161"/>
        <v>0</v>
      </c>
      <c r="C283" s="88" t="s">
        <v>78</v>
      </c>
      <c r="D283" s="88" t="s">
        <v>160</v>
      </c>
      <c r="E283" s="88" t="s">
        <v>121</v>
      </c>
      <c r="F283" s="88" t="s">
        <v>161</v>
      </c>
      <c r="G283" s="88" t="s">
        <v>122</v>
      </c>
      <c r="H283" s="64">
        <v>536</v>
      </c>
      <c r="I283" s="140"/>
      <c r="J283" s="141">
        <f>3713150-3713150</f>
        <v>0</v>
      </c>
      <c r="K283" s="108"/>
      <c r="L283" s="108"/>
      <c r="M283" s="136"/>
      <c r="N283" s="144"/>
      <c r="O283" s="99"/>
      <c r="P283" s="99"/>
      <c r="Q283" s="99"/>
      <c r="R283" s="99"/>
      <c r="S283" s="99"/>
      <c r="T283" s="99"/>
      <c r="U283" s="99"/>
      <c r="V283" s="99"/>
      <c r="W283" s="99"/>
      <c r="X283" s="99"/>
      <c r="Y283" s="143"/>
      <c r="Z283" s="155">
        <f t="shared" si="149"/>
        <v>0</v>
      </c>
      <c r="AA283" s="520">
        <f t="shared" si="146"/>
        <v>0</v>
      </c>
      <c r="AC283" s="83"/>
      <c r="AD283" s="88">
        <f t="shared" si="156"/>
        <v>0</v>
      </c>
      <c r="AE283" s="111">
        <f t="shared" si="157"/>
        <v>0</v>
      </c>
      <c r="AF283" s="117"/>
      <c r="AG283" s="109">
        <f t="shared" si="158"/>
        <v>0</v>
      </c>
      <c r="AH283" s="111">
        <f t="shared" si="159"/>
        <v>0</v>
      </c>
      <c r="AI283" s="88"/>
      <c r="AJ283" s="88"/>
      <c r="AK283" s="111">
        <f t="shared" si="162"/>
        <v>0</v>
      </c>
      <c r="AL283" s="111"/>
      <c r="AM283" s="101">
        <f t="shared" si="163"/>
        <v>0</v>
      </c>
    </row>
    <row r="284" spans="1:39" s="112" customFormat="1" ht="63.75">
      <c r="A284" s="254" t="s">
        <v>159</v>
      </c>
      <c r="B284" s="92">
        <f t="shared" si="161"/>
        <v>0</v>
      </c>
      <c r="C284" s="88" t="s">
        <v>78</v>
      </c>
      <c r="D284" s="88" t="s">
        <v>160</v>
      </c>
      <c r="E284" s="88" t="s">
        <v>121</v>
      </c>
      <c r="F284" s="88" t="s">
        <v>161</v>
      </c>
      <c r="G284" s="88" t="s">
        <v>122</v>
      </c>
      <c r="H284" s="64">
        <v>537</v>
      </c>
      <c r="I284" s="140"/>
      <c r="J284" s="141">
        <f>3713150-3713150</f>
        <v>0</v>
      </c>
      <c r="K284" s="108"/>
      <c r="L284" s="108"/>
      <c r="M284" s="136"/>
      <c r="N284" s="144"/>
      <c r="O284" s="99"/>
      <c r="P284" s="99"/>
      <c r="Q284" s="99"/>
      <c r="R284" s="99"/>
      <c r="S284" s="99"/>
      <c r="T284" s="99"/>
      <c r="U284" s="99"/>
      <c r="V284" s="99"/>
      <c r="W284" s="99"/>
      <c r="X284" s="99"/>
      <c r="Y284" s="143"/>
      <c r="Z284" s="155">
        <f t="shared" si="149"/>
        <v>0</v>
      </c>
      <c r="AA284" s="520">
        <f t="shared" si="146"/>
        <v>0</v>
      </c>
      <c r="AC284" s="83"/>
      <c r="AD284" s="88">
        <f t="shared" si="156"/>
        <v>0</v>
      </c>
      <c r="AE284" s="111">
        <f t="shared" si="157"/>
        <v>0</v>
      </c>
      <c r="AF284" s="117"/>
      <c r="AG284" s="109">
        <f t="shared" si="158"/>
        <v>0</v>
      </c>
      <c r="AH284" s="111">
        <f t="shared" si="159"/>
        <v>0</v>
      </c>
      <c r="AI284" s="88"/>
      <c r="AJ284" s="88"/>
      <c r="AK284" s="111">
        <f t="shared" si="162"/>
        <v>0</v>
      </c>
      <c r="AL284" s="111"/>
      <c r="AM284" s="101">
        <f t="shared" si="163"/>
        <v>0</v>
      </c>
    </row>
    <row r="285" spans="1:39" s="112" customFormat="1" ht="63.75">
      <c r="A285" s="254" t="s">
        <v>159</v>
      </c>
      <c r="B285" s="92">
        <f t="shared" si="161"/>
        <v>0</v>
      </c>
      <c r="C285" s="88" t="s">
        <v>78</v>
      </c>
      <c r="D285" s="88" t="s">
        <v>160</v>
      </c>
      <c r="E285" s="88" t="s">
        <v>121</v>
      </c>
      <c r="F285" s="88" t="s">
        <v>161</v>
      </c>
      <c r="G285" s="88" t="s">
        <v>122</v>
      </c>
      <c r="H285" s="64">
        <v>538</v>
      </c>
      <c r="I285" s="140"/>
      <c r="J285" s="141">
        <f>3713150-3713150</f>
        <v>0</v>
      </c>
      <c r="K285" s="108"/>
      <c r="L285" s="108"/>
      <c r="M285" s="136"/>
      <c r="N285" s="144"/>
      <c r="O285" s="99"/>
      <c r="P285" s="99"/>
      <c r="Q285" s="99"/>
      <c r="R285" s="99"/>
      <c r="S285" s="99"/>
      <c r="T285" s="99"/>
      <c r="U285" s="99"/>
      <c r="V285" s="99"/>
      <c r="W285" s="99"/>
      <c r="X285" s="99"/>
      <c r="Y285" s="143"/>
      <c r="Z285" s="155">
        <f t="shared" si="149"/>
        <v>0</v>
      </c>
      <c r="AA285" s="520">
        <f t="shared" si="146"/>
        <v>0</v>
      </c>
      <c r="AC285" s="83"/>
      <c r="AD285" s="88">
        <f t="shared" si="156"/>
        <v>0</v>
      </c>
      <c r="AE285" s="111">
        <f t="shared" si="157"/>
        <v>0</v>
      </c>
      <c r="AF285" s="117"/>
      <c r="AG285" s="109">
        <f t="shared" si="158"/>
        <v>0</v>
      </c>
      <c r="AH285" s="111">
        <f t="shared" si="159"/>
        <v>0</v>
      </c>
      <c r="AI285" s="88"/>
      <c r="AJ285" s="88"/>
      <c r="AK285" s="111">
        <f t="shared" si="162"/>
        <v>0</v>
      </c>
      <c r="AL285" s="111"/>
      <c r="AM285" s="101">
        <f t="shared" si="163"/>
        <v>0</v>
      </c>
    </row>
    <row r="286" spans="1:39" s="112" customFormat="1" ht="63.75">
      <c r="A286" s="254" t="s">
        <v>159</v>
      </c>
      <c r="B286" s="92">
        <f t="shared" si="161"/>
        <v>0</v>
      </c>
      <c r="C286" s="88" t="s">
        <v>78</v>
      </c>
      <c r="D286" s="88" t="s">
        <v>160</v>
      </c>
      <c r="E286" s="88" t="s">
        <v>121</v>
      </c>
      <c r="F286" s="88" t="s">
        <v>161</v>
      </c>
      <c r="G286" s="88" t="s">
        <v>122</v>
      </c>
      <c r="H286" s="64"/>
      <c r="I286" s="140"/>
      <c r="J286" s="141"/>
      <c r="K286" s="108"/>
      <c r="L286" s="108"/>
      <c r="M286" s="136"/>
      <c r="N286" s="144"/>
      <c r="O286" s="99"/>
      <c r="P286" s="99"/>
      <c r="Q286" s="99"/>
      <c r="R286" s="99"/>
      <c r="S286" s="99"/>
      <c r="T286" s="99"/>
      <c r="U286" s="99"/>
      <c r="V286" s="99"/>
      <c r="W286" s="99"/>
      <c r="X286" s="99"/>
      <c r="Y286" s="143"/>
      <c r="Z286" s="155">
        <f t="shared" si="149"/>
        <v>0</v>
      </c>
      <c r="AA286" s="520">
        <f t="shared" si="146"/>
        <v>0</v>
      </c>
      <c r="AC286" s="83"/>
      <c r="AD286" s="88">
        <f t="shared" si="156"/>
        <v>0</v>
      </c>
      <c r="AE286" s="111">
        <f t="shared" si="157"/>
        <v>0</v>
      </c>
      <c r="AF286" s="117"/>
      <c r="AG286" s="109">
        <f t="shared" si="158"/>
        <v>0</v>
      </c>
      <c r="AH286" s="111">
        <f t="shared" si="159"/>
        <v>0</v>
      </c>
      <c r="AI286" s="88"/>
      <c r="AJ286" s="88"/>
      <c r="AK286" s="111">
        <f t="shared" si="162"/>
        <v>0</v>
      </c>
      <c r="AL286" s="111"/>
      <c r="AM286" s="101">
        <f t="shared" si="163"/>
        <v>0</v>
      </c>
    </row>
    <row r="287" spans="1:39" s="165" customFormat="1" ht="20.25" customHeight="1">
      <c r="A287" s="531" t="s">
        <v>132</v>
      </c>
      <c r="B287" s="99">
        <f>B235-B236-B237-B238-B239-B240-B241-B242-B243-B244-B245-B246-B247-B248-B249-B250-B251-B252-B253-B254-B255-B256-B257-B258-B259-B260-B261-B262-B263-B264-B265-B266-B267-B268-B269-B270-B271-B272-B273-B274-B275-B276-B277-B278-B279-B280-B281-B282-B283-B284-B285-B286</f>
        <v>84204132</v>
      </c>
      <c r="C287" s="484"/>
      <c r="D287" s="484"/>
      <c r="E287" s="484"/>
      <c r="F287" s="484"/>
      <c r="G287" s="485"/>
      <c r="H287" s="486"/>
      <c r="I287" s="484"/>
      <c r="J287" s="135">
        <f>SUM(J235:J286)</f>
        <v>1638373955</v>
      </c>
      <c r="K287" s="487"/>
      <c r="L287" s="487">
        <f>SUM(L235:L286)</f>
        <v>1638373955</v>
      </c>
      <c r="M287" s="488"/>
      <c r="N287" s="489">
        <f>SUM(N235:N271)</f>
        <v>0</v>
      </c>
      <c r="O287" s="484">
        <f t="shared" ref="O287:R287" si="164">SUM(O235:O271)</f>
        <v>25630299</v>
      </c>
      <c r="P287" s="484">
        <f t="shared" si="164"/>
        <v>86491922</v>
      </c>
      <c r="Q287" s="484">
        <f t="shared" si="164"/>
        <v>127636896</v>
      </c>
      <c r="R287" s="484">
        <f t="shared" si="164"/>
        <v>137388713</v>
      </c>
      <c r="S287" s="484">
        <f>SUM(S235:S271)</f>
        <v>151380443</v>
      </c>
      <c r="T287" s="484">
        <f>SUM(T235:T280)</f>
        <v>148325886</v>
      </c>
      <c r="U287" s="99">
        <f>SUM(U235:U286)</f>
        <v>127531954</v>
      </c>
      <c r="V287" s="484">
        <f>SUM(V235:V286)</f>
        <v>142706214</v>
      </c>
      <c r="W287" s="484">
        <f>SUM(W235:W286)</f>
        <v>146269177</v>
      </c>
      <c r="X287" s="484">
        <f>SUM(X235:X286)</f>
        <v>144865164</v>
      </c>
      <c r="Y287" s="484">
        <f>SUM(Y235:Y286)</f>
        <v>335202463</v>
      </c>
      <c r="Z287" s="484">
        <f t="shared" ref="Z287" si="165">SUM(Z235:Z286)</f>
        <v>1573429131</v>
      </c>
      <c r="AA287" s="532">
        <f>SUM(AA235:AA286)</f>
        <v>64944824</v>
      </c>
      <c r="AC287" s="490"/>
      <c r="AD287" s="491"/>
      <c r="AE287" s="484">
        <f>SUM(AE235:AE271)</f>
        <v>1429273763</v>
      </c>
      <c r="AF287" s="492"/>
      <c r="AG287" s="493"/>
      <c r="AH287" s="484">
        <f>SUM(AH235:AH271)</f>
        <v>1429273763</v>
      </c>
      <c r="AI287" s="490"/>
      <c r="AJ287" s="490"/>
      <c r="AK287" s="494"/>
      <c r="AL287" s="494"/>
      <c r="AM287" s="484">
        <f>SUM(AM235:AM271)</f>
        <v>0</v>
      </c>
    </row>
    <row r="288" spans="1:39" s="112" customFormat="1" ht="63.75">
      <c r="A288" s="252" t="s">
        <v>181</v>
      </c>
      <c r="B288" s="54">
        <v>106693000</v>
      </c>
      <c r="C288" s="88" t="s">
        <v>162</v>
      </c>
      <c r="D288" s="88" t="s">
        <v>163</v>
      </c>
      <c r="E288" s="88" t="s">
        <v>121</v>
      </c>
      <c r="F288" s="88" t="s">
        <v>149</v>
      </c>
      <c r="G288" s="88" t="s">
        <v>122</v>
      </c>
      <c r="H288" s="65"/>
      <c r="I288" s="134"/>
      <c r="J288" s="135"/>
      <c r="K288" s="99"/>
      <c r="L288" s="99"/>
      <c r="M288" s="136"/>
      <c r="N288" s="137"/>
      <c r="O288" s="54"/>
      <c r="P288" s="54"/>
      <c r="Q288" s="54"/>
      <c r="R288" s="54"/>
      <c r="S288" s="54"/>
      <c r="T288" s="54"/>
      <c r="U288" s="54"/>
      <c r="V288" s="54"/>
      <c r="W288" s="54"/>
      <c r="X288" s="54"/>
      <c r="Y288" s="136"/>
      <c r="Z288" s="138">
        <f>SUM(N288:Y288)</f>
        <v>0</v>
      </c>
      <c r="AA288" s="520">
        <f>L288-Z288</f>
        <v>0</v>
      </c>
      <c r="AC288" s="83"/>
      <c r="AD288" s="88">
        <f>I288</f>
        <v>0</v>
      </c>
      <c r="AE288" s="111">
        <f>J288</f>
        <v>0</v>
      </c>
      <c r="AF288" s="117"/>
      <c r="AG288" s="109">
        <f>K288</f>
        <v>0</v>
      </c>
      <c r="AH288" s="111">
        <f>L288</f>
        <v>0</v>
      </c>
      <c r="AI288" s="88"/>
      <c r="AJ288" s="88"/>
      <c r="AK288" s="111">
        <f t="shared" si="150"/>
        <v>0</v>
      </c>
      <c r="AL288" s="111"/>
      <c r="AM288" s="101">
        <f t="shared" si="151"/>
        <v>0</v>
      </c>
    </row>
    <row r="289" spans="1:39" s="112" customFormat="1" ht="100.5" customHeight="1">
      <c r="A289" s="254" t="s">
        <v>181</v>
      </c>
      <c r="B289" s="92">
        <f>J289</f>
        <v>87202609</v>
      </c>
      <c r="C289" s="88" t="s">
        <v>162</v>
      </c>
      <c r="D289" s="88" t="s">
        <v>163</v>
      </c>
      <c r="E289" s="88" t="s">
        <v>121</v>
      </c>
      <c r="F289" s="88" t="s">
        <v>149</v>
      </c>
      <c r="G289" s="88" t="s">
        <v>122</v>
      </c>
      <c r="H289" s="64">
        <v>118</v>
      </c>
      <c r="I289" s="140">
        <v>6</v>
      </c>
      <c r="J289" s="141">
        <f>106693000-19490391</f>
        <v>87202609</v>
      </c>
      <c r="K289" s="108" t="s">
        <v>1368</v>
      </c>
      <c r="L289" s="108">
        <f>995370+168790+1352460+617450+1515320+216600+47370+169510+2685711+452940+1221530+115130+1047430+263420+115790+94180+48600+2685711+687700+175887+1239070+1194130+659500+266940+2685711-2685711+48600+116860+44580+811620+1554040+1375280+263700+48600+124610+2685711+55540+2685711+869180+170160+693290+1399490+1498060+48600+136900+265910+74810+2685711+1348160+562090+1543330+2685711+280980+128860+48600+77310+191070+881770+617180+1421320+1572540+2685711+116310+48600+273970+137640+1356050+444360+1452130+265960+129120+48600+2685711+178190+727170+173850+943160+1436420+1165260+222830+51850+2685711-2685711+129800+265150+1173790+737250+957200+2685711+3341640+126270+51850+228640+650290+194260+1294150+748320+750590+51850+526660+127110+2685711+439740+1332110+781340+786870+129450+263330+51850+2685711+311710+195060+753230+1806580-655929</f>
        <v>87202609</v>
      </c>
      <c r="M289" s="142" t="s">
        <v>299</v>
      </c>
      <c r="N289" s="139">
        <f>168790+995370+1352460+617450+1515320+216600+47370</f>
        <v>4913360</v>
      </c>
      <c r="O289" s="89">
        <f>169510+2685711+452940+1221530+115130+1047430+263420+115790+94180+48600+2685711</f>
        <v>8899952</v>
      </c>
      <c r="P289" s="89">
        <f>687700+175887+1239070+1194130+659500+266940+48600+116860+2685711+44580</f>
        <v>7118978</v>
      </c>
      <c r="Q289" s="89">
        <f>811620+1554040+1375280+263700+48600+124610+55540</f>
        <v>4233390</v>
      </c>
      <c r="R289" s="89">
        <f>2685711+869180+170160+693290+1399490+1498060+48600+136900+74810+265910</f>
        <v>7842111</v>
      </c>
      <c r="S289" s="89">
        <f>2685711+1348160+562090+1543330+2685711+280980+128860+48600+77310</f>
        <v>9360752</v>
      </c>
      <c r="T289" s="89">
        <f>191070+881770+617180+1421320+1572540+2685711+116310+48600+273970</f>
        <v>7808471</v>
      </c>
      <c r="U289" s="89">
        <f>137640+1356050+444360+1452130+265960+129120+48600+2685711+178190</f>
        <v>6697761</v>
      </c>
      <c r="V289" s="89">
        <f>727170+943160+1436420+1165260+222830+51850+2685711+129800+265150</f>
        <v>7627351</v>
      </c>
      <c r="W289" s="89">
        <f>173850+1173790+737250+957200+2685711+126270+51850+228640</f>
        <v>6134561</v>
      </c>
      <c r="X289" s="89">
        <f>650290+194260+1294150+748320+750590+51850+526660+127110+2685711+439740</f>
        <v>7468681</v>
      </c>
      <c r="Y289" s="142">
        <f>1332110+781340+786870+129450+263330+51850+2685711+311710+195060+753230+1806580</f>
        <v>9097241</v>
      </c>
      <c r="Z289" s="155">
        <f>SUM(N289:Y289)</f>
        <v>87202609</v>
      </c>
      <c r="AA289" s="520">
        <f>L289-Z289</f>
        <v>0</v>
      </c>
      <c r="AC289" s="83" t="s">
        <v>268</v>
      </c>
      <c r="AD289" s="88">
        <f>I289</f>
        <v>6</v>
      </c>
      <c r="AE289" s="111">
        <f>J289</f>
        <v>87202609</v>
      </c>
      <c r="AF289" s="117">
        <v>42746</v>
      </c>
      <c r="AG289" s="109" t="str">
        <f>K289</f>
        <v>2-4-5-7-8-9-80-83-156-159-311-312-313-314-315-316-338-342-344-345-346-368-371-373-375-395-414-415-419-446-447-448-449-451-455-463-464-465-466-487-489-490-511-513-534-545-546-553-568-570-573-574-590-573-574-590-606-607-609-617-618-635-636-637-641-661-680-681-689-698-710-715-717-725 - 738 - 809 - 746-754 - 761 - 780 -787 -  791 - 795 - 796 - 823-824-844- 848-868-869-870-879-883 - 908 - 909 - 912 - 913 - 926 - 927 - 951 - 952 - 954 - 957 -  968 - 1015 - 1016 - 1045 - 1101 - 1102-1103 - 1104 - 1146 - 1199 - 1200 - 1201</v>
      </c>
      <c r="AH289" s="111">
        <f>L289</f>
        <v>87202609</v>
      </c>
      <c r="AI289" s="88"/>
      <c r="AJ289" s="88"/>
      <c r="AK289" s="89" t="str">
        <f>M289</f>
        <v>SERVICIOS PÚBLICOS</v>
      </c>
      <c r="AL289" s="111"/>
      <c r="AM289" s="101">
        <f t="shared" si="151"/>
        <v>0</v>
      </c>
    </row>
    <row r="290" spans="1:39" s="116" customFormat="1" ht="16.5" customHeight="1">
      <c r="A290" s="255" t="s">
        <v>132</v>
      </c>
      <c r="B290" s="99">
        <f>B288-B289</f>
        <v>19490391</v>
      </c>
      <c r="C290" s="99"/>
      <c r="D290" s="99"/>
      <c r="E290" s="99"/>
      <c r="F290" s="99"/>
      <c r="G290" s="164"/>
      <c r="H290" s="144"/>
      <c r="I290" s="99"/>
      <c r="J290" s="135">
        <f>SUM(J288:J289)</f>
        <v>87202609</v>
      </c>
      <c r="K290" s="99"/>
      <c r="L290" s="99">
        <f>SUM(L288:L289)</f>
        <v>87202609</v>
      </c>
      <c r="M290" s="136"/>
      <c r="N290" s="144">
        <f>SUM(N288:N289)</f>
        <v>4913360</v>
      </c>
      <c r="O290" s="144">
        <f t="shared" ref="O290:T290" si="166">SUM(O288:O289)</f>
        <v>8899952</v>
      </c>
      <c r="P290" s="144">
        <f t="shared" si="166"/>
        <v>7118978</v>
      </c>
      <c r="Q290" s="144">
        <f t="shared" si="166"/>
        <v>4233390</v>
      </c>
      <c r="R290" s="144">
        <f t="shared" si="166"/>
        <v>7842111</v>
      </c>
      <c r="S290" s="144">
        <f>SUM(S288:S289)</f>
        <v>9360752</v>
      </c>
      <c r="T290" s="144">
        <f t="shared" si="166"/>
        <v>7808471</v>
      </c>
      <c r="U290" s="144">
        <f>SUM(U288:U289)</f>
        <v>6697761</v>
      </c>
      <c r="V290" s="144">
        <f>SUM(V288:V289)</f>
        <v>7627351</v>
      </c>
      <c r="W290" s="144">
        <f>SUM(W288:W289)</f>
        <v>6134561</v>
      </c>
      <c r="X290" s="144">
        <f>SUM(X288:X289)</f>
        <v>7468681</v>
      </c>
      <c r="Y290" s="144">
        <f>SUM(Y288:Y289)</f>
        <v>9097241</v>
      </c>
      <c r="Z290" s="144">
        <f t="shared" ref="Z290" si="167">SUM(Z288:Z289)</f>
        <v>87202609</v>
      </c>
      <c r="AA290" s="524">
        <f>SUM(AA288:AA289)</f>
        <v>0</v>
      </c>
      <c r="AC290" s="100"/>
      <c r="AD290" s="44">
        <f t="shared" ref="AD290:AD298" si="168">I290</f>
        <v>0</v>
      </c>
      <c r="AE290" s="101">
        <f>SUM(AE288:AE289)</f>
        <v>87202609</v>
      </c>
      <c r="AF290" s="118"/>
      <c r="AG290" s="109"/>
      <c r="AH290" s="101">
        <f>SUM(AH288:AH289)</f>
        <v>87202609</v>
      </c>
      <c r="AI290" s="54"/>
      <c r="AJ290" s="54"/>
      <c r="AK290" s="101"/>
      <c r="AL290" s="101"/>
      <c r="AM290" s="101">
        <f>SUM(AM288:AM289)</f>
        <v>0</v>
      </c>
    </row>
    <row r="291" spans="1:39" s="112" customFormat="1" ht="78" customHeight="1">
      <c r="A291" s="252" t="s">
        <v>182</v>
      </c>
      <c r="B291" s="54">
        <v>910000000</v>
      </c>
      <c r="C291" s="89" t="s">
        <v>78</v>
      </c>
      <c r="D291" s="88" t="s">
        <v>163</v>
      </c>
      <c r="E291" s="89" t="s">
        <v>121</v>
      </c>
      <c r="F291" s="88" t="s">
        <v>149</v>
      </c>
      <c r="G291" s="88" t="s">
        <v>122</v>
      </c>
      <c r="H291" s="65"/>
      <c r="I291" s="134"/>
      <c r="J291" s="135"/>
      <c r="K291" s="99"/>
      <c r="L291" s="99"/>
      <c r="M291" s="136"/>
      <c r="N291" s="137"/>
      <c r="O291" s="54"/>
      <c r="P291" s="54"/>
      <c r="Q291" s="54"/>
      <c r="R291" s="54"/>
      <c r="S291" s="54"/>
      <c r="T291" s="54"/>
      <c r="U291" s="54"/>
      <c r="V291" s="54"/>
      <c r="W291" s="54"/>
      <c r="X291" s="54"/>
      <c r="Y291" s="136"/>
      <c r="Z291" s="138"/>
      <c r="AA291" s="520">
        <f>L291-Z291</f>
        <v>0</v>
      </c>
      <c r="AC291" s="83"/>
      <c r="AD291" s="88">
        <f t="shared" si="168"/>
        <v>0</v>
      </c>
      <c r="AE291" s="111">
        <f t="shared" ref="AE291:AE298" si="169">J291</f>
        <v>0</v>
      </c>
      <c r="AF291" s="117"/>
      <c r="AG291" s="109">
        <f t="shared" ref="AG291:AH298" si="170">K291</f>
        <v>0</v>
      </c>
      <c r="AH291" s="111">
        <f t="shared" si="170"/>
        <v>0</v>
      </c>
      <c r="AI291" s="88"/>
      <c r="AJ291" s="88"/>
      <c r="AK291" s="111">
        <f t="shared" si="150"/>
        <v>0</v>
      </c>
      <c r="AL291" s="111"/>
      <c r="AM291" s="101">
        <f t="shared" si="151"/>
        <v>0</v>
      </c>
    </row>
    <row r="292" spans="1:39" s="112" customFormat="1" ht="89.25">
      <c r="A292" s="254" t="s">
        <v>182</v>
      </c>
      <c r="B292" s="92">
        <f t="shared" ref="B292:B298" si="171">J292</f>
        <v>579278088</v>
      </c>
      <c r="C292" s="89" t="s">
        <v>78</v>
      </c>
      <c r="D292" s="88" t="s">
        <v>163</v>
      </c>
      <c r="E292" s="89" t="s">
        <v>121</v>
      </c>
      <c r="F292" s="88" t="s">
        <v>149</v>
      </c>
      <c r="G292" s="88" t="s">
        <v>122</v>
      </c>
      <c r="H292" s="64">
        <v>2</v>
      </c>
      <c r="I292" s="140">
        <v>25</v>
      </c>
      <c r="J292" s="141">
        <f>590000000-10721912</f>
        <v>579278088</v>
      </c>
      <c r="K292" s="108">
        <v>398</v>
      </c>
      <c r="L292" s="108">
        <v>579278088</v>
      </c>
      <c r="M292" s="142">
        <v>191</v>
      </c>
      <c r="N292" s="137"/>
      <c r="O292" s="54"/>
      <c r="P292" s="54"/>
      <c r="Q292" s="54"/>
      <c r="R292" s="54"/>
      <c r="S292" s="54"/>
      <c r="T292" s="89">
        <v>144819522</v>
      </c>
      <c r="U292" s="89">
        <f>48273174</f>
        <v>48273174</v>
      </c>
      <c r="V292" s="89">
        <f>48273174</f>
        <v>48273174</v>
      </c>
      <c r="W292" s="89">
        <f>48273174</f>
        <v>48273174</v>
      </c>
      <c r="X292" s="89">
        <f>35085706</f>
        <v>35085706</v>
      </c>
      <c r="Y292" s="142">
        <f>48273174+48273174</f>
        <v>96546348</v>
      </c>
      <c r="Z292" s="155">
        <f>SUM(N292:Y292)</f>
        <v>421271098</v>
      </c>
      <c r="AA292" s="520">
        <f t="shared" ref="AA292:AA298" si="172">L292-Z292</f>
        <v>158006990</v>
      </c>
      <c r="AC292" s="83" t="s">
        <v>278</v>
      </c>
      <c r="AD292" s="88">
        <f t="shared" si="168"/>
        <v>25</v>
      </c>
      <c r="AE292" s="111">
        <f t="shared" si="169"/>
        <v>579278088</v>
      </c>
      <c r="AF292" s="117">
        <v>42747</v>
      </c>
      <c r="AG292" s="109">
        <f t="shared" si="170"/>
        <v>398</v>
      </c>
      <c r="AH292" s="111">
        <f t="shared" si="170"/>
        <v>579278088</v>
      </c>
      <c r="AI292" s="121">
        <v>42821</v>
      </c>
      <c r="AJ292" s="88" t="s">
        <v>558</v>
      </c>
      <c r="AK292" s="111">
        <f t="shared" si="150"/>
        <v>191</v>
      </c>
      <c r="AL292" s="111">
        <v>901066079</v>
      </c>
      <c r="AM292" s="101">
        <f t="shared" si="151"/>
        <v>0</v>
      </c>
    </row>
    <row r="293" spans="1:39" s="112" customFormat="1" ht="63.75">
      <c r="A293" s="372" t="s">
        <v>494</v>
      </c>
      <c r="B293" s="92">
        <f t="shared" si="171"/>
        <v>135271864</v>
      </c>
      <c r="C293" s="89" t="s">
        <v>78</v>
      </c>
      <c r="D293" s="88" t="s">
        <v>163</v>
      </c>
      <c r="E293" s="89" t="s">
        <v>121</v>
      </c>
      <c r="F293" s="88" t="s">
        <v>149</v>
      </c>
      <c r="G293" s="88" t="s">
        <v>122</v>
      </c>
      <c r="H293" s="64">
        <v>206</v>
      </c>
      <c r="I293" s="140" t="s">
        <v>1088</v>
      </c>
      <c r="J293" s="141">
        <f>150000000-59213514+45393243-907865</f>
        <v>135271864</v>
      </c>
      <c r="K293" s="108" t="s">
        <v>1217</v>
      </c>
      <c r="L293" s="108">
        <f>90786486+44485378</f>
        <v>135271864</v>
      </c>
      <c r="M293" s="163">
        <v>14320</v>
      </c>
      <c r="N293" s="144"/>
      <c r="O293" s="99"/>
      <c r="P293" s="99"/>
      <c r="Q293" s="99"/>
      <c r="R293" s="99"/>
      <c r="S293" s="108">
        <f>9078283</f>
        <v>9078283</v>
      </c>
      <c r="T293" s="108">
        <v>27234849</v>
      </c>
      <c r="U293" s="108">
        <f>9078283</f>
        <v>9078283</v>
      </c>
      <c r="V293" s="108">
        <f>9078283</f>
        <v>9078283</v>
      </c>
      <c r="W293" s="108"/>
      <c r="X293" s="108">
        <f>9078283+9078283</f>
        <v>18156566</v>
      </c>
      <c r="Y293" s="157">
        <f>9078283+9081939</f>
        <v>18160222</v>
      </c>
      <c r="Z293" s="155">
        <f t="shared" ref="Z293:Z298" si="173">SUM(N293:Y293)</f>
        <v>90786486</v>
      </c>
      <c r="AA293" s="520">
        <f t="shared" si="172"/>
        <v>44485378</v>
      </c>
      <c r="AC293" s="83" t="s">
        <v>379</v>
      </c>
      <c r="AD293" s="88" t="str">
        <f t="shared" si="168"/>
        <v>149 - 713</v>
      </c>
      <c r="AE293" s="111">
        <f t="shared" si="169"/>
        <v>135271864</v>
      </c>
      <c r="AF293" s="117">
        <v>42769</v>
      </c>
      <c r="AG293" s="109" t="str">
        <f t="shared" si="170"/>
        <v>291-1140</v>
      </c>
      <c r="AH293" s="111">
        <f t="shared" si="170"/>
        <v>135271864</v>
      </c>
      <c r="AI293" s="121">
        <v>42786</v>
      </c>
      <c r="AJ293" s="88" t="s">
        <v>472</v>
      </c>
      <c r="AK293" s="111">
        <f t="shared" si="150"/>
        <v>14320</v>
      </c>
      <c r="AL293" s="111">
        <v>860522931</v>
      </c>
      <c r="AM293" s="101">
        <f t="shared" si="151"/>
        <v>0</v>
      </c>
    </row>
    <row r="294" spans="1:39" s="112" customFormat="1" ht="72" customHeight="1">
      <c r="A294" s="372" t="s">
        <v>458</v>
      </c>
      <c r="B294" s="92">
        <f t="shared" si="171"/>
        <v>187410747</v>
      </c>
      <c r="C294" s="89" t="s">
        <v>78</v>
      </c>
      <c r="D294" s="88" t="s">
        <v>163</v>
      </c>
      <c r="E294" s="89" t="s">
        <v>121</v>
      </c>
      <c r="F294" s="88" t="s">
        <v>149</v>
      </c>
      <c r="G294" s="88" t="s">
        <v>122</v>
      </c>
      <c r="H294" s="64">
        <v>205</v>
      </c>
      <c r="I294" s="140" t="s">
        <v>1369</v>
      </c>
      <c r="J294" s="141">
        <f>160000000-160000000+158014755-604008+30000000</f>
        <v>187410747</v>
      </c>
      <c r="K294" s="108" t="s">
        <v>1218</v>
      </c>
      <c r="L294" s="108">
        <f>157410747+30000000</f>
        <v>187410747</v>
      </c>
      <c r="M294" s="142">
        <v>237</v>
      </c>
      <c r="N294" s="144"/>
      <c r="O294" s="99"/>
      <c r="P294" s="99"/>
      <c r="Q294" s="99"/>
      <c r="R294" s="99"/>
      <c r="S294" s="99"/>
      <c r="T294" s="99"/>
      <c r="U294" s="108">
        <f>157410747</f>
        <v>157410747</v>
      </c>
      <c r="V294" s="99"/>
      <c r="W294" s="99"/>
      <c r="X294" s="99"/>
      <c r="Y294" s="157">
        <f>10710067</f>
        <v>10710067</v>
      </c>
      <c r="Z294" s="155">
        <f t="shared" si="173"/>
        <v>168120814</v>
      </c>
      <c r="AA294" s="520">
        <f t="shared" si="172"/>
        <v>19289933</v>
      </c>
      <c r="AC294" s="83" t="s">
        <v>636</v>
      </c>
      <c r="AD294" s="88" t="str">
        <f t="shared" si="168"/>
        <v>246 - 301 - 598</v>
      </c>
      <c r="AE294" s="111">
        <f t="shared" si="169"/>
        <v>187410747</v>
      </c>
      <c r="AF294" s="122" t="s">
        <v>913</v>
      </c>
      <c r="AG294" s="109" t="str">
        <f t="shared" si="170"/>
        <v>527-1089</v>
      </c>
      <c r="AH294" s="111">
        <f t="shared" si="170"/>
        <v>187410747</v>
      </c>
      <c r="AI294" s="121">
        <v>42881</v>
      </c>
      <c r="AJ294" s="88" t="s">
        <v>637</v>
      </c>
      <c r="AK294" s="111">
        <f t="shared" si="150"/>
        <v>237</v>
      </c>
      <c r="AL294" s="111">
        <v>860002534</v>
      </c>
      <c r="AM294" s="101">
        <f t="shared" si="151"/>
        <v>0</v>
      </c>
    </row>
    <row r="295" spans="1:39" s="112" customFormat="1" ht="72" customHeight="1">
      <c r="A295" s="372" t="s">
        <v>458</v>
      </c>
      <c r="B295" s="92">
        <f t="shared" si="171"/>
        <v>1985245</v>
      </c>
      <c r="C295" s="89" t="s">
        <v>78</v>
      </c>
      <c r="D295" s="88" t="s">
        <v>163</v>
      </c>
      <c r="E295" s="89" t="s">
        <v>121</v>
      </c>
      <c r="F295" s="88" t="s">
        <v>149</v>
      </c>
      <c r="G295" s="88" t="s">
        <v>122</v>
      </c>
      <c r="H295" s="64">
        <v>317</v>
      </c>
      <c r="I295" s="140">
        <v>296</v>
      </c>
      <c r="J295" s="141">
        <v>1985245</v>
      </c>
      <c r="K295" s="108">
        <v>475</v>
      </c>
      <c r="L295" s="108">
        <f>1985245</f>
        <v>1985245</v>
      </c>
      <c r="M295" s="142">
        <v>242</v>
      </c>
      <c r="N295" s="144"/>
      <c r="O295" s="99"/>
      <c r="P295" s="99"/>
      <c r="Q295" s="99"/>
      <c r="R295" s="99"/>
      <c r="S295" s="99"/>
      <c r="T295" s="99"/>
      <c r="U295" s="108"/>
      <c r="V295" s="99"/>
      <c r="W295" s="108">
        <f>1985245</f>
        <v>1985245</v>
      </c>
      <c r="X295" s="99"/>
      <c r="Y295" s="143"/>
      <c r="Z295" s="155">
        <f t="shared" si="173"/>
        <v>1985245</v>
      </c>
      <c r="AA295" s="520">
        <f t="shared" si="172"/>
        <v>0</v>
      </c>
      <c r="AC295" s="83" t="s">
        <v>603</v>
      </c>
      <c r="AD295" s="88">
        <f t="shared" si="168"/>
        <v>296</v>
      </c>
      <c r="AE295" s="111">
        <f t="shared" si="169"/>
        <v>1985245</v>
      </c>
      <c r="AF295" s="117">
        <v>42859</v>
      </c>
      <c r="AG295" s="109">
        <f t="shared" si="170"/>
        <v>475</v>
      </c>
      <c r="AH295" s="111">
        <f t="shared" si="170"/>
        <v>1985245</v>
      </c>
      <c r="AI295" s="121">
        <v>42350</v>
      </c>
      <c r="AJ295" s="88" t="s">
        <v>610</v>
      </c>
      <c r="AK295" s="111">
        <f t="shared" si="150"/>
        <v>242</v>
      </c>
      <c r="AL295" s="111">
        <v>900919312</v>
      </c>
      <c r="AM295" s="101">
        <f>AE295-AH295</f>
        <v>0</v>
      </c>
    </row>
    <row r="296" spans="1:39" s="112" customFormat="1" ht="72" customHeight="1">
      <c r="A296" s="372" t="s">
        <v>458</v>
      </c>
      <c r="B296" s="92">
        <f t="shared" si="171"/>
        <v>0</v>
      </c>
      <c r="C296" s="89" t="s">
        <v>78</v>
      </c>
      <c r="D296" s="88" t="s">
        <v>163</v>
      </c>
      <c r="E296" s="89" t="s">
        <v>121</v>
      </c>
      <c r="F296" s="88" t="s">
        <v>149</v>
      </c>
      <c r="G296" s="88" t="s">
        <v>122</v>
      </c>
      <c r="H296" s="64"/>
      <c r="I296" s="140"/>
      <c r="J296" s="141"/>
      <c r="K296" s="108"/>
      <c r="L296" s="108"/>
      <c r="M296" s="142"/>
      <c r="N296" s="144"/>
      <c r="O296" s="99"/>
      <c r="P296" s="99"/>
      <c r="Q296" s="99"/>
      <c r="R296" s="99"/>
      <c r="S296" s="99"/>
      <c r="T296" s="99"/>
      <c r="U296" s="99"/>
      <c r="V296" s="99"/>
      <c r="W296" s="99"/>
      <c r="X296" s="99"/>
      <c r="Y296" s="143"/>
      <c r="Z296" s="155">
        <f t="shared" si="173"/>
        <v>0</v>
      </c>
      <c r="AA296" s="520">
        <f t="shared" si="172"/>
        <v>0</v>
      </c>
      <c r="AC296" s="83"/>
      <c r="AD296" s="88">
        <f t="shared" si="168"/>
        <v>0</v>
      </c>
      <c r="AE296" s="111">
        <f t="shared" si="169"/>
        <v>0</v>
      </c>
      <c r="AF296" s="117"/>
      <c r="AG296" s="109">
        <f t="shared" si="170"/>
        <v>0</v>
      </c>
      <c r="AH296" s="111">
        <f t="shared" si="170"/>
        <v>0</v>
      </c>
      <c r="AI296" s="88"/>
      <c r="AJ296" s="88"/>
      <c r="AK296" s="111">
        <f t="shared" si="150"/>
        <v>0</v>
      </c>
      <c r="AL296" s="111"/>
      <c r="AM296" s="101">
        <f t="shared" si="151"/>
        <v>0</v>
      </c>
    </row>
    <row r="297" spans="1:39" s="112" customFormat="1" ht="72" customHeight="1">
      <c r="A297" s="372" t="s">
        <v>458</v>
      </c>
      <c r="B297" s="92">
        <f t="shared" si="171"/>
        <v>0</v>
      </c>
      <c r="C297" s="89" t="s">
        <v>78</v>
      </c>
      <c r="D297" s="88" t="s">
        <v>163</v>
      </c>
      <c r="E297" s="89" t="s">
        <v>121</v>
      </c>
      <c r="F297" s="88" t="s">
        <v>149</v>
      </c>
      <c r="G297" s="88" t="s">
        <v>122</v>
      </c>
      <c r="H297" s="64"/>
      <c r="I297" s="140"/>
      <c r="J297" s="141"/>
      <c r="K297" s="108"/>
      <c r="L297" s="108"/>
      <c r="M297" s="142"/>
      <c r="N297" s="144"/>
      <c r="O297" s="99"/>
      <c r="P297" s="99"/>
      <c r="Q297" s="99"/>
      <c r="R297" s="99"/>
      <c r="S297" s="99"/>
      <c r="T297" s="99"/>
      <c r="U297" s="99"/>
      <c r="V297" s="99"/>
      <c r="W297" s="99"/>
      <c r="X297" s="99"/>
      <c r="Y297" s="143"/>
      <c r="Z297" s="155">
        <f t="shared" si="173"/>
        <v>0</v>
      </c>
      <c r="AA297" s="520">
        <f t="shared" si="172"/>
        <v>0</v>
      </c>
      <c r="AC297" s="83"/>
      <c r="AD297" s="88">
        <f t="shared" si="168"/>
        <v>0</v>
      </c>
      <c r="AE297" s="111">
        <f t="shared" si="169"/>
        <v>0</v>
      </c>
      <c r="AF297" s="117"/>
      <c r="AG297" s="109">
        <f t="shared" si="170"/>
        <v>0</v>
      </c>
      <c r="AH297" s="111">
        <f t="shared" si="170"/>
        <v>0</v>
      </c>
      <c r="AI297" s="88"/>
      <c r="AJ297" s="88"/>
      <c r="AK297" s="111">
        <f t="shared" si="150"/>
        <v>0</v>
      </c>
      <c r="AL297" s="111"/>
      <c r="AM297" s="101">
        <f t="shared" si="151"/>
        <v>0</v>
      </c>
    </row>
    <row r="298" spans="1:39" s="112" customFormat="1" ht="72" customHeight="1">
      <c r="A298" s="372" t="s">
        <v>458</v>
      </c>
      <c r="B298" s="92">
        <f t="shared" si="171"/>
        <v>0</v>
      </c>
      <c r="C298" s="89" t="s">
        <v>78</v>
      </c>
      <c r="D298" s="88" t="s">
        <v>163</v>
      </c>
      <c r="E298" s="89" t="s">
        <v>121</v>
      </c>
      <c r="F298" s="88" t="s">
        <v>149</v>
      </c>
      <c r="G298" s="88" t="s">
        <v>122</v>
      </c>
      <c r="H298" s="64"/>
      <c r="I298" s="140"/>
      <c r="J298" s="141"/>
      <c r="K298" s="108"/>
      <c r="L298" s="108"/>
      <c r="M298" s="142"/>
      <c r="N298" s="144"/>
      <c r="O298" s="99"/>
      <c r="P298" s="99"/>
      <c r="Q298" s="99"/>
      <c r="R298" s="99"/>
      <c r="S298" s="99"/>
      <c r="T298" s="99"/>
      <c r="U298" s="99"/>
      <c r="V298" s="99"/>
      <c r="W298" s="99"/>
      <c r="X298" s="99"/>
      <c r="Y298" s="143"/>
      <c r="Z298" s="155">
        <f t="shared" si="173"/>
        <v>0</v>
      </c>
      <c r="AA298" s="520">
        <f t="shared" si="172"/>
        <v>0</v>
      </c>
      <c r="AC298" s="83"/>
      <c r="AD298" s="88">
        <f t="shared" si="168"/>
        <v>0</v>
      </c>
      <c r="AE298" s="111">
        <f t="shared" si="169"/>
        <v>0</v>
      </c>
      <c r="AF298" s="117"/>
      <c r="AG298" s="109">
        <f t="shared" si="170"/>
        <v>0</v>
      </c>
      <c r="AH298" s="111">
        <f t="shared" si="170"/>
        <v>0</v>
      </c>
      <c r="AI298" s="88"/>
      <c r="AJ298" s="88"/>
      <c r="AK298" s="111">
        <f>M298</f>
        <v>0</v>
      </c>
      <c r="AL298" s="111"/>
      <c r="AM298" s="101">
        <f>AE298-AH298</f>
        <v>0</v>
      </c>
    </row>
    <row r="299" spans="1:39" s="116" customFormat="1" ht="15.75" customHeight="1">
      <c r="A299" s="255" t="s">
        <v>132</v>
      </c>
      <c r="B299" s="99">
        <f>B291-B292-B293-B294-B295-B296-B297-B298</f>
        <v>6054056</v>
      </c>
      <c r="C299" s="99"/>
      <c r="D299" s="99"/>
      <c r="E299" s="99"/>
      <c r="F299" s="99"/>
      <c r="G299" s="164"/>
      <c r="H299" s="144"/>
      <c r="I299" s="99"/>
      <c r="J299" s="135">
        <f>SUM(J291:J298)</f>
        <v>903945944</v>
      </c>
      <c r="K299" s="99"/>
      <c r="L299" s="99">
        <f>SUM(L291:L298)</f>
        <v>903945944</v>
      </c>
      <c r="M299" s="136"/>
      <c r="N299" s="144">
        <f t="shared" ref="N299:R299" si="174">SUM(N291:N298)</f>
        <v>0</v>
      </c>
      <c r="O299" s="99">
        <f t="shared" si="174"/>
        <v>0</v>
      </c>
      <c r="P299" s="99">
        <f t="shared" si="174"/>
        <v>0</v>
      </c>
      <c r="Q299" s="99">
        <f t="shared" si="174"/>
        <v>0</v>
      </c>
      <c r="R299" s="99">
        <f t="shared" si="174"/>
        <v>0</v>
      </c>
      <c r="S299" s="99">
        <f t="shared" ref="S299:W299" si="175">SUM(S291:S298)</f>
        <v>9078283</v>
      </c>
      <c r="T299" s="99">
        <f t="shared" si="175"/>
        <v>172054371</v>
      </c>
      <c r="U299" s="99">
        <f t="shared" si="175"/>
        <v>214762204</v>
      </c>
      <c r="V299" s="99">
        <f t="shared" si="175"/>
        <v>57351457</v>
      </c>
      <c r="W299" s="99">
        <f t="shared" si="175"/>
        <v>50258419</v>
      </c>
      <c r="X299" s="99">
        <f>SUM(X291:X298)</f>
        <v>53242272</v>
      </c>
      <c r="Y299" s="99">
        <f>SUM(Y291:Y298)</f>
        <v>125416637</v>
      </c>
      <c r="Z299" s="99">
        <f t="shared" ref="Z299" si="176">SUM(Z291:Z298)</f>
        <v>682163643</v>
      </c>
      <c r="AA299" s="523">
        <f>SUM(AA291:AA298)</f>
        <v>221782301</v>
      </c>
      <c r="AC299" s="100"/>
      <c r="AD299" s="44"/>
      <c r="AE299" s="99">
        <f>SUM(AE291:AE295)</f>
        <v>903945944</v>
      </c>
      <c r="AF299" s="118"/>
      <c r="AG299" s="109"/>
      <c r="AH299" s="99">
        <f>SUM(AH291:AH295)</f>
        <v>903945944</v>
      </c>
      <c r="AI299" s="54"/>
      <c r="AJ299" s="54"/>
      <c r="AK299" s="101"/>
      <c r="AL299" s="101"/>
      <c r="AM299" s="99">
        <f>SUM(AM291:AM295)</f>
        <v>0</v>
      </c>
    </row>
    <row r="300" spans="1:39" s="112" customFormat="1" ht="63.75">
      <c r="A300" s="252" t="s">
        <v>183</v>
      </c>
      <c r="B300" s="55">
        <v>20000000</v>
      </c>
      <c r="C300" s="89" t="s">
        <v>164</v>
      </c>
      <c r="D300" s="89" t="s">
        <v>120</v>
      </c>
      <c r="E300" s="89" t="s">
        <v>121</v>
      </c>
      <c r="F300" s="88" t="s">
        <v>149</v>
      </c>
      <c r="G300" s="88" t="s">
        <v>122</v>
      </c>
      <c r="H300" s="65"/>
      <c r="I300" s="134"/>
      <c r="J300" s="135"/>
      <c r="K300" s="99"/>
      <c r="L300" s="99"/>
      <c r="M300" s="136"/>
      <c r="N300" s="137"/>
      <c r="O300" s="54"/>
      <c r="P300" s="54"/>
      <c r="Q300" s="54"/>
      <c r="R300" s="54"/>
      <c r="S300" s="54"/>
      <c r="T300" s="54"/>
      <c r="U300" s="54"/>
      <c r="V300" s="54"/>
      <c r="W300" s="54"/>
      <c r="X300" s="54"/>
      <c r="Y300" s="136"/>
      <c r="Z300" s="155">
        <f>SUM(N300:Y300)</f>
        <v>0</v>
      </c>
      <c r="AA300" s="520">
        <f>L300-Z300</f>
        <v>0</v>
      </c>
      <c r="AC300" s="83"/>
      <c r="AD300" s="88">
        <f>I300</f>
        <v>0</v>
      </c>
      <c r="AE300" s="111">
        <f>J300</f>
        <v>0</v>
      </c>
      <c r="AF300" s="117"/>
      <c r="AG300" s="109">
        <f>K300</f>
        <v>0</v>
      </c>
      <c r="AH300" s="111">
        <f>L300</f>
        <v>0</v>
      </c>
      <c r="AI300" s="88"/>
      <c r="AJ300" s="88"/>
      <c r="AK300" s="111">
        <f t="shared" si="150"/>
        <v>0</v>
      </c>
      <c r="AL300" s="111"/>
      <c r="AM300" s="101">
        <f t="shared" si="151"/>
        <v>0</v>
      </c>
    </row>
    <row r="301" spans="1:39" s="112" customFormat="1" ht="63.75">
      <c r="A301" s="254" t="s">
        <v>183</v>
      </c>
      <c r="B301" s="92">
        <f>J301</f>
        <v>0</v>
      </c>
      <c r="C301" s="89" t="s">
        <v>164</v>
      </c>
      <c r="D301" s="89" t="s">
        <v>120</v>
      </c>
      <c r="E301" s="89" t="s">
        <v>121</v>
      </c>
      <c r="F301" s="88" t="s">
        <v>149</v>
      </c>
      <c r="G301" s="88" t="s">
        <v>122</v>
      </c>
      <c r="H301" s="65"/>
      <c r="I301" s="134"/>
      <c r="J301" s="135"/>
      <c r="K301" s="99"/>
      <c r="L301" s="99"/>
      <c r="M301" s="136"/>
      <c r="N301" s="137"/>
      <c r="O301" s="54"/>
      <c r="P301" s="54"/>
      <c r="Q301" s="54"/>
      <c r="R301" s="54"/>
      <c r="S301" s="54"/>
      <c r="T301" s="54"/>
      <c r="U301" s="54"/>
      <c r="V301" s="54"/>
      <c r="W301" s="54"/>
      <c r="X301" s="54"/>
      <c r="Y301" s="136"/>
      <c r="Z301" s="155">
        <f>SUM(N301:Y301)</f>
        <v>0</v>
      </c>
      <c r="AA301" s="520">
        <f>L301-Z301</f>
        <v>0</v>
      </c>
      <c r="AC301" s="83"/>
      <c r="AD301" s="88">
        <f>I301</f>
        <v>0</v>
      </c>
      <c r="AE301" s="111">
        <f>J301</f>
        <v>0</v>
      </c>
      <c r="AF301" s="117"/>
      <c r="AG301" s="109">
        <f>K301</f>
        <v>0</v>
      </c>
      <c r="AH301" s="111">
        <f>L301</f>
        <v>0</v>
      </c>
      <c r="AI301" s="88"/>
      <c r="AJ301" s="88"/>
      <c r="AK301" s="111">
        <f t="shared" si="150"/>
        <v>0</v>
      </c>
      <c r="AL301" s="111"/>
      <c r="AM301" s="101">
        <f t="shared" si="151"/>
        <v>0</v>
      </c>
    </row>
    <row r="302" spans="1:39" s="116" customFormat="1" ht="18" customHeight="1">
      <c r="A302" s="255" t="s">
        <v>132</v>
      </c>
      <c r="B302" s="99">
        <f>B300-B301</f>
        <v>20000000</v>
      </c>
      <c r="C302" s="99"/>
      <c r="D302" s="99"/>
      <c r="E302" s="99"/>
      <c r="F302" s="99"/>
      <c r="G302" s="164"/>
      <c r="H302" s="144"/>
      <c r="I302" s="99"/>
      <c r="J302" s="135">
        <f>SUM(J300:J301)</f>
        <v>0</v>
      </c>
      <c r="K302" s="99"/>
      <c r="L302" s="99">
        <f>SUM(L300:L301)</f>
        <v>0</v>
      </c>
      <c r="M302" s="136"/>
      <c r="N302" s="144">
        <f>SUM(N300:N301)</f>
        <v>0</v>
      </c>
      <c r="O302" s="144">
        <f t="shared" ref="O302:S302" si="177">SUM(O300:O301)</f>
        <v>0</v>
      </c>
      <c r="P302" s="144">
        <f t="shared" si="177"/>
        <v>0</v>
      </c>
      <c r="Q302" s="144">
        <f t="shared" si="177"/>
        <v>0</v>
      </c>
      <c r="R302" s="144">
        <f t="shared" si="177"/>
        <v>0</v>
      </c>
      <c r="S302" s="144">
        <f t="shared" si="177"/>
        <v>0</v>
      </c>
      <c r="T302" s="144">
        <f t="shared" ref="T302:Y302" si="178">SUM(T300:T301)</f>
        <v>0</v>
      </c>
      <c r="U302" s="144">
        <f t="shared" si="178"/>
        <v>0</v>
      </c>
      <c r="V302" s="144">
        <f t="shared" si="178"/>
        <v>0</v>
      </c>
      <c r="W302" s="144">
        <f t="shared" si="178"/>
        <v>0</v>
      </c>
      <c r="X302" s="144">
        <f>SUM(X300:X301)</f>
        <v>0</v>
      </c>
      <c r="Y302" s="144">
        <f t="shared" si="178"/>
        <v>0</v>
      </c>
      <c r="Z302" s="144">
        <f t="shared" ref="Z302" si="179">SUM(Z300:Z301)</f>
        <v>0</v>
      </c>
      <c r="AA302" s="524">
        <f>SUM(AA300:AA301)</f>
        <v>0</v>
      </c>
      <c r="AC302" s="100"/>
      <c r="AD302" s="44"/>
      <c r="AE302" s="101">
        <f>SUM(AE300:AE301)</f>
        <v>0</v>
      </c>
      <c r="AF302" s="118"/>
      <c r="AG302" s="109"/>
      <c r="AH302" s="101">
        <f>SUM(AH300:AH301)</f>
        <v>0</v>
      </c>
      <c r="AI302" s="54"/>
      <c r="AJ302" s="54"/>
      <c r="AK302" s="101"/>
      <c r="AL302" s="101"/>
      <c r="AM302" s="101">
        <f>SUM(AM300:AM301)</f>
        <v>0</v>
      </c>
    </row>
    <row r="303" spans="1:39" s="112" customFormat="1" ht="63.75">
      <c r="A303" s="252" t="s">
        <v>183</v>
      </c>
      <c r="B303" s="52">
        <v>420000</v>
      </c>
      <c r="C303" s="88" t="s">
        <v>165</v>
      </c>
      <c r="D303" s="88" t="s">
        <v>163</v>
      </c>
      <c r="E303" s="89" t="s">
        <v>121</v>
      </c>
      <c r="F303" s="88" t="s">
        <v>149</v>
      </c>
      <c r="G303" s="88" t="s">
        <v>122</v>
      </c>
      <c r="H303" s="66"/>
      <c r="I303" s="44"/>
      <c r="J303" s="113"/>
      <c r="K303" s="54"/>
      <c r="L303" s="54"/>
      <c r="M303" s="136"/>
      <c r="N303" s="137"/>
      <c r="O303" s="54"/>
      <c r="P303" s="54"/>
      <c r="Q303" s="54"/>
      <c r="R303" s="54"/>
      <c r="S303" s="54"/>
      <c r="T303" s="54"/>
      <c r="U303" s="54"/>
      <c r="V303" s="54"/>
      <c r="W303" s="54"/>
      <c r="X303" s="54"/>
      <c r="Y303" s="136"/>
      <c r="Z303" s="138">
        <f>SUM(N303:Y303)</f>
        <v>0</v>
      </c>
      <c r="AA303" s="520">
        <f>L303-Z303</f>
        <v>0</v>
      </c>
      <c r="AC303" s="83"/>
      <c r="AD303" s="88">
        <f>I303</f>
        <v>0</v>
      </c>
      <c r="AE303" s="111">
        <f>J303</f>
        <v>0</v>
      </c>
      <c r="AF303" s="117"/>
      <c r="AG303" s="109">
        <f>K303</f>
        <v>0</v>
      </c>
      <c r="AH303" s="111">
        <f>L303</f>
        <v>0</v>
      </c>
      <c r="AI303" s="88"/>
      <c r="AJ303" s="88"/>
      <c r="AK303" s="111">
        <f t="shared" si="150"/>
        <v>0</v>
      </c>
      <c r="AL303" s="111"/>
      <c r="AM303" s="101">
        <f t="shared" si="151"/>
        <v>0</v>
      </c>
    </row>
    <row r="304" spans="1:39" s="112" customFormat="1" ht="63.75">
      <c r="A304" s="254" t="s">
        <v>183</v>
      </c>
      <c r="B304" s="92">
        <f>J304</f>
        <v>0</v>
      </c>
      <c r="C304" s="88" t="s">
        <v>165</v>
      </c>
      <c r="D304" s="88" t="s">
        <v>163</v>
      </c>
      <c r="E304" s="89" t="s">
        <v>121</v>
      </c>
      <c r="F304" s="88" t="s">
        <v>149</v>
      </c>
      <c r="G304" s="88" t="s">
        <v>122</v>
      </c>
      <c r="H304" s="66"/>
      <c r="I304" s="44"/>
      <c r="J304" s="113"/>
      <c r="K304" s="54"/>
      <c r="L304" s="54"/>
      <c r="M304" s="136"/>
      <c r="N304" s="137"/>
      <c r="O304" s="54"/>
      <c r="P304" s="54"/>
      <c r="Q304" s="54"/>
      <c r="R304" s="54"/>
      <c r="S304" s="54"/>
      <c r="T304" s="54"/>
      <c r="U304" s="54"/>
      <c r="V304" s="54"/>
      <c r="W304" s="54"/>
      <c r="X304" s="54"/>
      <c r="Y304" s="136"/>
      <c r="Z304" s="155">
        <f>SUM(N304:Y304)</f>
        <v>0</v>
      </c>
      <c r="AA304" s="520">
        <f>L304-Z304</f>
        <v>0</v>
      </c>
      <c r="AC304" s="83"/>
      <c r="AD304" s="88">
        <f>I304</f>
        <v>0</v>
      </c>
      <c r="AE304" s="111">
        <f>J304</f>
        <v>0</v>
      </c>
      <c r="AF304" s="117"/>
      <c r="AG304" s="109">
        <f>K304</f>
        <v>0</v>
      </c>
      <c r="AH304" s="111">
        <f>L304</f>
        <v>0</v>
      </c>
      <c r="AI304" s="88"/>
      <c r="AJ304" s="88"/>
      <c r="AK304" s="111">
        <f t="shared" si="150"/>
        <v>0</v>
      </c>
      <c r="AL304" s="111"/>
      <c r="AM304" s="101">
        <f t="shared" si="151"/>
        <v>0</v>
      </c>
    </row>
    <row r="305" spans="1:39" s="116" customFormat="1" ht="15" customHeight="1">
      <c r="A305" s="255" t="s">
        <v>132</v>
      </c>
      <c r="B305" s="99">
        <f>B303-B304</f>
        <v>420000</v>
      </c>
      <c r="C305" s="89"/>
      <c r="D305" s="89"/>
      <c r="E305" s="89"/>
      <c r="F305" s="89"/>
      <c r="G305" s="151"/>
      <c r="H305" s="378"/>
      <c r="I305" s="54"/>
      <c r="J305" s="135">
        <f>SUM(J303:J304)</f>
        <v>0</v>
      </c>
      <c r="K305" s="99"/>
      <c r="L305" s="99">
        <f>SUM(L303:L304)</f>
        <v>0</v>
      </c>
      <c r="M305" s="136"/>
      <c r="N305" s="144">
        <f t="shared" ref="N305:S305" si="180">SUM(N303:N304)</f>
        <v>0</v>
      </c>
      <c r="O305" s="99">
        <f t="shared" si="180"/>
        <v>0</v>
      </c>
      <c r="P305" s="99">
        <f t="shared" si="180"/>
        <v>0</v>
      </c>
      <c r="Q305" s="99">
        <f t="shared" si="180"/>
        <v>0</v>
      </c>
      <c r="R305" s="99">
        <f t="shared" si="180"/>
        <v>0</v>
      </c>
      <c r="S305" s="99">
        <f t="shared" si="180"/>
        <v>0</v>
      </c>
      <c r="T305" s="99">
        <f t="shared" ref="T305:Y305" si="181">SUM(T303:T304)</f>
        <v>0</v>
      </c>
      <c r="U305" s="99">
        <f t="shared" si="181"/>
        <v>0</v>
      </c>
      <c r="V305" s="99">
        <f t="shared" si="181"/>
        <v>0</v>
      </c>
      <c r="W305" s="99">
        <f t="shared" si="181"/>
        <v>0</v>
      </c>
      <c r="X305" s="99">
        <f>SUM(X303:X304)</f>
        <v>0</v>
      </c>
      <c r="Y305" s="143">
        <f t="shared" si="181"/>
        <v>0</v>
      </c>
      <c r="Z305" s="143">
        <f t="shared" ref="Z305" si="182">SUM(Z303:Z304)</f>
        <v>0</v>
      </c>
      <c r="AA305" s="523">
        <f>SUM(AA303:AA304)</f>
        <v>0</v>
      </c>
      <c r="AC305" s="100"/>
      <c r="AD305" s="44"/>
      <c r="AE305" s="101">
        <f>SUM(AE303:AE304)</f>
        <v>0</v>
      </c>
      <c r="AF305" s="118"/>
      <c r="AG305" s="107"/>
      <c r="AH305" s="101">
        <f>SUM(AH303:AH304)</f>
        <v>0</v>
      </c>
      <c r="AI305" s="54"/>
      <c r="AJ305" s="54"/>
      <c r="AK305" s="101"/>
      <c r="AL305" s="101"/>
      <c r="AM305" s="101">
        <f>SUM(AM303:AM304)</f>
        <v>0</v>
      </c>
    </row>
    <row r="306" spans="1:39" s="112" customFormat="1" ht="15" customHeight="1">
      <c r="A306" s="252"/>
      <c r="B306" s="45"/>
      <c r="C306" s="44"/>
      <c r="D306" s="44"/>
      <c r="E306" s="44"/>
      <c r="F306" s="44"/>
      <c r="G306" s="49"/>
      <c r="H306" s="66"/>
      <c r="I306" s="44"/>
      <c r="J306" s="113"/>
      <c r="K306" s="54"/>
      <c r="L306" s="54"/>
      <c r="M306" s="136"/>
      <c r="N306" s="137"/>
      <c r="O306" s="54"/>
      <c r="P306" s="54"/>
      <c r="Q306" s="54"/>
      <c r="R306" s="54"/>
      <c r="S306" s="54"/>
      <c r="T306" s="54"/>
      <c r="U306" s="54"/>
      <c r="V306" s="54"/>
      <c r="W306" s="54"/>
      <c r="X306" s="54"/>
      <c r="Y306" s="136"/>
      <c r="Z306" s="138"/>
      <c r="AA306" s="520"/>
      <c r="AC306" s="83"/>
      <c r="AD306" s="88"/>
      <c r="AE306" s="111"/>
      <c r="AF306" s="117"/>
      <c r="AG306" s="166"/>
      <c r="AH306" s="111"/>
      <c r="AI306" s="88"/>
      <c r="AJ306" s="88"/>
      <c r="AK306" s="167"/>
      <c r="AL306" s="111"/>
      <c r="AM306" s="101"/>
    </row>
    <row r="307" spans="1:39" s="116" customFormat="1" ht="24" customHeight="1">
      <c r="A307" s="533" t="s">
        <v>135</v>
      </c>
      <c r="B307" s="495">
        <f>+B16+B136+B140+B161+B209+B235+B288+B291+B300+B303</f>
        <v>14663709983</v>
      </c>
      <c r="C307" s="381"/>
      <c r="D307" s="382"/>
      <c r="E307" s="381"/>
      <c r="F307" s="381"/>
      <c r="G307" s="383"/>
      <c r="H307" s="382"/>
      <c r="I307" s="381"/>
      <c r="J307" s="496">
        <f>J22+J26+J29+J32+J35+J42+J45+J51+J56+J66+J72+J78+J82+J86+J89+J135+J139+J160+J208+J234+J287+J290+J299+J302+J305</f>
        <v>13924035827</v>
      </c>
      <c r="K307" s="496"/>
      <c r="L307" s="496">
        <f>L22+L26+L29+L32+L35+L42+L45+L51+L56+L66+L72+L78+L82+L86+L89+L135+L139+L160+L208+L234+L287+L290+L299+L302+L305</f>
        <v>13924035827</v>
      </c>
      <c r="M307" s="496"/>
      <c r="N307" s="496">
        <f>N22+N26+N29+N32+N35+N42+N45+N51+N72+N78+N82+N86+N135+N139+N160+N208+N234+N287+N290+N299+N302+N305</f>
        <v>4913360</v>
      </c>
      <c r="O307" s="496">
        <f>O22+O26+O29+O32+O35+O42+O45+O51+O72+O78+O82+O86+O135+O139+O160+O208+O234+O287+O290+O299+O302+O305</f>
        <v>49429350</v>
      </c>
      <c r="P307" s="496">
        <f>P22+P26+P29+P32+P35+P42+P45+P51+P72+P78+P82+P86+P135+P139+P160+P208+P234+P287+P290+P299+P302+P305</f>
        <v>151030947</v>
      </c>
      <c r="Q307" s="496">
        <f>Q22+Q26+Q29+Q32+Q35+Q42+Q45+Q51+Q72+Q78+Q82+Q86+Q135+Q139+Q160+Q208+Q234+Q287+Q290+Q299+Q302+Q305</f>
        <v>231754717</v>
      </c>
      <c r="R307" s="496">
        <f>R22+R26+R29+R32+R35+R42+R45+R51+R72+R78+R82+R86+R135+R139+R160+R208+R234+R287+R290+R299+R302+R305</f>
        <v>294354388</v>
      </c>
      <c r="S307" s="496">
        <f t="shared" ref="S307:W307" si="183">S22+S26+S29+S32+S35+S42+S45+S51+S72+S78+S82+S86+S135+S139+S160+S208+S234+S287+S290+S299+S302+S305</f>
        <v>307379158</v>
      </c>
      <c r="T307" s="496">
        <f t="shared" si="183"/>
        <v>482305138</v>
      </c>
      <c r="U307" s="496">
        <f t="shared" si="183"/>
        <v>1259125052</v>
      </c>
      <c r="V307" s="496">
        <f t="shared" si="183"/>
        <v>1399594888</v>
      </c>
      <c r="W307" s="496">
        <f t="shared" si="183"/>
        <v>1002578386</v>
      </c>
      <c r="X307" s="496">
        <f>X22+X26+X29+X32+X35+X42+X45+X51+X56+X66+X72+X78+X82+X86+X89+X135+X139+X160+X208+X234+X287+X290+X299+X302+X305</f>
        <v>606701032</v>
      </c>
      <c r="Y307" s="497">
        <f>Y22+Y26+Y29+Y32+Y35+Y42+Y45+Y51+Y56+Y66+Y72+Y78+Y82+Y86+Y89+Y135+Y139+Y160+Y208+Y234+Y287+Y290+Y299+Y302+Y305</f>
        <v>1876585569</v>
      </c>
      <c r="Z307" s="497">
        <f>Z22+Z26+Z29+Z32+Z35+Z42+Z45+Z51+Z56+Z66+Z72+Z78+Z82+Z86+Z89+Z135+Z139+Z160+Z208+Z234+Z287+Z290+Z299+Z302+Z305</f>
        <v>7665751985</v>
      </c>
      <c r="AA307" s="534">
        <f>AA22+AA26+AA29+AA32+AA35+AA42+AA45+AA51+AA56+AA66+AA72+AA78+AA82+AA86+AA89+AA135+AA139+AA160+AA208+AA234+AA287+AA290+AA299+AA302+AA305</f>
        <v>6258283842</v>
      </c>
      <c r="AB307" s="516"/>
      <c r="AC307" s="498"/>
      <c r="AD307" s="496"/>
      <c r="AE307" s="496">
        <f>AE22+AE26+AE29+AE32+AE35+AE42+AE45+AE51+AE72+AE78+AE82+AE86+AE135+AE139+AE160+AE208+AE234+AE287+AE290+AE299+AE302+AE305</f>
        <v>11438835262</v>
      </c>
      <c r="AF307" s="499"/>
      <c r="AG307" s="496"/>
      <c r="AH307" s="496">
        <f>AH22+AH26+AH29+AH32+AH35+AH42+AH45+AH51+AH72+AH78+AH82+AH86+AH135+AH139+AH160+AH208+AH234+AH287+AH290+AH299+AH302+AH305</f>
        <v>9074090628</v>
      </c>
      <c r="AI307" s="54"/>
      <c r="AJ307" s="54"/>
      <c r="AK307" s="101"/>
      <c r="AL307" s="101"/>
      <c r="AM307" s="381">
        <f>AM22+AM26+AM29+AM32+AM35+AM42+AM51+AM82+AM135+AM139+AM160+AM234+AM287+AM290+AM299+AM302+AM305</f>
        <v>115281973</v>
      </c>
    </row>
    <row r="308" spans="1:39" s="112" customFormat="1">
      <c r="A308" s="273"/>
      <c r="B308" s="59"/>
      <c r="C308" s="59"/>
      <c r="D308" s="59"/>
      <c r="E308" s="59"/>
      <c r="F308" s="59"/>
      <c r="G308" s="59"/>
      <c r="H308" s="71"/>
      <c r="I308" s="59"/>
      <c r="J308" s="500"/>
      <c r="K308" s="59"/>
      <c r="L308" s="501"/>
      <c r="M308" s="59"/>
      <c r="N308" s="276"/>
      <c r="O308" s="276"/>
      <c r="P308" s="276"/>
      <c r="Q308" s="276"/>
      <c r="R308" s="276"/>
      <c r="S308" s="276"/>
      <c r="T308" s="276"/>
      <c r="U308" s="276"/>
      <c r="V308" s="276"/>
      <c r="W308" s="276"/>
      <c r="X308" s="276"/>
      <c r="Y308" s="276"/>
      <c r="Z308" s="276"/>
      <c r="AA308" s="278"/>
      <c r="AC308" s="129"/>
      <c r="AD308" s="130">
        <f>I308</f>
        <v>0</v>
      </c>
      <c r="AE308" s="131"/>
      <c r="AF308" s="132"/>
      <c r="AG308" s="131"/>
      <c r="AH308" s="131"/>
      <c r="AI308" s="130"/>
      <c r="AJ308" s="130"/>
      <c r="AK308" s="131"/>
      <c r="AL308" s="133"/>
      <c r="AM308" s="195"/>
    </row>
    <row r="309" spans="1:39" s="112" customFormat="1">
      <c r="A309" s="273"/>
      <c r="B309" s="59"/>
      <c r="C309" s="59"/>
      <c r="D309" s="59"/>
      <c r="E309" s="59"/>
      <c r="F309" s="59"/>
      <c r="G309" s="59"/>
      <c r="H309" s="71"/>
      <c r="I309" s="59"/>
      <c r="J309" s="500"/>
      <c r="K309" s="59"/>
      <c r="L309" s="501"/>
      <c r="M309" s="59"/>
      <c r="N309" s="276"/>
      <c r="O309" s="276"/>
      <c r="P309" s="276"/>
      <c r="Q309" s="276"/>
      <c r="R309" s="276"/>
      <c r="S309" s="276"/>
      <c r="T309" s="276"/>
      <c r="U309" s="276"/>
      <c r="V309" s="276"/>
      <c r="W309" s="276"/>
      <c r="X309" s="276"/>
      <c r="Y309" s="276"/>
      <c r="Z309" s="276"/>
      <c r="AA309" s="278"/>
      <c r="AC309" s="129"/>
      <c r="AD309" s="130">
        <f>I309</f>
        <v>0</v>
      </c>
      <c r="AE309" s="131"/>
      <c r="AF309" s="132"/>
      <c r="AG309" s="131"/>
      <c r="AH309" s="131"/>
      <c r="AI309" s="130"/>
      <c r="AJ309" s="130"/>
      <c r="AK309" s="131"/>
      <c r="AL309" s="133"/>
      <c r="AM309" s="195"/>
    </row>
    <row r="310" spans="1:39" s="112" customFormat="1">
      <c r="A310" s="273"/>
      <c r="B310" s="59"/>
      <c r="C310" s="59"/>
      <c r="D310" s="59"/>
      <c r="E310" s="59"/>
      <c r="F310" s="59"/>
      <c r="G310" s="59"/>
      <c r="H310" s="71"/>
      <c r="I310" s="59"/>
      <c r="J310" s="500"/>
      <c r="K310" s="59"/>
      <c r="L310" s="501"/>
      <c r="M310" s="59"/>
      <c r="N310" s="276"/>
      <c r="O310" s="276"/>
      <c r="P310" s="276"/>
      <c r="Q310" s="276"/>
      <c r="R310" s="276"/>
      <c r="S310" s="276"/>
      <c r="T310" s="276"/>
      <c r="U310" s="276"/>
      <c r="V310" s="276"/>
      <c r="W310" s="276"/>
      <c r="X310" s="276"/>
      <c r="Y310" s="276"/>
      <c r="Z310" s="276"/>
      <c r="AA310" s="278"/>
      <c r="AC310" s="129"/>
      <c r="AD310" s="130"/>
      <c r="AE310" s="131"/>
      <c r="AF310" s="132"/>
      <c r="AG310" s="131"/>
      <c r="AH310" s="131"/>
      <c r="AI310" s="130"/>
      <c r="AJ310" s="130"/>
      <c r="AK310" s="131"/>
      <c r="AL310" s="133"/>
      <c r="AM310" s="195"/>
    </row>
    <row r="311" spans="1:39" s="112" customFormat="1" ht="38.25">
      <c r="A311" s="273"/>
      <c r="B311" s="59"/>
      <c r="C311" s="59"/>
      <c r="D311" s="59"/>
      <c r="E311" s="59"/>
      <c r="F311" s="59"/>
      <c r="G311" s="59"/>
      <c r="H311" s="71"/>
      <c r="I311" s="59" t="s">
        <v>266</v>
      </c>
      <c r="J311" s="500"/>
      <c r="K311" s="59"/>
      <c r="L311" s="501"/>
      <c r="M311" s="59"/>
      <c r="N311" s="276"/>
      <c r="O311" s="276"/>
      <c r="P311" s="276"/>
      <c r="Q311" s="276"/>
      <c r="R311" s="276"/>
      <c r="S311" s="276"/>
      <c r="T311" s="276"/>
      <c r="U311" s="276"/>
      <c r="V311" s="276"/>
      <c r="W311" s="276"/>
      <c r="X311" s="276"/>
      <c r="Y311" s="276"/>
      <c r="Z311" s="276"/>
      <c r="AA311" s="278"/>
      <c r="AC311" s="129"/>
      <c r="AD311" s="130"/>
      <c r="AE311" s="131"/>
      <c r="AF311" s="132"/>
      <c r="AG311" s="131"/>
      <c r="AH311" s="131"/>
      <c r="AI311" s="130"/>
      <c r="AJ311" s="130"/>
      <c r="AK311" s="131"/>
      <c r="AL311" s="133"/>
      <c r="AM311" s="195"/>
    </row>
    <row r="312" spans="1:39" s="170" customFormat="1" ht="14.25" customHeight="1">
      <c r="A312" s="535" t="s">
        <v>58</v>
      </c>
      <c r="B312" s="502">
        <v>14663709983</v>
      </c>
      <c r="C312" s="503"/>
      <c r="D312" s="503"/>
      <c r="E312" s="503"/>
      <c r="F312" s="503"/>
      <c r="G312" s="503">
        <f>J313+J311</f>
        <v>0</v>
      </c>
      <c r="H312" s="504" t="s">
        <v>199</v>
      </c>
      <c r="I312" s="168"/>
      <c r="J312" s="505">
        <f>13924035827</f>
        <v>13924035827</v>
      </c>
      <c r="K312" s="168"/>
      <c r="L312" s="506">
        <f>13924035827</f>
        <v>13924035827</v>
      </c>
      <c r="M312" s="169"/>
      <c r="N312" s="507">
        <v>4913360</v>
      </c>
      <c r="O312" s="101">
        <v>49429350</v>
      </c>
      <c r="P312" s="101">
        <v>151030947</v>
      </c>
      <c r="Q312" s="101">
        <v>231754717</v>
      </c>
      <c r="R312" s="494">
        <v>294354388</v>
      </c>
      <c r="S312" s="494">
        <v>307379158</v>
      </c>
      <c r="T312" s="494">
        <v>482305138</v>
      </c>
      <c r="U312" s="101">
        <v>1259125052</v>
      </c>
      <c r="V312" s="494">
        <v>1399594888</v>
      </c>
      <c r="W312" s="494">
        <v>1002578386</v>
      </c>
      <c r="X312" s="494">
        <v>606701032</v>
      </c>
      <c r="Y312" s="508">
        <f>1876585569</f>
        <v>1876585569</v>
      </c>
      <c r="Z312" s="258">
        <f>SUM(N312:Y312)</f>
        <v>7665751985</v>
      </c>
      <c r="AA312" s="536">
        <f>L312-Z312</f>
        <v>6258283842</v>
      </c>
      <c r="AC312" s="129"/>
      <c r="AD312" s="130"/>
      <c r="AE312" s="131"/>
      <c r="AF312" s="132"/>
      <c r="AG312" s="131"/>
      <c r="AH312" s="131"/>
      <c r="AI312" s="130"/>
      <c r="AJ312" s="130"/>
      <c r="AK312" s="131"/>
      <c r="AL312" s="133"/>
      <c r="AM312" s="195"/>
    </row>
    <row r="313" spans="1:39" s="112" customFormat="1">
      <c r="A313" s="273"/>
      <c r="B313" s="59"/>
      <c r="C313" s="59"/>
      <c r="D313" s="59"/>
      <c r="E313" s="59"/>
      <c r="F313" s="59"/>
      <c r="G313" s="59"/>
      <c r="H313" s="71"/>
      <c r="I313" s="59" t="s">
        <v>267</v>
      </c>
      <c r="J313" s="500">
        <f>J307-J312</f>
        <v>0</v>
      </c>
      <c r="K313" s="59">
        <f>J313-J311</f>
        <v>0</v>
      </c>
      <c r="L313" s="501">
        <f>L312-L307</f>
        <v>0</v>
      </c>
      <c r="M313" s="59"/>
      <c r="N313" s="276">
        <f>N312-N307</f>
        <v>0</v>
      </c>
      <c r="O313" s="276">
        <f t="shared" ref="O313:Y313" si="184">O312-O307</f>
        <v>0</v>
      </c>
      <c r="P313" s="276">
        <f t="shared" si="184"/>
        <v>0</v>
      </c>
      <c r="Q313" s="276">
        <f t="shared" si="184"/>
        <v>0</v>
      </c>
      <c r="R313" s="276">
        <f t="shared" si="184"/>
        <v>0</v>
      </c>
      <c r="S313" s="276">
        <f t="shared" si="184"/>
        <v>0</v>
      </c>
      <c r="T313" s="276">
        <f t="shared" si="184"/>
        <v>0</v>
      </c>
      <c r="U313" s="276">
        <f t="shared" si="184"/>
        <v>0</v>
      </c>
      <c r="V313" s="276">
        <f t="shared" si="184"/>
        <v>0</v>
      </c>
      <c r="W313" s="276">
        <f t="shared" si="184"/>
        <v>0</v>
      </c>
      <c r="X313" s="276">
        <f t="shared" si="184"/>
        <v>0</v>
      </c>
      <c r="Y313" s="276">
        <f t="shared" si="184"/>
        <v>0</v>
      </c>
      <c r="Z313" s="276">
        <f>Z312-Z307</f>
        <v>0</v>
      </c>
      <c r="AA313" s="278">
        <f>AA312-AA307</f>
        <v>0</v>
      </c>
      <c r="AC313" s="129"/>
      <c r="AD313" s="130"/>
      <c r="AE313" s="131"/>
      <c r="AF313" s="132"/>
      <c r="AG313" s="131"/>
      <c r="AH313" s="131"/>
      <c r="AI313" s="130"/>
      <c r="AJ313" s="130"/>
      <c r="AK313" s="131"/>
      <c r="AL313" s="133"/>
      <c r="AM313" s="195"/>
    </row>
    <row r="314" spans="1:39" s="112" customFormat="1">
      <c r="A314" s="273"/>
      <c r="B314" s="59"/>
      <c r="C314" s="59"/>
      <c r="D314" s="59"/>
      <c r="E314" s="59"/>
      <c r="F314" s="59"/>
      <c r="G314" s="308"/>
      <c r="H314" s="71"/>
      <c r="I314" s="59"/>
      <c r="J314" s="500"/>
      <c r="K314" s="59"/>
      <c r="L314" s="501"/>
      <c r="M314" s="59"/>
      <c r="N314" s="276"/>
      <c r="O314" s="276"/>
      <c r="P314" s="276"/>
      <c r="Q314" s="276"/>
      <c r="R314" s="276"/>
      <c r="S314" s="276"/>
      <c r="T314" s="276"/>
      <c r="U314" s="276"/>
      <c r="V314" s="276"/>
      <c r="W314" s="276"/>
      <c r="X314" s="276"/>
      <c r="Y314" s="276"/>
      <c r="Z314" s="276"/>
      <c r="AA314" s="278"/>
      <c r="AC314" s="129"/>
      <c r="AD314" s="130"/>
      <c r="AE314" s="131"/>
      <c r="AF314" s="132"/>
      <c r="AG314" s="131"/>
      <c r="AH314" s="131"/>
      <c r="AI314" s="130"/>
      <c r="AJ314" s="130"/>
      <c r="AK314" s="131"/>
      <c r="AL314" s="133"/>
      <c r="AM314" s="195"/>
    </row>
    <row r="315" spans="1:39" s="112" customFormat="1" ht="81.75" customHeight="1" thickBot="1">
      <c r="A315" s="537" t="s">
        <v>122</v>
      </c>
      <c r="B315" s="538">
        <f>+B16+B136+B140+B161+B209+B235+B288+B291+B300+B303</f>
        <v>14663709983</v>
      </c>
      <c r="C315" s="539"/>
      <c r="D315" s="540"/>
      <c r="E315" s="540"/>
      <c r="F315" s="540"/>
      <c r="G315" s="541" t="s">
        <v>122</v>
      </c>
      <c r="H315" s="542"/>
      <c r="I315" s="539"/>
      <c r="J315" s="543">
        <f>J22+J26+J29+J32+J35+J42+J45+J51+J56+J66+J72+J78+J82+J86+J89+J135+J139+J160+J208+J234+J287+J290+J299+J302+J305</f>
        <v>13924035827</v>
      </c>
      <c r="K315" s="543"/>
      <c r="L315" s="543">
        <f t="shared" ref="L315" si="185">L22+L26+L29+L32+L35+L42+L45+L51+L56+L66+L72+L78+L82+L86+L89+L135+L139+L160+L208+L234+L287+L290+L299+L302+L305</f>
        <v>13924035827</v>
      </c>
      <c r="M315" s="543"/>
      <c r="N315" s="543">
        <f>N22+N26+N29+N32+N35+N42+N45+N51+N72+N78+N82+N86+N135+N139+N160+N208+N234+N287+N290+N299+N302+N305</f>
        <v>4913360</v>
      </c>
      <c r="O315" s="543">
        <f t="shared" ref="O315:U315" si="186">O22+O26+O29+O32+O35+O42+O45+O51+O72+O78+O82+O86+O135+O139+O160+O208+O234+O287+O290+O299+O302+O305</f>
        <v>49429350</v>
      </c>
      <c r="P315" s="543">
        <f t="shared" si="186"/>
        <v>151030947</v>
      </c>
      <c r="Q315" s="543">
        <f t="shared" si="186"/>
        <v>231754717</v>
      </c>
      <c r="R315" s="543">
        <f t="shared" si="186"/>
        <v>294354388</v>
      </c>
      <c r="S315" s="543">
        <f>S22+S26+S29+S32+S35+S42+S45+S51+S72+S78+S82+S86+S135+S139+S160+S208+S234+S287+S290+S299+S302+S305</f>
        <v>307379158</v>
      </c>
      <c r="T315" s="543">
        <f t="shared" si="186"/>
        <v>482305138</v>
      </c>
      <c r="U315" s="543">
        <f t="shared" si="186"/>
        <v>1259125052</v>
      </c>
      <c r="V315" s="543">
        <f>V22+V26+V29+V32+V35+V42+V45+V51+V72+V78+V82+V86+V135+V139+V160+V208+V234+V287+V290+V299+V302+V305</f>
        <v>1399594888</v>
      </c>
      <c r="W315" s="543">
        <f>W22+W26+W29+W32+W35+W42+W45+W51+W72+W78+W82+W86+W135+W139+W160+W208+W234+W287+W290+W299+W302+W305</f>
        <v>1002578386</v>
      </c>
      <c r="X315" s="543">
        <f>X22+X26+X29+X32+X35+X42+X45+X51+X56+X66+X72+X78+X82+X86+X89+X135+X139+X160+X208+X234+X287+X290+X299+X302+X305</f>
        <v>606701032</v>
      </c>
      <c r="Y315" s="543">
        <f>Y22+Y26+Y29+Y32+Y35+Y42+Y45+Y51+Y56+Y66+Y72+Y78+Y82+Y86+Y89+Y135+Y139+Y160+Y208+Y234+Y287+Y290+Y299+Y302+Y305</f>
        <v>1876585569</v>
      </c>
      <c r="Z315" s="543">
        <f>Z22+Z26+Z29+Z32+Z35+Z42+Z45+Z51+Z56+Z66+Z72+Z78+Z82+Z86+Z89+Z135+Z139+Z160+Z208+Z234+Z287+Z290+Z299+Z302+Z305</f>
        <v>7665751985</v>
      </c>
      <c r="AA315" s="544">
        <f>AA22+AA26+AA29+AA32+AA35+AA42+AA45+AA51+AA56+AA66+AA72+AA78+AA82+AA86+AA89+AA135+AA139+AA160+AA208+AA234+AA287+AA290+AA299+AA302+AA305</f>
        <v>6258283842</v>
      </c>
      <c r="AC315" s="129"/>
      <c r="AD315" s="130"/>
      <c r="AE315" s="131"/>
      <c r="AF315" s="132"/>
      <c r="AG315" s="131"/>
      <c r="AH315" s="131"/>
      <c r="AI315" s="130"/>
      <c r="AJ315" s="130"/>
      <c r="AK315" s="131"/>
      <c r="AL315" s="133"/>
      <c r="AM315" s="195"/>
    </row>
    <row r="316" spans="1:39" s="112" customFormat="1">
      <c r="H316" s="309"/>
      <c r="J316" s="509"/>
      <c r="L316" s="116"/>
      <c r="N316" s="116"/>
      <c r="O316" s="116"/>
      <c r="P316" s="116"/>
      <c r="Q316" s="116"/>
      <c r="R316" s="116"/>
      <c r="S316" s="116"/>
      <c r="T316" s="116"/>
      <c r="U316" s="116"/>
      <c r="V316" s="116"/>
      <c r="W316" s="116"/>
      <c r="X316" s="116"/>
      <c r="Y316" s="116"/>
      <c r="Z316" s="116"/>
      <c r="AA316" s="116"/>
      <c r="AC316" s="129"/>
      <c r="AD316" s="130"/>
      <c r="AE316" s="131"/>
      <c r="AF316" s="132"/>
      <c r="AG316" s="131"/>
      <c r="AH316" s="131"/>
      <c r="AI316" s="130"/>
      <c r="AJ316" s="130"/>
      <c r="AK316" s="131"/>
      <c r="AL316" s="133"/>
      <c r="AM316" s="195"/>
    </row>
    <row r="317" spans="1:39" s="112" customFormat="1" ht="38.25">
      <c r="A317" s="308" t="s">
        <v>949</v>
      </c>
      <c r="H317" s="309"/>
      <c r="J317" s="509"/>
      <c r="L317" s="116"/>
      <c r="N317" s="116"/>
      <c r="O317" s="116"/>
      <c r="P317" s="116"/>
      <c r="Q317" s="116"/>
      <c r="R317" s="116"/>
      <c r="S317" s="116"/>
      <c r="T317" s="116"/>
      <c r="U317" s="116"/>
      <c r="V317" s="116"/>
      <c r="W317" s="116"/>
      <c r="X317" s="116"/>
      <c r="Y317" s="116"/>
      <c r="Z317" s="116"/>
      <c r="AA317" s="116"/>
      <c r="AC317" s="129"/>
      <c r="AD317" s="130"/>
      <c r="AE317" s="131"/>
      <c r="AF317" s="132"/>
      <c r="AG317" s="131"/>
      <c r="AH317" s="131"/>
      <c r="AI317" s="130"/>
      <c r="AJ317" s="130"/>
      <c r="AK317" s="131"/>
      <c r="AL317" s="133"/>
      <c r="AM317" s="195"/>
    </row>
    <row r="318" spans="1:39" s="112" customFormat="1">
      <c r="H318" s="309"/>
      <c r="J318" s="509"/>
      <c r="L318" s="116"/>
      <c r="N318" s="116"/>
      <c r="O318" s="116"/>
      <c r="P318" s="116"/>
      <c r="Q318" s="116"/>
      <c r="R318" s="116"/>
      <c r="S318" s="116"/>
      <c r="T318" s="116"/>
      <c r="U318" s="116"/>
      <c r="V318" s="116"/>
      <c r="W318" s="116"/>
      <c r="X318" s="116"/>
      <c r="Y318" s="116"/>
      <c r="Z318" s="116"/>
      <c r="AA318" s="116"/>
      <c r="AC318" s="129"/>
      <c r="AD318" s="130"/>
      <c r="AE318" s="131"/>
      <c r="AF318" s="132"/>
      <c r="AG318" s="131"/>
      <c r="AH318" s="131"/>
      <c r="AI318" s="130"/>
      <c r="AJ318" s="130"/>
      <c r="AK318" s="131"/>
      <c r="AL318" s="133"/>
      <c r="AM318" s="195"/>
    </row>
    <row r="319" spans="1:39" s="112" customFormat="1">
      <c r="H319" s="309"/>
      <c r="J319" s="509"/>
      <c r="L319" s="116"/>
      <c r="N319" s="116"/>
      <c r="O319" s="116"/>
      <c r="P319" s="116"/>
      <c r="Q319" s="116"/>
      <c r="R319" s="116"/>
      <c r="S319" s="116"/>
      <c r="T319" s="116"/>
      <c r="U319" s="116"/>
      <c r="V319" s="116"/>
      <c r="W319" s="116"/>
      <c r="X319" s="116"/>
      <c r="Y319" s="116"/>
      <c r="Z319" s="116"/>
      <c r="AA319" s="116"/>
      <c r="AC319" s="129"/>
      <c r="AD319" s="130"/>
      <c r="AE319" s="131"/>
      <c r="AF319" s="132"/>
      <c r="AG319" s="131"/>
      <c r="AH319" s="131"/>
      <c r="AI319" s="130"/>
      <c r="AJ319" s="130"/>
      <c r="AK319" s="131"/>
      <c r="AL319" s="133"/>
      <c r="AM319" s="195"/>
    </row>
    <row r="320" spans="1:39" s="112" customFormat="1">
      <c r="H320" s="309"/>
      <c r="J320" s="509"/>
      <c r="L320" s="116"/>
      <c r="N320" s="116"/>
      <c r="O320" s="116"/>
      <c r="P320" s="116"/>
      <c r="Q320" s="116"/>
      <c r="R320" s="116"/>
      <c r="S320" s="116"/>
      <c r="T320" s="116"/>
      <c r="U320" s="116"/>
      <c r="V320" s="116"/>
      <c r="W320" s="116"/>
      <c r="X320" s="116"/>
      <c r="Y320" s="116"/>
      <c r="Z320" s="116"/>
      <c r="AA320" s="116"/>
      <c r="AC320" s="129"/>
      <c r="AD320" s="130"/>
      <c r="AE320" s="131"/>
      <c r="AF320" s="132"/>
      <c r="AG320" s="131"/>
      <c r="AH320" s="131"/>
      <c r="AI320" s="130"/>
      <c r="AJ320" s="130"/>
      <c r="AK320" s="131"/>
      <c r="AL320" s="133"/>
      <c r="AM320" s="195"/>
    </row>
    <row r="321" spans="1:39" s="112" customFormat="1">
      <c r="A321" s="510" t="s">
        <v>1370</v>
      </c>
      <c r="F321" s="511"/>
      <c r="H321" s="309"/>
      <c r="J321" s="509"/>
      <c r="L321" s="116"/>
      <c r="N321" s="116"/>
      <c r="O321" s="116"/>
      <c r="P321" s="116"/>
      <c r="Q321" s="116"/>
      <c r="R321" s="116"/>
      <c r="S321" s="116"/>
      <c r="T321" s="116"/>
      <c r="U321" s="116"/>
      <c r="V321" s="116"/>
      <c r="W321" s="116"/>
      <c r="X321" s="116"/>
      <c r="Y321" s="116"/>
      <c r="Z321" s="116"/>
      <c r="AA321" s="116"/>
      <c r="AC321" s="129"/>
      <c r="AD321" s="130"/>
      <c r="AE321" s="131"/>
      <c r="AF321" s="132"/>
      <c r="AG321" s="131"/>
      <c r="AH321" s="131"/>
      <c r="AI321" s="130"/>
      <c r="AJ321" s="130"/>
      <c r="AK321" s="131"/>
      <c r="AL321" s="133"/>
      <c r="AM321" s="195"/>
    </row>
    <row r="322" spans="1:39" s="112" customFormat="1">
      <c r="D322" s="512" t="s">
        <v>169</v>
      </c>
      <c r="F322" s="513" t="s">
        <v>1372</v>
      </c>
      <c r="H322" s="309"/>
      <c r="J322" s="509"/>
      <c r="L322" s="116"/>
      <c r="N322" s="116"/>
      <c r="O322" s="116"/>
      <c r="P322" s="116"/>
      <c r="Q322" s="116"/>
      <c r="R322" s="116"/>
      <c r="S322" s="116"/>
      <c r="T322" s="116"/>
      <c r="U322" s="116"/>
      <c r="V322" s="116"/>
      <c r="W322" s="116"/>
      <c r="X322" s="116"/>
      <c r="Y322" s="116"/>
      <c r="Z322" s="116"/>
      <c r="AA322" s="116"/>
      <c r="AC322" s="129"/>
      <c r="AD322" s="130"/>
      <c r="AE322" s="131"/>
      <c r="AF322" s="132"/>
      <c r="AG322" s="131"/>
      <c r="AH322" s="131"/>
      <c r="AI322" s="130"/>
      <c r="AJ322" s="130"/>
      <c r="AK322" s="131"/>
      <c r="AL322" s="133"/>
      <c r="AM322" s="195"/>
    </row>
    <row r="323" spans="1:39" s="112" customFormat="1">
      <c r="D323" s="514" t="s">
        <v>1375</v>
      </c>
      <c r="F323" s="515" t="s">
        <v>1373</v>
      </c>
      <c r="H323" s="309"/>
      <c r="J323" s="509"/>
      <c r="L323" s="116"/>
      <c r="N323" s="116"/>
      <c r="O323" s="116"/>
      <c r="P323" s="116"/>
      <c r="Q323" s="116"/>
      <c r="R323" s="116"/>
      <c r="S323" s="116"/>
      <c r="T323" s="116"/>
      <c r="U323" s="116"/>
      <c r="V323" s="116"/>
      <c r="W323" s="116"/>
      <c r="X323" s="116"/>
      <c r="Y323" s="116"/>
      <c r="Z323" s="116"/>
      <c r="AA323" s="116"/>
      <c r="AC323" s="129"/>
      <c r="AD323" s="130"/>
      <c r="AE323" s="131"/>
      <c r="AF323" s="132"/>
      <c r="AG323" s="131"/>
      <c r="AH323" s="131"/>
      <c r="AI323" s="130"/>
      <c r="AJ323" s="130"/>
      <c r="AK323" s="131"/>
      <c r="AL323" s="133"/>
      <c r="AM323" s="195"/>
    </row>
    <row r="324" spans="1:39" s="112" customFormat="1">
      <c r="A324" s="344"/>
      <c r="B324" s="402"/>
      <c r="C324" s="402"/>
      <c r="H324" s="309"/>
      <c r="J324" s="509"/>
      <c r="L324" s="116"/>
      <c r="N324" s="116"/>
      <c r="O324" s="116"/>
      <c r="P324" s="116"/>
      <c r="Q324" s="116"/>
      <c r="R324" s="116"/>
      <c r="S324" s="116"/>
      <c r="T324" s="116"/>
      <c r="U324" s="116"/>
      <c r="V324" s="116"/>
      <c r="W324" s="116"/>
      <c r="X324" s="116"/>
      <c r="Y324" s="116"/>
      <c r="Z324" s="116"/>
      <c r="AA324" s="116"/>
      <c r="AC324" s="129"/>
      <c r="AD324" s="130"/>
      <c r="AE324" s="131"/>
      <c r="AF324" s="132"/>
      <c r="AG324" s="131"/>
      <c r="AH324" s="131"/>
      <c r="AI324" s="130"/>
      <c r="AJ324" s="130"/>
      <c r="AK324" s="131"/>
      <c r="AL324" s="133"/>
      <c r="AM324" s="195"/>
    </row>
    <row r="325" spans="1:39" s="112" customFormat="1">
      <c r="A325" s="344"/>
      <c r="B325" s="402"/>
      <c r="C325" s="402"/>
      <c r="H325" s="309"/>
      <c r="J325" s="509"/>
      <c r="L325" s="116"/>
      <c r="N325" s="116"/>
      <c r="O325" s="116"/>
      <c r="P325" s="116"/>
      <c r="Q325" s="116"/>
      <c r="R325" s="116"/>
      <c r="S325" s="116"/>
      <c r="T325" s="116"/>
      <c r="U325" s="116"/>
      <c r="V325" s="116"/>
      <c r="W325" s="116"/>
      <c r="X325" s="116"/>
      <c r="Y325" s="116"/>
      <c r="Z325" s="116"/>
      <c r="AA325" s="116"/>
      <c r="AC325" s="129"/>
      <c r="AD325" s="130"/>
      <c r="AE325" s="131"/>
      <c r="AF325" s="132"/>
      <c r="AG325" s="131"/>
      <c r="AH325" s="131"/>
      <c r="AI325" s="130"/>
      <c r="AJ325" s="130"/>
      <c r="AK325" s="131"/>
      <c r="AL325" s="133"/>
      <c r="AM325" s="195"/>
    </row>
    <row r="326" spans="1:39" s="112" customFormat="1">
      <c r="A326" s="344"/>
      <c r="B326" s="402"/>
      <c r="C326" s="402"/>
      <c r="H326" s="309"/>
      <c r="J326" s="509"/>
      <c r="L326" s="116"/>
      <c r="N326" s="116"/>
      <c r="O326" s="116"/>
      <c r="P326" s="116"/>
      <c r="Q326" s="116"/>
      <c r="R326" s="116"/>
      <c r="S326" s="116"/>
      <c r="T326" s="116"/>
      <c r="U326" s="116"/>
      <c r="V326" s="116"/>
      <c r="W326" s="116"/>
      <c r="X326" s="116"/>
      <c r="Y326" s="116"/>
      <c r="Z326" s="116"/>
      <c r="AA326" s="116"/>
      <c r="AC326" s="129"/>
      <c r="AD326" s="130"/>
      <c r="AE326" s="131"/>
      <c r="AF326" s="132"/>
      <c r="AG326" s="131"/>
      <c r="AH326" s="131"/>
      <c r="AI326" s="130"/>
      <c r="AJ326" s="130"/>
      <c r="AK326" s="131"/>
      <c r="AL326" s="133"/>
      <c r="AM326" s="195"/>
    </row>
    <row r="327" spans="1:39" s="112" customFormat="1">
      <c r="H327" s="309"/>
      <c r="J327" s="509"/>
      <c r="L327" s="116"/>
      <c r="N327" s="116"/>
      <c r="O327" s="116"/>
      <c r="P327" s="116"/>
      <c r="Q327" s="116"/>
      <c r="R327" s="116"/>
      <c r="S327" s="116"/>
      <c r="T327" s="116"/>
      <c r="U327" s="116"/>
      <c r="V327" s="116"/>
      <c r="W327" s="116"/>
      <c r="X327" s="116"/>
      <c r="Y327" s="116"/>
      <c r="Z327" s="116"/>
      <c r="AA327" s="116"/>
      <c r="AC327" s="129"/>
      <c r="AD327" s="130"/>
      <c r="AE327" s="131"/>
      <c r="AF327" s="132"/>
      <c r="AG327" s="131"/>
      <c r="AH327" s="131"/>
      <c r="AI327" s="130"/>
      <c r="AJ327" s="130"/>
      <c r="AK327" s="131"/>
      <c r="AL327" s="133"/>
      <c r="AM327" s="195"/>
    </row>
    <row r="328" spans="1:39" s="112" customFormat="1">
      <c r="H328" s="309"/>
      <c r="J328" s="509"/>
      <c r="L328" s="116"/>
      <c r="N328" s="116"/>
      <c r="O328" s="116"/>
      <c r="P328" s="116"/>
      <c r="Q328" s="116"/>
      <c r="R328" s="116"/>
      <c r="S328" s="116"/>
      <c r="T328" s="116"/>
      <c r="U328" s="116"/>
      <c r="V328" s="116"/>
      <c r="W328" s="116"/>
      <c r="X328" s="116"/>
      <c r="Y328" s="116"/>
      <c r="Z328" s="116"/>
      <c r="AA328" s="116"/>
      <c r="AC328" s="129"/>
      <c r="AD328" s="130"/>
      <c r="AE328" s="131"/>
      <c r="AF328" s="132"/>
      <c r="AG328" s="131"/>
      <c r="AH328" s="131"/>
      <c r="AI328" s="130"/>
      <c r="AJ328" s="130"/>
      <c r="AK328" s="131"/>
      <c r="AL328" s="133"/>
      <c r="AM328" s="195"/>
    </row>
    <row r="329" spans="1:39" s="112" customFormat="1">
      <c r="H329" s="309"/>
      <c r="J329" s="509"/>
      <c r="L329" s="116"/>
      <c r="N329" s="116"/>
      <c r="O329" s="116"/>
      <c r="P329" s="116"/>
      <c r="Q329" s="116"/>
      <c r="R329" s="116"/>
      <c r="S329" s="116"/>
      <c r="T329" s="116"/>
      <c r="U329" s="116"/>
      <c r="V329" s="116"/>
      <c r="W329" s="116"/>
      <c r="X329" s="116"/>
      <c r="Y329" s="116"/>
      <c r="Z329" s="116"/>
      <c r="AA329" s="116"/>
      <c r="AC329" s="129"/>
      <c r="AD329" s="130"/>
      <c r="AE329" s="131"/>
      <c r="AF329" s="132"/>
      <c r="AG329" s="131"/>
      <c r="AH329" s="131"/>
      <c r="AI329" s="130"/>
      <c r="AJ329" s="130"/>
      <c r="AK329" s="131"/>
      <c r="AL329" s="133"/>
      <c r="AM329" s="195"/>
    </row>
    <row r="330" spans="1:39" s="112" customFormat="1">
      <c r="H330" s="309"/>
      <c r="J330" s="509"/>
      <c r="L330" s="116"/>
      <c r="N330" s="116"/>
      <c r="O330" s="116"/>
      <c r="P330" s="116"/>
      <c r="Q330" s="116"/>
      <c r="R330" s="116"/>
      <c r="S330" s="116"/>
      <c r="T330" s="116"/>
      <c r="U330" s="116"/>
      <c r="V330" s="116"/>
      <c r="W330" s="116"/>
      <c r="X330" s="116"/>
      <c r="Y330" s="116"/>
      <c r="Z330" s="116"/>
      <c r="AA330" s="116"/>
      <c r="AC330" s="129"/>
      <c r="AD330" s="130"/>
      <c r="AE330" s="131"/>
      <c r="AF330" s="132"/>
      <c r="AG330" s="131"/>
      <c r="AH330" s="131"/>
      <c r="AI330" s="130"/>
      <c r="AJ330" s="130"/>
      <c r="AK330" s="131"/>
      <c r="AL330" s="133"/>
      <c r="AM330" s="195"/>
    </row>
    <row r="331" spans="1:39" s="112" customFormat="1">
      <c r="H331" s="309"/>
      <c r="J331" s="509"/>
      <c r="L331" s="116"/>
      <c r="N331" s="116"/>
      <c r="O331" s="116"/>
      <c r="P331" s="116"/>
      <c r="Q331" s="116"/>
      <c r="R331" s="116"/>
      <c r="S331" s="116"/>
      <c r="T331" s="116"/>
      <c r="U331" s="116"/>
      <c r="V331" s="116"/>
      <c r="W331" s="116"/>
      <c r="X331" s="116"/>
      <c r="Y331" s="116"/>
      <c r="Z331" s="116"/>
      <c r="AA331" s="116"/>
      <c r="AC331" s="129"/>
      <c r="AD331" s="130"/>
      <c r="AE331" s="131"/>
      <c r="AF331" s="132"/>
      <c r="AG331" s="131"/>
      <c r="AH331" s="131"/>
      <c r="AI331" s="130"/>
      <c r="AJ331" s="130"/>
      <c r="AK331" s="131"/>
      <c r="AL331" s="133"/>
      <c r="AM331" s="195"/>
    </row>
    <row r="332" spans="1:39" s="112" customFormat="1">
      <c r="H332" s="309"/>
      <c r="J332" s="509"/>
      <c r="L332" s="116"/>
      <c r="N332" s="116"/>
      <c r="O332" s="116"/>
      <c r="P332" s="116"/>
      <c r="Q332" s="116"/>
      <c r="R332" s="116"/>
      <c r="S332" s="116"/>
      <c r="T332" s="116"/>
      <c r="U332" s="116"/>
      <c r="V332" s="116"/>
      <c r="W332" s="116"/>
      <c r="X332" s="116"/>
      <c r="Y332" s="116"/>
      <c r="Z332" s="116"/>
      <c r="AA332" s="116"/>
      <c r="AC332" s="129"/>
      <c r="AD332" s="130"/>
      <c r="AE332" s="131"/>
      <c r="AF332" s="132"/>
      <c r="AG332" s="131"/>
      <c r="AH332" s="131"/>
      <c r="AI332" s="130"/>
      <c r="AJ332" s="130"/>
      <c r="AK332" s="131"/>
      <c r="AL332" s="133"/>
      <c r="AM332" s="195"/>
    </row>
    <row r="333" spans="1:39" s="112" customFormat="1">
      <c r="H333" s="309"/>
      <c r="J333" s="509"/>
      <c r="L333" s="116"/>
      <c r="N333" s="116"/>
      <c r="O333" s="116"/>
      <c r="P333" s="116"/>
      <c r="Q333" s="116"/>
      <c r="R333" s="116"/>
      <c r="S333" s="116"/>
      <c r="T333" s="116"/>
      <c r="U333" s="116"/>
      <c r="V333" s="116"/>
      <c r="W333" s="116"/>
      <c r="X333" s="116"/>
      <c r="Y333" s="116"/>
      <c r="Z333" s="116"/>
      <c r="AA333" s="116"/>
      <c r="AC333" s="129"/>
      <c r="AD333" s="130"/>
      <c r="AE333" s="131"/>
      <c r="AF333" s="132"/>
      <c r="AG333" s="131"/>
      <c r="AH333" s="131"/>
      <c r="AI333" s="130"/>
      <c r="AJ333" s="130"/>
      <c r="AK333" s="131"/>
      <c r="AL333" s="133"/>
      <c r="AM333" s="195"/>
    </row>
    <row r="334" spans="1:39" s="112" customFormat="1">
      <c r="H334" s="309"/>
      <c r="J334" s="509"/>
      <c r="L334" s="116"/>
      <c r="N334" s="116"/>
      <c r="O334" s="116"/>
      <c r="P334" s="116"/>
      <c r="Q334" s="116"/>
      <c r="R334" s="116"/>
      <c r="S334" s="116"/>
      <c r="T334" s="116"/>
      <c r="U334" s="116"/>
      <c r="V334" s="116"/>
      <c r="W334" s="116"/>
      <c r="X334" s="116"/>
      <c r="Y334" s="116"/>
      <c r="Z334" s="116"/>
      <c r="AA334" s="116"/>
      <c r="AC334" s="129"/>
      <c r="AD334" s="130"/>
      <c r="AE334" s="131"/>
      <c r="AF334" s="132"/>
      <c r="AG334" s="131"/>
      <c r="AH334" s="131"/>
      <c r="AI334" s="130"/>
      <c r="AJ334" s="130"/>
      <c r="AK334" s="131"/>
      <c r="AL334" s="133"/>
      <c r="AM334" s="195"/>
    </row>
    <row r="335" spans="1:39" s="112" customFormat="1">
      <c r="H335" s="309"/>
      <c r="J335" s="509"/>
      <c r="L335" s="116"/>
      <c r="N335" s="116"/>
      <c r="O335" s="116"/>
      <c r="P335" s="116"/>
      <c r="Q335" s="116"/>
      <c r="R335" s="116"/>
      <c r="S335" s="116"/>
      <c r="T335" s="116"/>
      <c r="U335" s="116"/>
      <c r="V335" s="116"/>
      <c r="W335" s="116"/>
      <c r="X335" s="116"/>
      <c r="Y335" s="116"/>
      <c r="Z335" s="116"/>
      <c r="AA335" s="116"/>
      <c r="AC335" s="129"/>
      <c r="AD335" s="130"/>
      <c r="AE335" s="131"/>
      <c r="AF335" s="132"/>
      <c r="AG335" s="131"/>
      <c r="AH335" s="131"/>
      <c r="AI335" s="130"/>
      <c r="AJ335" s="130"/>
      <c r="AK335" s="131"/>
      <c r="AL335" s="133"/>
      <c r="AM335" s="195"/>
    </row>
    <row r="336" spans="1:39" s="112" customFormat="1">
      <c r="H336" s="309"/>
      <c r="J336" s="509"/>
      <c r="L336" s="116"/>
      <c r="N336" s="116"/>
      <c r="O336" s="116"/>
      <c r="P336" s="116"/>
      <c r="Q336" s="116"/>
      <c r="R336" s="116"/>
      <c r="S336" s="116"/>
      <c r="T336" s="116"/>
      <c r="U336" s="116"/>
      <c r="V336" s="116"/>
      <c r="W336" s="116"/>
      <c r="X336" s="116"/>
      <c r="Y336" s="116"/>
      <c r="Z336" s="116"/>
      <c r="AA336" s="116"/>
      <c r="AC336" s="129"/>
      <c r="AD336" s="130"/>
      <c r="AE336" s="131"/>
      <c r="AF336" s="132"/>
      <c r="AG336" s="131"/>
      <c r="AH336" s="131"/>
      <c r="AI336" s="130"/>
      <c r="AJ336" s="130"/>
      <c r="AK336" s="131"/>
      <c r="AL336" s="133"/>
      <c r="AM336" s="195"/>
    </row>
    <row r="337" spans="8:39" s="112" customFormat="1">
      <c r="H337" s="309"/>
      <c r="J337" s="509"/>
      <c r="L337" s="116"/>
      <c r="N337" s="116"/>
      <c r="O337" s="116"/>
      <c r="P337" s="116"/>
      <c r="Q337" s="116"/>
      <c r="R337" s="116"/>
      <c r="S337" s="116"/>
      <c r="T337" s="116"/>
      <c r="U337" s="116"/>
      <c r="V337" s="116"/>
      <c r="W337" s="116"/>
      <c r="X337" s="116"/>
      <c r="Y337" s="116"/>
      <c r="Z337" s="116"/>
      <c r="AA337" s="116"/>
      <c r="AC337" s="129"/>
      <c r="AD337" s="130"/>
      <c r="AE337" s="131"/>
      <c r="AF337" s="132"/>
      <c r="AG337" s="131"/>
      <c r="AH337" s="131"/>
      <c r="AI337" s="130"/>
      <c r="AJ337" s="130"/>
      <c r="AK337" s="131"/>
      <c r="AL337" s="133"/>
      <c r="AM337" s="195"/>
    </row>
    <row r="338" spans="8:39" s="112" customFormat="1">
      <c r="H338" s="309"/>
      <c r="J338" s="509"/>
      <c r="L338" s="116"/>
      <c r="N338" s="116"/>
      <c r="O338" s="116"/>
      <c r="P338" s="116"/>
      <c r="Q338" s="116"/>
      <c r="R338" s="116"/>
      <c r="S338" s="116"/>
      <c r="T338" s="116"/>
      <c r="U338" s="116"/>
      <c r="V338" s="116"/>
      <c r="W338" s="116"/>
      <c r="X338" s="116"/>
      <c r="Y338" s="116"/>
      <c r="Z338" s="116"/>
      <c r="AA338" s="116"/>
      <c r="AC338" s="129"/>
      <c r="AD338" s="130"/>
      <c r="AE338" s="131"/>
      <c r="AF338" s="132"/>
      <c r="AG338" s="131"/>
      <c r="AH338" s="131"/>
      <c r="AI338" s="130"/>
      <c r="AJ338" s="130"/>
      <c r="AK338" s="131"/>
      <c r="AL338" s="133"/>
      <c r="AM338" s="195"/>
    </row>
    <row r="339" spans="8:39" s="112" customFormat="1">
      <c r="H339" s="309"/>
      <c r="J339" s="509"/>
      <c r="L339" s="116"/>
      <c r="N339" s="116"/>
      <c r="O339" s="116"/>
      <c r="P339" s="116"/>
      <c r="Q339" s="116"/>
      <c r="R339" s="116"/>
      <c r="S339" s="116"/>
      <c r="T339" s="116"/>
      <c r="U339" s="116"/>
      <c r="V339" s="116"/>
      <c r="W339" s="116"/>
      <c r="X339" s="116"/>
      <c r="Y339" s="116"/>
      <c r="Z339" s="116"/>
      <c r="AA339" s="116"/>
      <c r="AC339" s="129"/>
      <c r="AD339" s="130"/>
      <c r="AE339" s="131"/>
      <c r="AF339" s="132"/>
      <c r="AG339" s="131"/>
      <c r="AH339" s="131"/>
      <c r="AI339" s="130"/>
      <c r="AJ339" s="130"/>
      <c r="AK339" s="131"/>
      <c r="AL339" s="133"/>
      <c r="AM339" s="195"/>
    </row>
    <row r="340" spans="8:39" s="112" customFormat="1">
      <c r="H340" s="309"/>
      <c r="J340" s="509"/>
      <c r="L340" s="116"/>
      <c r="N340" s="116"/>
      <c r="O340" s="116"/>
      <c r="P340" s="116"/>
      <c r="Q340" s="116"/>
      <c r="R340" s="116"/>
      <c r="S340" s="116"/>
      <c r="T340" s="116"/>
      <c r="U340" s="116"/>
      <c r="V340" s="116"/>
      <c r="W340" s="116"/>
      <c r="X340" s="116"/>
      <c r="Y340" s="116"/>
      <c r="Z340" s="116"/>
      <c r="AA340" s="116"/>
      <c r="AC340" s="129"/>
      <c r="AD340" s="130"/>
      <c r="AE340" s="131"/>
      <c r="AF340" s="132"/>
      <c r="AG340" s="131"/>
      <c r="AH340" s="131"/>
      <c r="AI340" s="130"/>
      <c r="AJ340" s="130"/>
      <c r="AK340" s="131"/>
      <c r="AL340" s="133"/>
      <c r="AM340" s="195"/>
    </row>
    <row r="341" spans="8:39" s="112" customFormat="1">
      <c r="H341" s="309"/>
      <c r="J341" s="509"/>
      <c r="L341" s="116"/>
      <c r="N341" s="116"/>
      <c r="O341" s="116"/>
      <c r="P341" s="116"/>
      <c r="Q341" s="116"/>
      <c r="R341" s="116"/>
      <c r="S341" s="116"/>
      <c r="T341" s="116"/>
      <c r="U341" s="116"/>
      <c r="V341" s="116"/>
      <c r="W341" s="116"/>
      <c r="X341" s="116"/>
      <c r="Y341" s="116"/>
      <c r="Z341" s="116"/>
      <c r="AA341" s="116"/>
      <c r="AC341" s="129"/>
      <c r="AD341" s="130"/>
      <c r="AE341" s="131"/>
      <c r="AF341" s="132"/>
      <c r="AG341" s="131"/>
      <c r="AH341" s="131"/>
      <c r="AI341" s="130"/>
      <c r="AJ341" s="130"/>
      <c r="AK341" s="131"/>
      <c r="AL341" s="133"/>
      <c r="AM341" s="195"/>
    </row>
    <row r="342" spans="8:39" s="112" customFormat="1">
      <c r="H342" s="309"/>
      <c r="J342" s="509"/>
      <c r="L342" s="116"/>
      <c r="N342" s="116"/>
      <c r="O342" s="116"/>
      <c r="P342" s="116"/>
      <c r="Q342" s="116"/>
      <c r="R342" s="116"/>
      <c r="S342" s="116"/>
      <c r="T342" s="116"/>
      <c r="U342" s="116"/>
      <c r="V342" s="116"/>
      <c r="W342" s="116"/>
      <c r="X342" s="116"/>
      <c r="Y342" s="116"/>
      <c r="Z342" s="116"/>
      <c r="AA342" s="116"/>
      <c r="AC342" s="129"/>
      <c r="AD342" s="130"/>
      <c r="AE342" s="131"/>
      <c r="AF342" s="132"/>
      <c r="AG342" s="131"/>
      <c r="AH342" s="131"/>
      <c r="AI342" s="130"/>
      <c r="AJ342" s="130"/>
      <c r="AK342" s="131"/>
      <c r="AL342" s="133"/>
      <c r="AM342" s="195"/>
    </row>
    <row r="343" spans="8:39" s="112" customFormat="1">
      <c r="H343" s="309"/>
      <c r="J343" s="509"/>
      <c r="L343" s="116"/>
      <c r="N343" s="116"/>
      <c r="O343" s="116"/>
      <c r="P343" s="116"/>
      <c r="Q343" s="116"/>
      <c r="R343" s="116"/>
      <c r="S343" s="116"/>
      <c r="T343" s="116"/>
      <c r="U343" s="116"/>
      <c r="V343" s="116"/>
      <c r="W343" s="116"/>
      <c r="X343" s="116"/>
      <c r="Y343" s="116"/>
      <c r="Z343" s="116"/>
      <c r="AA343" s="116"/>
      <c r="AC343" s="129"/>
      <c r="AD343" s="130"/>
      <c r="AE343" s="131"/>
      <c r="AF343" s="132"/>
      <c r="AG343" s="131"/>
      <c r="AH343" s="131"/>
      <c r="AI343" s="130"/>
      <c r="AJ343" s="130"/>
      <c r="AK343" s="131"/>
      <c r="AL343" s="133"/>
      <c r="AM343" s="195"/>
    </row>
    <row r="344" spans="8:39" s="112" customFormat="1">
      <c r="H344" s="309"/>
      <c r="J344" s="509"/>
      <c r="L344" s="116"/>
      <c r="N344" s="116"/>
      <c r="O344" s="116"/>
      <c r="P344" s="116"/>
      <c r="Q344" s="116"/>
      <c r="R344" s="116"/>
      <c r="S344" s="116"/>
      <c r="T344" s="116"/>
      <c r="U344" s="116"/>
      <c r="V344" s="116"/>
      <c r="W344" s="116"/>
      <c r="X344" s="116"/>
      <c r="Y344" s="116"/>
      <c r="Z344" s="116"/>
      <c r="AA344" s="116"/>
      <c r="AC344" s="129"/>
      <c r="AD344" s="130"/>
      <c r="AE344" s="131"/>
      <c r="AF344" s="132"/>
      <c r="AG344" s="131"/>
      <c r="AH344" s="131"/>
      <c r="AI344" s="130"/>
      <c r="AJ344" s="130"/>
      <c r="AK344" s="131"/>
      <c r="AL344" s="133"/>
      <c r="AM344" s="195"/>
    </row>
    <row r="345" spans="8:39" s="112" customFormat="1">
      <c r="H345" s="309"/>
      <c r="J345" s="509"/>
      <c r="L345" s="116"/>
      <c r="N345" s="116"/>
      <c r="O345" s="116"/>
      <c r="P345" s="116"/>
      <c r="Q345" s="116"/>
      <c r="R345" s="116"/>
      <c r="S345" s="116"/>
      <c r="T345" s="116"/>
      <c r="U345" s="116"/>
      <c r="V345" s="116"/>
      <c r="W345" s="116"/>
      <c r="X345" s="116"/>
      <c r="Y345" s="116"/>
      <c r="Z345" s="116"/>
      <c r="AA345" s="116"/>
      <c r="AC345" s="129"/>
      <c r="AD345" s="130"/>
      <c r="AE345" s="131"/>
      <c r="AF345" s="132"/>
      <c r="AG345" s="131"/>
      <c r="AH345" s="131"/>
      <c r="AI345" s="130"/>
      <c r="AJ345" s="130"/>
      <c r="AK345" s="131"/>
      <c r="AL345" s="133"/>
      <c r="AM345" s="195"/>
    </row>
    <row r="346" spans="8:39" s="112" customFormat="1">
      <c r="H346" s="309"/>
      <c r="J346" s="509"/>
      <c r="L346" s="116"/>
      <c r="N346" s="116"/>
      <c r="O346" s="116"/>
      <c r="P346" s="116"/>
      <c r="Q346" s="116"/>
      <c r="R346" s="116"/>
      <c r="S346" s="116"/>
      <c r="T346" s="116"/>
      <c r="U346" s="116"/>
      <c r="V346" s="116"/>
      <c r="W346" s="116"/>
      <c r="X346" s="116"/>
      <c r="Y346" s="116"/>
      <c r="Z346" s="116"/>
      <c r="AA346" s="116"/>
      <c r="AC346" s="129"/>
      <c r="AD346" s="130"/>
      <c r="AE346" s="131"/>
      <c r="AF346" s="132"/>
      <c r="AG346" s="131"/>
      <c r="AH346" s="131"/>
      <c r="AI346" s="130"/>
      <c r="AJ346" s="130"/>
      <c r="AK346" s="131"/>
      <c r="AL346" s="133"/>
      <c r="AM346" s="195"/>
    </row>
    <row r="347" spans="8:39" s="112" customFormat="1">
      <c r="H347" s="309"/>
      <c r="J347" s="509"/>
      <c r="L347" s="116"/>
      <c r="N347" s="116"/>
      <c r="O347" s="116"/>
      <c r="P347" s="116"/>
      <c r="Q347" s="116"/>
      <c r="R347" s="116"/>
      <c r="S347" s="116"/>
      <c r="T347" s="116"/>
      <c r="U347" s="116"/>
      <c r="V347" s="116"/>
      <c r="W347" s="116"/>
      <c r="X347" s="116"/>
      <c r="Y347" s="116"/>
      <c r="Z347" s="116"/>
      <c r="AA347" s="116"/>
      <c r="AC347" s="129"/>
      <c r="AD347" s="130"/>
      <c r="AE347" s="131"/>
      <c r="AF347" s="132"/>
      <c r="AG347" s="131"/>
      <c r="AH347" s="131"/>
      <c r="AI347" s="130"/>
      <c r="AJ347" s="130"/>
      <c r="AK347" s="131"/>
      <c r="AL347" s="133"/>
      <c r="AM347" s="195"/>
    </row>
    <row r="348" spans="8:39" s="112" customFormat="1">
      <c r="H348" s="309"/>
      <c r="J348" s="509"/>
      <c r="L348" s="116"/>
      <c r="N348" s="116"/>
      <c r="O348" s="116"/>
      <c r="P348" s="116"/>
      <c r="Q348" s="116"/>
      <c r="R348" s="116"/>
      <c r="S348" s="116"/>
      <c r="T348" s="116"/>
      <c r="U348" s="116"/>
      <c r="V348" s="116"/>
      <c r="W348" s="116"/>
      <c r="X348" s="116"/>
      <c r="Y348" s="116"/>
      <c r="Z348" s="116"/>
      <c r="AA348" s="116"/>
      <c r="AC348" s="129"/>
      <c r="AD348" s="130"/>
      <c r="AE348" s="131"/>
      <c r="AF348" s="132"/>
      <c r="AG348" s="131"/>
      <c r="AH348" s="131"/>
      <c r="AI348" s="130"/>
      <c r="AJ348" s="130"/>
      <c r="AK348" s="131"/>
      <c r="AL348" s="133"/>
      <c r="AM348" s="195"/>
    </row>
    <row r="349" spans="8:39" s="112" customFormat="1">
      <c r="H349" s="309"/>
      <c r="J349" s="509"/>
      <c r="L349" s="116"/>
      <c r="N349" s="116"/>
      <c r="O349" s="116"/>
      <c r="P349" s="116"/>
      <c r="Q349" s="116"/>
      <c r="R349" s="116"/>
      <c r="S349" s="116"/>
      <c r="T349" s="116"/>
      <c r="U349" s="116"/>
      <c r="V349" s="116"/>
      <c r="W349" s="116"/>
      <c r="X349" s="116"/>
      <c r="Y349" s="116"/>
      <c r="Z349" s="116"/>
      <c r="AA349" s="116"/>
      <c r="AC349" s="129"/>
      <c r="AD349" s="130"/>
      <c r="AE349" s="131"/>
      <c r="AF349" s="132"/>
      <c r="AG349" s="131"/>
      <c r="AH349" s="131"/>
      <c r="AI349" s="130"/>
      <c r="AJ349" s="130"/>
      <c r="AK349" s="131"/>
      <c r="AL349" s="133"/>
      <c r="AM349" s="195"/>
    </row>
    <row r="350" spans="8:39" s="112" customFormat="1">
      <c r="H350" s="309"/>
      <c r="J350" s="509"/>
      <c r="L350" s="116"/>
      <c r="N350" s="116"/>
      <c r="O350" s="116"/>
      <c r="P350" s="116"/>
      <c r="Q350" s="116"/>
      <c r="R350" s="116"/>
      <c r="S350" s="116"/>
      <c r="T350" s="116"/>
      <c r="U350" s="116"/>
      <c r="V350" s="116"/>
      <c r="W350" s="116"/>
      <c r="X350" s="116"/>
      <c r="Y350" s="116"/>
      <c r="Z350" s="116"/>
      <c r="AA350" s="116"/>
      <c r="AC350" s="129"/>
      <c r="AD350" s="130"/>
      <c r="AE350" s="131"/>
      <c r="AF350" s="132"/>
      <c r="AG350" s="131"/>
      <c r="AH350" s="131"/>
      <c r="AI350" s="130"/>
      <c r="AJ350" s="130"/>
      <c r="AK350" s="131"/>
      <c r="AL350" s="133"/>
      <c r="AM350" s="195"/>
    </row>
    <row r="351" spans="8:39" s="112" customFormat="1">
      <c r="H351" s="309"/>
      <c r="J351" s="509"/>
      <c r="L351" s="116"/>
      <c r="N351" s="116"/>
      <c r="O351" s="116"/>
      <c r="P351" s="116"/>
      <c r="Q351" s="116"/>
      <c r="R351" s="116"/>
      <c r="S351" s="116"/>
      <c r="T351" s="116"/>
      <c r="U351" s="116"/>
      <c r="V351" s="116"/>
      <c r="W351" s="116"/>
      <c r="X351" s="116"/>
      <c r="Y351" s="116"/>
      <c r="Z351" s="116"/>
      <c r="AA351" s="116"/>
      <c r="AC351" s="129"/>
      <c r="AD351" s="130"/>
      <c r="AE351" s="131"/>
      <c r="AF351" s="132"/>
      <c r="AG351" s="131"/>
      <c r="AH351" s="131"/>
      <c r="AI351" s="130"/>
      <c r="AJ351" s="130"/>
      <c r="AK351" s="131"/>
      <c r="AL351" s="133"/>
      <c r="AM351" s="195"/>
    </row>
    <row r="352" spans="8:39" s="112" customFormat="1">
      <c r="H352" s="309"/>
      <c r="J352" s="509"/>
      <c r="L352" s="116"/>
      <c r="N352" s="116"/>
      <c r="O352" s="116"/>
      <c r="P352" s="116"/>
      <c r="Q352" s="116"/>
      <c r="R352" s="116"/>
      <c r="S352" s="116"/>
      <c r="T352" s="116"/>
      <c r="U352" s="116"/>
      <c r="V352" s="116"/>
      <c r="W352" s="116"/>
      <c r="X352" s="116"/>
      <c r="Y352" s="116"/>
      <c r="Z352" s="116"/>
      <c r="AA352" s="116"/>
      <c r="AC352" s="129"/>
      <c r="AD352" s="130"/>
      <c r="AE352" s="131"/>
      <c r="AF352" s="132"/>
      <c r="AG352" s="131"/>
      <c r="AH352" s="131"/>
      <c r="AI352" s="130"/>
      <c r="AJ352" s="130"/>
      <c r="AK352" s="131"/>
      <c r="AL352" s="133"/>
      <c r="AM352" s="195"/>
    </row>
    <row r="353" spans="8:39" s="112" customFormat="1">
      <c r="H353" s="309"/>
      <c r="J353" s="509"/>
      <c r="L353" s="116"/>
      <c r="N353" s="116"/>
      <c r="O353" s="116"/>
      <c r="P353" s="116"/>
      <c r="Q353" s="116"/>
      <c r="R353" s="116"/>
      <c r="S353" s="116"/>
      <c r="T353" s="116"/>
      <c r="U353" s="116"/>
      <c r="V353" s="116"/>
      <c r="W353" s="116"/>
      <c r="X353" s="116"/>
      <c r="Y353" s="116"/>
      <c r="Z353" s="116"/>
      <c r="AA353" s="116"/>
      <c r="AC353" s="129"/>
      <c r="AD353" s="130"/>
      <c r="AE353" s="131"/>
      <c r="AF353" s="132"/>
      <c r="AG353" s="131"/>
      <c r="AH353" s="131"/>
      <c r="AI353" s="130"/>
      <c r="AJ353" s="130"/>
      <c r="AK353" s="131"/>
      <c r="AL353" s="133"/>
      <c r="AM353" s="195"/>
    </row>
    <row r="354" spans="8:39" s="112" customFormat="1">
      <c r="H354" s="309"/>
      <c r="J354" s="509"/>
      <c r="L354" s="116"/>
      <c r="N354" s="116"/>
      <c r="O354" s="116"/>
      <c r="P354" s="116"/>
      <c r="Q354" s="116"/>
      <c r="R354" s="116"/>
      <c r="S354" s="116"/>
      <c r="T354" s="116"/>
      <c r="U354" s="116"/>
      <c r="V354" s="116"/>
      <c r="W354" s="116"/>
      <c r="X354" s="116"/>
      <c r="Y354" s="116"/>
      <c r="Z354" s="116"/>
      <c r="AA354" s="116"/>
      <c r="AC354" s="129"/>
      <c r="AD354" s="130"/>
      <c r="AE354" s="131"/>
      <c r="AF354" s="132"/>
      <c r="AG354" s="131"/>
      <c r="AH354" s="131"/>
      <c r="AI354" s="130"/>
      <c r="AJ354" s="130"/>
      <c r="AK354" s="131"/>
      <c r="AL354" s="133"/>
      <c r="AM354" s="195"/>
    </row>
    <row r="355" spans="8:39" s="112" customFormat="1">
      <c r="H355" s="309"/>
      <c r="J355" s="509"/>
      <c r="L355" s="116"/>
      <c r="N355" s="116"/>
      <c r="O355" s="116"/>
      <c r="P355" s="116"/>
      <c r="Q355" s="116"/>
      <c r="R355" s="116"/>
      <c r="S355" s="116"/>
      <c r="T355" s="116"/>
      <c r="U355" s="116"/>
      <c r="V355" s="116"/>
      <c r="W355" s="116"/>
      <c r="X355" s="116"/>
      <c r="Y355" s="116"/>
      <c r="Z355" s="116"/>
      <c r="AA355" s="116"/>
      <c r="AC355" s="129"/>
      <c r="AD355" s="130"/>
      <c r="AE355" s="131"/>
      <c r="AF355" s="132"/>
      <c r="AG355" s="131"/>
      <c r="AH355" s="131"/>
      <c r="AI355" s="130"/>
      <c r="AJ355" s="130"/>
      <c r="AK355" s="131"/>
      <c r="AL355" s="133"/>
      <c r="AM355" s="195"/>
    </row>
    <row r="356" spans="8:39" s="112" customFormat="1">
      <c r="H356" s="309"/>
      <c r="J356" s="509"/>
      <c r="L356" s="116"/>
      <c r="N356" s="116"/>
      <c r="O356" s="116"/>
      <c r="P356" s="116"/>
      <c r="Q356" s="116"/>
      <c r="R356" s="116"/>
      <c r="S356" s="116"/>
      <c r="T356" s="116"/>
      <c r="U356" s="116"/>
      <c r="V356" s="116"/>
      <c r="W356" s="116"/>
      <c r="X356" s="116"/>
      <c r="Y356" s="116"/>
      <c r="Z356" s="116"/>
      <c r="AA356" s="116"/>
      <c r="AC356" s="129"/>
      <c r="AD356" s="130"/>
      <c r="AE356" s="131"/>
      <c r="AF356" s="132"/>
      <c r="AG356" s="131"/>
      <c r="AH356" s="131"/>
      <c r="AI356" s="130"/>
      <c r="AJ356" s="130"/>
      <c r="AK356" s="131"/>
      <c r="AL356" s="133"/>
      <c r="AM356" s="195"/>
    </row>
    <row r="357" spans="8:39" s="112" customFormat="1">
      <c r="H357" s="309"/>
      <c r="J357" s="509"/>
      <c r="L357" s="116"/>
      <c r="N357" s="116"/>
      <c r="O357" s="116"/>
      <c r="P357" s="116"/>
      <c r="Q357" s="116"/>
      <c r="R357" s="116"/>
      <c r="S357" s="116"/>
      <c r="T357" s="116"/>
      <c r="U357" s="116"/>
      <c r="V357" s="116"/>
      <c r="W357" s="116"/>
      <c r="X357" s="116"/>
      <c r="Y357" s="116"/>
      <c r="Z357" s="116"/>
      <c r="AA357" s="116"/>
      <c r="AC357" s="129"/>
      <c r="AD357" s="130"/>
      <c r="AE357" s="131"/>
      <c r="AF357" s="132"/>
      <c r="AG357" s="131"/>
      <c r="AH357" s="131"/>
      <c r="AI357" s="130"/>
      <c r="AJ357" s="130"/>
      <c r="AK357" s="131"/>
      <c r="AL357" s="133"/>
      <c r="AM357" s="195"/>
    </row>
    <row r="358" spans="8:39" s="112" customFormat="1">
      <c r="H358" s="309"/>
      <c r="J358" s="509"/>
      <c r="L358" s="116"/>
      <c r="N358" s="116"/>
      <c r="O358" s="116"/>
      <c r="P358" s="116"/>
      <c r="Q358" s="116"/>
      <c r="R358" s="116"/>
      <c r="S358" s="116"/>
      <c r="T358" s="116"/>
      <c r="U358" s="116"/>
      <c r="V358" s="116"/>
      <c r="W358" s="116"/>
      <c r="X358" s="116"/>
      <c r="Y358" s="116"/>
      <c r="Z358" s="116"/>
      <c r="AA358" s="116"/>
      <c r="AC358" s="129"/>
      <c r="AD358" s="130"/>
      <c r="AE358" s="131"/>
      <c r="AF358" s="132"/>
      <c r="AG358" s="131"/>
      <c r="AH358" s="131"/>
      <c r="AI358" s="130"/>
      <c r="AJ358" s="130"/>
      <c r="AK358" s="131"/>
      <c r="AL358" s="133"/>
      <c r="AM358" s="195"/>
    </row>
    <row r="359" spans="8:39" s="112" customFormat="1">
      <c r="H359" s="309"/>
      <c r="J359" s="509"/>
      <c r="L359" s="116"/>
      <c r="N359" s="116"/>
      <c r="O359" s="116"/>
      <c r="P359" s="116"/>
      <c r="Q359" s="116"/>
      <c r="R359" s="116"/>
      <c r="S359" s="116"/>
      <c r="T359" s="116"/>
      <c r="U359" s="116"/>
      <c r="V359" s="116"/>
      <c r="W359" s="116"/>
      <c r="X359" s="116"/>
      <c r="Y359" s="116"/>
      <c r="Z359" s="116"/>
      <c r="AA359" s="116"/>
      <c r="AC359" s="129"/>
      <c r="AD359" s="130"/>
      <c r="AE359" s="131"/>
      <c r="AF359" s="132"/>
      <c r="AG359" s="131"/>
      <c r="AH359" s="131"/>
      <c r="AI359" s="130"/>
      <c r="AJ359" s="130"/>
      <c r="AK359" s="131"/>
      <c r="AL359" s="133"/>
      <c r="AM359" s="195"/>
    </row>
    <row r="360" spans="8:39" s="112" customFormat="1">
      <c r="H360" s="309"/>
      <c r="J360" s="509"/>
      <c r="L360" s="116"/>
      <c r="N360" s="116"/>
      <c r="O360" s="116"/>
      <c r="P360" s="116"/>
      <c r="Q360" s="116"/>
      <c r="R360" s="116"/>
      <c r="S360" s="116"/>
      <c r="T360" s="116"/>
      <c r="U360" s="116"/>
      <c r="V360" s="116"/>
      <c r="W360" s="116"/>
      <c r="X360" s="116"/>
      <c r="Y360" s="116"/>
      <c r="Z360" s="116"/>
      <c r="AA360" s="116"/>
      <c r="AC360" s="129"/>
      <c r="AD360" s="130"/>
      <c r="AE360" s="131"/>
      <c r="AF360" s="132"/>
      <c r="AG360" s="131"/>
      <c r="AH360" s="131"/>
      <c r="AI360" s="130"/>
      <c r="AJ360" s="130"/>
      <c r="AK360" s="131"/>
      <c r="AL360" s="133"/>
      <c r="AM360" s="195"/>
    </row>
    <row r="361" spans="8:39" s="112" customFormat="1">
      <c r="H361" s="309"/>
      <c r="J361" s="509"/>
      <c r="L361" s="116"/>
      <c r="N361" s="116"/>
      <c r="O361" s="116"/>
      <c r="P361" s="116"/>
      <c r="Q361" s="116"/>
      <c r="R361" s="116"/>
      <c r="S361" s="116"/>
      <c r="T361" s="116"/>
      <c r="U361" s="116"/>
      <c r="V361" s="116"/>
      <c r="W361" s="116"/>
      <c r="X361" s="116"/>
      <c r="Y361" s="116"/>
      <c r="Z361" s="116"/>
      <c r="AA361" s="116"/>
      <c r="AC361" s="129"/>
      <c r="AD361" s="130"/>
      <c r="AE361" s="131"/>
      <c r="AF361" s="132"/>
      <c r="AG361" s="131"/>
      <c r="AH361" s="131"/>
      <c r="AI361" s="130"/>
      <c r="AJ361" s="130"/>
      <c r="AK361" s="131"/>
      <c r="AL361" s="133"/>
      <c r="AM361" s="195"/>
    </row>
    <row r="362" spans="8:39" s="112" customFormat="1">
      <c r="H362" s="309"/>
      <c r="J362" s="509"/>
      <c r="L362" s="116"/>
      <c r="N362" s="116"/>
      <c r="O362" s="116"/>
      <c r="P362" s="116"/>
      <c r="Q362" s="116"/>
      <c r="R362" s="116"/>
      <c r="S362" s="116"/>
      <c r="T362" s="116"/>
      <c r="U362" s="116"/>
      <c r="V362" s="116"/>
      <c r="W362" s="116"/>
      <c r="X362" s="116"/>
      <c r="Y362" s="116"/>
      <c r="Z362" s="116"/>
      <c r="AA362" s="116"/>
      <c r="AC362" s="129"/>
      <c r="AD362" s="130"/>
      <c r="AE362" s="131"/>
      <c r="AF362" s="132"/>
      <c r="AG362" s="131"/>
      <c r="AH362" s="131"/>
      <c r="AI362" s="130"/>
      <c r="AJ362" s="130"/>
      <c r="AK362" s="131"/>
      <c r="AL362" s="133"/>
      <c r="AM362" s="195"/>
    </row>
    <row r="363" spans="8:39" s="112" customFormat="1">
      <c r="H363" s="309"/>
      <c r="J363" s="509"/>
      <c r="L363" s="116"/>
      <c r="N363" s="116"/>
      <c r="O363" s="116"/>
      <c r="P363" s="116"/>
      <c r="Q363" s="116"/>
      <c r="R363" s="116"/>
      <c r="S363" s="116"/>
      <c r="T363" s="116"/>
      <c r="U363" s="116"/>
      <c r="V363" s="116"/>
      <c r="W363" s="116"/>
      <c r="X363" s="116"/>
      <c r="Y363" s="116"/>
      <c r="Z363" s="116"/>
      <c r="AA363" s="116"/>
      <c r="AC363" s="129"/>
      <c r="AD363" s="130"/>
      <c r="AE363" s="131"/>
      <c r="AF363" s="132"/>
      <c r="AG363" s="131"/>
      <c r="AH363" s="131"/>
      <c r="AI363" s="130"/>
      <c r="AJ363" s="130"/>
      <c r="AK363" s="131"/>
      <c r="AL363" s="133"/>
      <c r="AM363" s="195"/>
    </row>
    <row r="364" spans="8:39" s="112" customFormat="1">
      <c r="H364" s="309"/>
      <c r="J364" s="509"/>
      <c r="L364" s="116"/>
      <c r="N364" s="116"/>
      <c r="O364" s="116"/>
      <c r="P364" s="116"/>
      <c r="Q364" s="116"/>
      <c r="R364" s="116"/>
      <c r="S364" s="116"/>
      <c r="T364" s="116"/>
      <c r="U364" s="116"/>
      <c r="V364" s="116"/>
      <c r="W364" s="116"/>
      <c r="X364" s="116"/>
      <c r="Y364" s="116"/>
      <c r="Z364" s="116"/>
      <c r="AA364" s="116"/>
      <c r="AC364" s="129"/>
      <c r="AD364" s="130"/>
      <c r="AE364" s="131"/>
      <c r="AF364" s="132"/>
      <c r="AG364" s="131"/>
      <c r="AH364" s="131"/>
      <c r="AI364" s="130"/>
      <c r="AJ364" s="130"/>
      <c r="AK364" s="131"/>
      <c r="AL364" s="133"/>
      <c r="AM364" s="195"/>
    </row>
    <row r="365" spans="8:39" s="112" customFormat="1">
      <c r="H365" s="309"/>
      <c r="J365" s="509"/>
      <c r="L365" s="116"/>
      <c r="N365" s="116"/>
      <c r="O365" s="116"/>
      <c r="P365" s="116"/>
      <c r="Q365" s="116"/>
      <c r="R365" s="116"/>
      <c r="S365" s="116"/>
      <c r="T365" s="116"/>
      <c r="U365" s="116"/>
      <c r="V365" s="116"/>
      <c r="W365" s="116"/>
      <c r="X365" s="116"/>
      <c r="Y365" s="116"/>
      <c r="Z365" s="116"/>
      <c r="AA365" s="116"/>
      <c r="AC365" s="129"/>
      <c r="AD365" s="130"/>
      <c r="AE365" s="131"/>
      <c r="AF365" s="132"/>
      <c r="AG365" s="131"/>
      <c r="AH365" s="131"/>
      <c r="AI365" s="130"/>
      <c r="AJ365" s="130"/>
      <c r="AK365" s="131"/>
      <c r="AL365" s="133"/>
      <c r="AM365" s="195"/>
    </row>
    <row r="366" spans="8:39" s="112" customFormat="1">
      <c r="H366" s="309"/>
      <c r="J366" s="509"/>
      <c r="L366" s="116"/>
      <c r="N366" s="116"/>
      <c r="O366" s="116"/>
      <c r="P366" s="116"/>
      <c r="Q366" s="116"/>
      <c r="R366" s="116"/>
      <c r="S366" s="116"/>
      <c r="T366" s="116"/>
      <c r="U366" s="116"/>
      <c r="V366" s="116"/>
      <c r="W366" s="116"/>
      <c r="X366" s="116"/>
      <c r="Y366" s="116"/>
      <c r="Z366" s="116"/>
      <c r="AA366" s="116"/>
      <c r="AC366" s="129"/>
      <c r="AD366" s="130"/>
      <c r="AE366" s="131"/>
      <c r="AF366" s="132"/>
      <c r="AG366" s="131"/>
      <c r="AH366" s="131"/>
      <c r="AI366" s="130"/>
      <c r="AJ366" s="130"/>
      <c r="AK366" s="131"/>
      <c r="AL366" s="133"/>
      <c r="AM366" s="195"/>
    </row>
    <row r="367" spans="8:39" s="112" customFormat="1">
      <c r="H367" s="309"/>
      <c r="J367" s="509"/>
      <c r="L367" s="116"/>
      <c r="N367" s="116"/>
      <c r="O367" s="116"/>
      <c r="P367" s="116"/>
      <c r="Q367" s="116"/>
      <c r="R367" s="116"/>
      <c r="S367" s="116"/>
      <c r="T367" s="116"/>
      <c r="U367" s="116"/>
      <c r="V367" s="116"/>
      <c r="W367" s="116"/>
      <c r="X367" s="116"/>
      <c r="Y367" s="116"/>
      <c r="Z367" s="116"/>
      <c r="AA367" s="116"/>
      <c r="AC367" s="129"/>
      <c r="AD367" s="130"/>
      <c r="AE367" s="131"/>
      <c r="AF367" s="132"/>
      <c r="AG367" s="131"/>
      <c r="AH367" s="131"/>
      <c r="AI367" s="130"/>
      <c r="AJ367" s="130"/>
      <c r="AK367" s="131"/>
      <c r="AL367" s="133"/>
      <c r="AM367" s="195"/>
    </row>
    <row r="368" spans="8:39" s="112" customFormat="1">
      <c r="H368" s="309"/>
      <c r="J368" s="509"/>
      <c r="L368" s="116"/>
      <c r="N368" s="116"/>
      <c r="O368" s="116"/>
      <c r="P368" s="116"/>
      <c r="Q368" s="116"/>
      <c r="R368" s="116"/>
      <c r="S368" s="116"/>
      <c r="T368" s="116"/>
      <c r="U368" s="116"/>
      <c r="V368" s="116"/>
      <c r="W368" s="116"/>
      <c r="X368" s="116"/>
      <c r="Y368" s="116"/>
      <c r="Z368" s="116"/>
      <c r="AA368" s="116"/>
      <c r="AC368" s="129"/>
      <c r="AD368" s="130"/>
      <c r="AE368" s="131"/>
      <c r="AF368" s="132"/>
      <c r="AG368" s="131"/>
      <c r="AH368" s="131"/>
      <c r="AI368" s="130"/>
      <c r="AJ368" s="130"/>
      <c r="AK368" s="131"/>
      <c r="AL368" s="133"/>
      <c r="AM368" s="195"/>
    </row>
    <row r="369" spans="8:39" s="112" customFormat="1">
      <c r="H369" s="309"/>
      <c r="J369" s="509"/>
      <c r="L369" s="116"/>
      <c r="N369" s="116"/>
      <c r="O369" s="116"/>
      <c r="P369" s="116"/>
      <c r="Q369" s="116"/>
      <c r="R369" s="116"/>
      <c r="S369" s="116"/>
      <c r="T369" s="116"/>
      <c r="U369" s="116"/>
      <c r="V369" s="116"/>
      <c r="W369" s="116"/>
      <c r="X369" s="116"/>
      <c r="Y369" s="116"/>
      <c r="Z369" s="116"/>
      <c r="AA369" s="116"/>
      <c r="AC369" s="129"/>
      <c r="AD369" s="130"/>
      <c r="AE369" s="131"/>
      <c r="AF369" s="132"/>
      <c r="AG369" s="131"/>
      <c r="AH369" s="131"/>
      <c r="AI369" s="130"/>
      <c r="AJ369" s="130"/>
      <c r="AK369" s="131"/>
      <c r="AL369" s="133"/>
      <c r="AM369" s="195"/>
    </row>
    <row r="370" spans="8:39" s="112" customFormat="1">
      <c r="H370" s="309"/>
      <c r="J370" s="509"/>
      <c r="L370" s="116"/>
      <c r="N370" s="116"/>
      <c r="O370" s="116"/>
      <c r="P370" s="116"/>
      <c r="Q370" s="116"/>
      <c r="R370" s="116"/>
      <c r="S370" s="116"/>
      <c r="T370" s="116"/>
      <c r="U370" s="116"/>
      <c r="V370" s="116"/>
      <c r="W370" s="116"/>
      <c r="X370" s="116"/>
      <c r="Y370" s="116"/>
      <c r="Z370" s="116"/>
      <c r="AA370" s="116"/>
      <c r="AC370" s="129"/>
      <c r="AD370" s="130"/>
      <c r="AE370" s="131"/>
      <c r="AF370" s="132"/>
      <c r="AG370" s="131"/>
      <c r="AH370" s="131"/>
      <c r="AI370" s="130"/>
      <c r="AJ370" s="130"/>
      <c r="AK370" s="131"/>
      <c r="AL370" s="133"/>
      <c r="AM370" s="195"/>
    </row>
    <row r="371" spans="8:39" s="112" customFormat="1">
      <c r="H371" s="309"/>
      <c r="J371" s="509"/>
      <c r="L371" s="116"/>
      <c r="N371" s="116"/>
      <c r="O371" s="116"/>
      <c r="P371" s="116"/>
      <c r="Q371" s="116"/>
      <c r="R371" s="116"/>
      <c r="S371" s="116"/>
      <c r="T371" s="116"/>
      <c r="U371" s="116"/>
      <c r="V371" s="116"/>
      <c r="W371" s="116"/>
      <c r="X371" s="116"/>
      <c r="Y371" s="116"/>
      <c r="Z371" s="116"/>
      <c r="AA371" s="116"/>
      <c r="AC371" s="129"/>
      <c r="AD371" s="130"/>
      <c r="AE371" s="131"/>
      <c r="AF371" s="132"/>
      <c r="AG371" s="131"/>
      <c r="AH371" s="131"/>
      <c r="AI371" s="130"/>
      <c r="AJ371" s="130"/>
      <c r="AK371" s="131"/>
      <c r="AL371" s="133"/>
      <c r="AM371" s="195"/>
    </row>
    <row r="372" spans="8:39" s="112" customFormat="1">
      <c r="H372" s="309"/>
      <c r="J372" s="509"/>
      <c r="L372" s="116"/>
      <c r="N372" s="116"/>
      <c r="O372" s="116"/>
      <c r="P372" s="116"/>
      <c r="Q372" s="116"/>
      <c r="R372" s="116"/>
      <c r="S372" s="116"/>
      <c r="T372" s="116"/>
      <c r="U372" s="116"/>
      <c r="V372" s="116"/>
      <c r="W372" s="116"/>
      <c r="X372" s="116"/>
      <c r="Y372" s="116"/>
      <c r="Z372" s="116"/>
      <c r="AA372" s="116"/>
      <c r="AC372" s="129"/>
      <c r="AD372" s="130"/>
      <c r="AE372" s="131"/>
      <c r="AF372" s="132"/>
      <c r="AG372" s="131"/>
      <c r="AH372" s="131"/>
      <c r="AI372" s="130"/>
      <c r="AJ372" s="130"/>
      <c r="AK372" s="131"/>
      <c r="AL372" s="133"/>
      <c r="AM372" s="195"/>
    </row>
    <row r="373" spans="8:39" s="112" customFormat="1">
      <c r="H373" s="309"/>
      <c r="J373" s="509"/>
      <c r="L373" s="116"/>
      <c r="N373" s="116"/>
      <c r="O373" s="116"/>
      <c r="P373" s="116"/>
      <c r="Q373" s="116"/>
      <c r="R373" s="116"/>
      <c r="S373" s="116"/>
      <c r="T373" s="116"/>
      <c r="U373" s="116"/>
      <c r="V373" s="116"/>
      <c r="W373" s="116"/>
      <c r="X373" s="116"/>
      <c r="Y373" s="116"/>
      <c r="Z373" s="116"/>
      <c r="AA373" s="116"/>
      <c r="AC373" s="129"/>
      <c r="AD373" s="130"/>
      <c r="AE373" s="131"/>
      <c r="AF373" s="132"/>
      <c r="AG373" s="131"/>
      <c r="AH373" s="131"/>
      <c r="AI373" s="130"/>
      <c r="AJ373" s="130"/>
      <c r="AK373" s="131"/>
      <c r="AL373" s="133"/>
      <c r="AM373" s="195"/>
    </row>
    <row r="374" spans="8:39" s="112" customFormat="1">
      <c r="H374" s="309"/>
      <c r="J374" s="509"/>
      <c r="L374" s="116"/>
      <c r="N374" s="116"/>
      <c r="O374" s="116"/>
      <c r="P374" s="116"/>
      <c r="Q374" s="116"/>
      <c r="R374" s="116"/>
      <c r="S374" s="116"/>
      <c r="T374" s="116"/>
      <c r="U374" s="116"/>
      <c r="V374" s="116"/>
      <c r="W374" s="116"/>
      <c r="X374" s="116"/>
      <c r="Y374" s="116"/>
      <c r="Z374" s="116"/>
      <c r="AA374" s="116"/>
      <c r="AC374" s="129"/>
      <c r="AD374" s="130"/>
      <c r="AE374" s="131"/>
      <c r="AF374" s="132"/>
      <c r="AG374" s="131"/>
      <c r="AH374" s="131"/>
      <c r="AI374" s="130"/>
      <c r="AJ374" s="130"/>
      <c r="AK374" s="131"/>
      <c r="AL374" s="133"/>
      <c r="AM374" s="195"/>
    </row>
    <row r="375" spans="8:39" s="112" customFormat="1">
      <c r="H375" s="309"/>
      <c r="J375" s="509"/>
      <c r="L375" s="116"/>
      <c r="N375" s="116"/>
      <c r="O375" s="116"/>
      <c r="P375" s="116"/>
      <c r="Q375" s="116"/>
      <c r="R375" s="116"/>
      <c r="S375" s="116"/>
      <c r="T375" s="116"/>
      <c r="U375" s="116"/>
      <c r="V375" s="116"/>
      <c r="W375" s="116"/>
      <c r="X375" s="116"/>
      <c r="Y375" s="116"/>
      <c r="Z375" s="116"/>
      <c r="AA375" s="116"/>
      <c r="AC375" s="129"/>
      <c r="AD375" s="130"/>
      <c r="AE375" s="131"/>
      <c r="AF375" s="132"/>
      <c r="AG375" s="131"/>
      <c r="AH375" s="131"/>
      <c r="AI375" s="130"/>
      <c r="AJ375" s="130"/>
      <c r="AK375" s="131"/>
      <c r="AL375" s="133"/>
      <c r="AM375" s="195"/>
    </row>
    <row r="376" spans="8:39" s="112" customFormat="1">
      <c r="H376" s="309"/>
      <c r="J376" s="509"/>
      <c r="L376" s="116"/>
      <c r="N376" s="116"/>
      <c r="O376" s="116"/>
      <c r="P376" s="116"/>
      <c r="Q376" s="116"/>
      <c r="R376" s="116"/>
      <c r="S376" s="116"/>
      <c r="T376" s="116"/>
      <c r="U376" s="116"/>
      <c r="V376" s="116"/>
      <c r="W376" s="116"/>
      <c r="X376" s="116"/>
      <c r="Y376" s="116"/>
      <c r="Z376" s="116"/>
      <c r="AA376" s="116"/>
      <c r="AC376" s="129"/>
      <c r="AD376" s="130"/>
      <c r="AE376" s="131"/>
      <c r="AF376" s="132"/>
      <c r="AG376" s="131"/>
      <c r="AH376" s="131"/>
      <c r="AI376" s="130"/>
      <c r="AJ376" s="130"/>
      <c r="AK376" s="131"/>
      <c r="AL376" s="133"/>
      <c r="AM376" s="195"/>
    </row>
    <row r="377" spans="8:39" s="112" customFormat="1">
      <c r="H377" s="309"/>
      <c r="J377" s="509"/>
      <c r="L377" s="116"/>
      <c r="N377" s="116"/>
      <c r="O377" s="116"/>
      <c r="P377" s="116"/>
      <c r="Q377" s="116"/>
      <c r="R377" s="116"/>
      <c r="S377" s="116"/>
      <c r="T377" s="116"/>
      <c r="U377" s="116"/>
      <c r="V377" s="116"/>
      <c r="W377" s="116"/>
      <c r="X377" s="116"/>
      <c r="Y377" s="116"/>
      <c r="Z377" s="116"/>
      <c r="AA377" s="116"/>
      <c r="AC377" s="129"/>
      <c r="AD377" s="130"/>
      <c r="AE377" s="131"/>
      <c r="AF377" s="132"/>
      <c r="AG377" s="131"/>
      <c r="AH377" s="131"/>
      <c r="AI377" s="130"/>
      <c r="AJ377" s="130"/>
      <c r="AK377" s="131"/>
      <c r="AL377" s="133"/>
      <c r="AM377" s="195"/>
    </row>
    <row r="378" spans="8:39" s="112" customFormat="1">
      <c r="H378" s="309"/>
      <c r="J378" s="509"/>
      <c r="L378" s="116"/>
      <c r="N378" s="116"/>
      <c r="O378" s="116"/>
      <c r="P378" s="116"/>
      <c r="Q378" s="116"/>
      <c r="R378" s="116"/>
      <c r="S378" s="116"/>
      <c r="T378" s="116"/>
      <c r="U378" s="116"/>
      <c r="V378" s="116"/>
      <c r="W378" s="116"/>
      <c r="X378" s="116"/>
      <c r="Y378" s="116"/>
      <c r="Z378" s="116"/>
      <c r="AA378" s="116"/>
      <c r="AC378" s="129"/>
      <c r="AD378" s="130"/>
      <c r="AE378" s="131"/>
      <c r="AF378" s="132"/>
      <c r="AG378" s="131"/>
      <c r="AH378" s="131"/>
      <c r="AI378" s="130"/>
      <c r="AJ378" s="130"/>
      <c r="AK378" s="131"/>
      <c r="AL378" s="133"/>
      <c r="AM378" s="195"/>
    </row>
    <row r="379" spans="8:39" s="112" customFormat="1">
      <c r="H379" s="309"/>
      <c r="J379" s="509"/>
      <c r="L379" s="116"/>
      <c r="N379" s="116"/>
      <c r="O379" s="116"/>
      <c r="P379" s="116"/>
      <c r="Q379" s="116"/>
      <c r="R379" s="116"/>
      <c r="S379" s="116"/>
      <c r="T379" s="116"/>
      <c r="U379" s="116"/>
      <c r="V379" s="116"/>
      <c r="W379" s="116"/>
      <c r="X379" s="116"/>
      <c r="Y379" s="116"/>
      <c r="Z379" s="116"/>
      <c r="AA379" s="116"/>
      <c r="AC379" s="129"/>
      <c r="AD379" s="130"/>
      <c r="AE379" s="131"/>
      <c r="AF379" s="132"/>
      <c r="AG379" s="131"/>
      <c r="AH379" s="131"/>
      <c r="AI379" s="130"/>
      <c r="AJ379" s="130"/>
      <c r="AK379" s="131"/>
      <c r="AL379" s="133"/>
      <c r="AM379" s="195"/>
    </row>
    <row r="380" spans="8:39" s="112" customFormat="1">
      <c r="H380" s="309"/>
      <c r="J380" s="509"/>
      <c r="L380" s="116"/>
      <c r="N380" s="116"/>
      <c r="O380" s="116"/>
      <c r="P380" s="116"/>
      <c r="Q380" s="116"/>
      <c r="R380" s="116"/>
      <c r="S380" s="116"/>
      <c r="T380" s="116"/>
      <c r="U380" s="116"/>
      <c r="V380" s="116"/>
      <c r="W380" s="116"/>
      <c r="X380" s="116"/>
      <c r="Y380" s="116"/>
      <c r="Z380" s="116"/>
      <c r="AA380" s="116"/>
      <c r="AC380" s="129"/>
      <c r="AD380" s="130"/>
      <c r="AE380" s="131"/>
      <c r="AF380" s="132"/>
      <c r="AG380" s="131"/>
      <c r="AH380" s="131"/>
      <c r="AI380" s="130"/>
      <c r="AJ380" s="130"/>
      <c r="AK380" s="131"/>
      <c r="AL380" s="133"/>
      <c r="AM380" s="195"/>
    </row>
    <row r="381" spans="8:39" s="112" customFormat="1">
      <c r="H381" s="309"/>
      <c r="J381" s="509"/>
      <c r="L381" s="116"/>
      <c r="N381" s="116"/>
      <c r="O381" s="116"/>
      <c r="P381" s="116"/>
      <c r="Q381" s="116"/>
      <c r="R381" s="116"/>
      <c r="S381" s="116"/>
      <c r="T381" s="116"/>
      <c r="U381" s="116"/>
      <c r="V381" s="116"/>
      <c r="W381" s="116"/>
      <c r="X381" s="116"/>
      <c r="Y381" s="116"/>
      <c r="Z381" s="116"/>
      <c r="AA381" s="116"/>
      <c r="AC381" s="129"/>
      <c r="AD381" s="130"/>
      <c r="AE381" s="131"/>
      <c r="AF381" s="132"/>
      <c r="AG381" s="131"/>
      <c r="AH381" s="131"/>
      <c r="AI381" s="130"/>
      <c r="AJ381" s="130"/>
      <c r="AK381" s="131"/>
      <c r="AL381" s="133"/>
      <c r="AM381" s="195"/>
    </row>
    <row r="382" spans="8:39" s="112" customFormat="1">
      <c r="H382" s="309"/>
      <c r="J382" s="509"/>
      <c r="L382" s="116"/>
      <c r="N382" s="116"/>
      <c r="O382" s="116"/>
      <c r="P382" s="116"/>
      <c r="Q382" s="116"/>
      <c r="R382" s="116"/>
      <c r="S382" s="116"/>
      <c r="T382" s="116"/>
      <c r="U382" s="116"/>
      <c r="V382" s="116"/>
      <c r="W382" s="116"/>
      <c r="X382" s="116"/>
      <c r="Y382" s="116"/>
      <c r="Z382" s="116"/>
      <c r="AA382" s="116"/>
      <c r="AC382" s="129"/>
      <c r="AD382" s="130"/>
      <c r="AE382" s="131"/>
      <c r="AF382" s="132"/>
      <c r="AG382" s="131"/>
      <c r="AH382" s="131"/>
      <c r="AI382" s="130"/>
      <c r="AJ382" s="130"/>
      <c r="AK382" s="131"/>
      <c r="AL382" s="133"/>
      <c r="AM382" s="195"/>
    </row>
    <row r="383" spans="8:39" s="112" customFormat="1">
      <c r="H383" s="309"/>
      <c r="J383" s="509"/>
      <c r="L383" s="116"/>
      <c r="N383" s="116"/>
      <c r="O383" s="116"/>
      <c r="P383" s="116"/>
      <c r="Q383" s="116"/>
      <c r="R383" s="116"/>
      <c r="S383" s="116"/>
      <c r="T383" s="116"/>
      <c r="U383" s="116"/>
      <c r="V383" s="116"/>
      <c r="W383" s="116"/>
      <c r="X383" s="116"/>
      <c r="Y383" s="116"/>
      <c r="Z383" s="116"/>
      <c r="AA383" s="116"/>
      <c r="AC383" s="129"/>
      <c r="AD383" s="130"/>
      <c r="AE383" s="131"/>
      <c r="AF383" s="132"/>
      <c r="AG383" s="131"/>
      <c r="AH383" s="131"/>
      <c r="AI383" s="130"/>
      <c r="AJ383" s="130"/>
      <c r="AK383" s="131"/>
      <c r="AL383" s="133"/>
      <c r="AM383" s="195"/>
    </row>
    <row r="384" spans="8:39" s="112" customFormat="1">
      <c r="H384" s="309"/>
      <c r="J384" s="509"/>
      <c r="L384" s="116"/>
      <c r="N384" s="116"/>
      <c r="O384" s="116"/>
      <c r="P384" s="116"/>
      <c r="Q384" s="116"/>
      <c r="R384" s="116"/>
      <c r="S384" s="116"/>
      <c r="T384" s="116"/>
      <c r="U384" s="116"/>
      <c r="V384" s="116"/>
      <c r="W384" s="116"/>
      <c r="X384" s="116"/>
      <c r="Y384" s="116"/>
      <c r="Z384" s="116"/>
      <c r="AA384" s="116"/>
      <c r="AC384" s="129"/>
      <c r="AD384" s="130"/>
      <c r="AE384" s="131"/>
      <c r="AF384" s="132"/>
      <c r="AG384" s="131"/>
      <c r="AH384" s="131"/>
      <c r="AI384" s="130"/>
      <c r="AJ384" s="130"/>
      <c r="AK384" s="131"/>
      <c r="AL384" s="133"/>
      <c r="AM384" s="195"/>
    </row>
    <row r="385" spans="8:39" s="112" customFormat="1">
      <c r="H385" s="309"/>
      <c r="J385" s="509"/>
      <c r="L385" s="116"/>
      <c r="N385" s="116"/>
      <c r="O385" s="116"/>
      <c r="P385" s="116"/>
      <c r="Q385" s="116"/>
      <c r="R385" s="116"/>
      <c r="S385" s="116"/>
      <c r="T385" s="116"/>
      <c r="U385" s="116"/>
      <c r="V385" s="116"/>
      <c r="W385" s="116"/>
      <c r="X385" s="116"/>
      <c r="Y385" s="116"/>
      <c r="Z385" s="116"/>
      <c r="AA385" s="116"/>
      <c r="AC385" s="129"/>
      <c r="AD385" s="130"/>
      <c r="AE385" s="131"/>
      <c r="AF385" s="132"/>
      <c r="AG385" s="131"/>
      <c r="AH385" s="131"/>
      <c r="AI385" s="130"/>
      <c r="AJ385" s="130"/>
      <c r="AK385" s="131"/>
      <c r="AL385" s="133"/>
      <c r="AM385" s="195"/>
    </row>
    <row r="386" spans="8:39" s="112" customFormat="1">
      <c r="H386" s="309"/>
      <c r="J386" s="509"/>
      <c r="L386" s="116"/>
      <c r="N386" s="116"/>
      <c r="O386" s="116"/>
      <c r="P386" s="116"/>
      <c r="Q386" s="116"/>
      <c r="R386" s="116"/>
      <c r="S386" s="116"/>
      <c r="T386" s="116"/>
      <c r="U386" s="116"/>
      <c r="V386" s="116"/>
      <c r="W386" s="116"/>
      <c r="X386" s="116"/>
      <c r="Y386" s="116"/>
      <c r="Z386" s="116"/>
      <c r="AA386" s="116"/>
      <c r="AC386" s="129"/>
      <c r="AD386" s="130"/>
      <c r="AE386" s="131"/>
      <c r="AF386" s="132"/>
      <c r="AG386" s="131"/>
      <c r="AH386" s="131"/>
      <c r="AI386" s="130"/>
      <c r="AJ386" s="130"/>
      <c r="AK386" s="131"/>
      <c r="AL386" s="133"/>
      <c r="AM386" s="195"/>
    </row>
    <row r="387" spans="8:39" s="112" customFormat="1">
      <c r="H387" s="309"/>
      <c r="J387" s="509"/>
      <c r="L387" s="116"/>
      <c r="N387" s="116"/>
      <c r="O387" s="116"/>
      <c r="P387" s="116"/>
      <c r="Q387" s="116"/>
      <c r="R387" s="116"/>
      <c r="S387" s="116"/>
      <c r="T387" s="116"/>
      <c r="U387" s="116"/>
      <c r="V387" s="116"/>
      <c r="W387" s="116"/>
      <c r="X387" s="116"/>
      <c r="Y387" s="116"/>
      <c r="Z387" s="116"/>
      <c r="AA387" s="116"/>
      <c r="AC387" s="129"/>
      <c r="AD387" s="130"/>
      <c r="AE387" s="131"/>
      <c r="AF387" s="132"/>
      <c r="AG387" s="131"/>
      <c r="AH387" s="131"/>
      <c r="AI387" s="130"/>
      <c r="AJ387" s="130"/>
      <c r="AK387" s="131"/>
      <c r="AL387" s="133"/>
      <c r="AM387" s="195"/>
    </row>
    <row r="388" spans="8:39" s="112" customFormat="1">
      <c r="H388" s="309"/>
      <c r="J388" s="509"/>
      <c r="L388" s="116"/>
      <c r="N388" s="116"/>
      <c r="O388" s="116"/>
      <c r="P388" s="116"/>
      <c r="Q388" s="116"/>
      <c r="R388" s="116"/>
      <c r="S388" s="116"/>
      <c r="T388" s="116"/>
      <c r="U388" s="116"/>
      <c r="V388" s="116"/>
      <c r="W388" s="116"/>
      <c r="X388" s="116"/>
      <c r="Y388" s="116"/>
      <c r="Z388" s="116"/>
      <c r="AA388" s="116"/>
      <c r="AC388" s="129"/>
      <c r="AD388" s="130"/>
      <c r="AE388" s="131"/>
      <c r="AF388" s="132"/>
      <c r="AG388" s="131"/>
      <c r="AH388" s="131"/>
      <c r="AI388" s="130"/>
      <c r="AJ388" s="130"/>
      <c r="AK388" s="131"/>
      <c r="AL388" s="133"/>
      <c r="AM388" s="195"/>
    </row>
    <row r="389" spans="8:39" s="112" customFormat="1">
      <c r="H389" s="309"/>
      <c r="J389" s="509"/>
      <c r="L389" s="116"/>
      <c r="N389" s="116"/>
      <c r="O389" s="116"/>
      <c r="P389" s="116"/>
      <c r="Q389" s="116"/>
      <c r="R389" s="116"/>
      <c r="S389" s="116"/>
      <c r="T389" s="116"/>
      <c r="U389" s="116"/>
      <c r="V389" s="116"/>
      <c r="W389" s="116"/>
      <c r="X389" s="116"/>
      <c r="Y389" s="116"/>
      <c r="Z389" s="116"/>
      <c r="AA389" s="116"/>
      <c r="AC389" s="129"/>
      <c r="AD389" s="130"/>
      <c r="AE389" s="131"/>
      <c r="AF389" s="132"/>
      <c r="AG389" s="131"/>
      <c r="AH389" s="131"/>
      <c r="AI389" s="130"/>
      <c r="AJ389" s="130"/>
      <c r="AK389" s="131"/>
      <c r="AL389" s="133"/>
      <c r="AM389" s="195"/>
    </row>
    <row r="390" spans="8:39" s="112" customFormat="1">
      <c r="H390" s="309"/>
      <c r="J390" s="509"/>
      <c r="L390" s="116"/>
      <c r="N390" s="116"/>
      <c r="O390" s="116"/>
      <c r="P390" s="116"/>
      <c r="Q390" s="116"/>
      <c r="R390" s="116"/>
      <c r="S390" s="116"/>
      <c r="T390" s="116"/>
      <c r="U390" s="116"/>
      <c r="V390" s="116"/>
      <c r="W390" s="116"/>
      <c r="X390" s="116"/>
      <c r="Y390" s="116"/>
      <c r="Z390" s="116"/>
      <c r="AA390" s="116"/>
      <c r="AC390" s="129"/>
      <c r="AD390" s="130"/>
      <c r="AE390" s="131"/>
      <c r="AF390" s="132"/>
      <c r="AG390" s="131"/>
      <c r="AH390" s="131"/>
      <c r="AI390" s="130"/>
      <c r="AJ390" s="130"/>
      <c r="AK390" s="131"/>
      <c r="AL390" s="133"/>
      <c r="AM390" s="195"/>
    </row>
    <row r="391" spans="8:39" s="112" customFormat="1">
      <c r="H391" s="309"/>
      <c r="J391" s="509"/>
      <c r="L391" s="116"/>
      <c r="N391" s="116"/>
      <c r="O391" s="116"/>
      <c r="P391" s="116"/>
      <c r="Q391" s="116"/>
      <c r="R391" s="116"/>
      <c r="S391" s="116"/>
      <c r="T391" s="116"/>
      <c r="U391" s="116"/>
      <c r="V391" s="116"/>
      <c r="W391" s="116"/>
      <c r="X391" s="116"/>
      <c r="Y391" s="116"/>
      <c r="Z391" s="116"/>
      <c r="AA391" s="116"/>
      <c r="AC391" s="129"/>
      <c r="AD391" s="130"/>
      <c r="AE391" s="131"/>
      <c r="AF391" s="132"/>
      <c r="AG391" s="131"/>
      <c r="AH391" s="131"/>
      <c r="AI391" s="130"/>
      <c r="AJ391" s="130"/>
      <c r="AK391" s="131"/>
      <c r="AL391" s="133"/>
      <c r="AM391" s="195"/>
    </row>
    <row r="392" spans="8:39" s="112" customFormat="1">
      <c r="H392" s="309"/>
      <c r="J392" s="509"/>
      <c r="L392" s="116"/>
      <c r="N392" s="116"/>
      <c r="O392" s="116"/>
      <c r="P392" s="116"/>
      <c r="Q392" s="116"/>
      <c r="R392" s="116"/>
      <c r="S392" s="116"/>
      <c r="T392" s="116"/>
      <c r="U392" s="116"/>
      <c r="V392" s="116"/>
      <c r="W392" s="116"/>
      <c r="X392" s="116"/>
      <c r="Y392" s="116"/>
      <c r="Z392" s="116"/>
      <c r="AA392" s="116"/>
      <c r="AC392" s="129"/>
      <c r="AD392" s="130"/>
      <c r="AE392" s="131"/>
      <c r="AF392" s="132"/>
      <c r="AG392" s="131"/>
      <c r="AH392" s="131"/>
      <c r="AI392" s="130"/>
      <c r="AJ392" s="130"/>
      <c r="AK392" s="131"/>
      <c r="AL392" s="133"/>
      <c r="AM392" s="195"/>
    </row>
    <row r="393" spans="8:39" s="112" customFormat="1">
      <c r="H393" s="309"/>
      <c r="J393" s="509"/>
      <c r="L393" s="116"/>
      <c r="N393" s="116"/>
      <c r="O393" s="116"/>
      <c r="P393" s="116"/>
      <c r="Q393" s="116"/>
      <c r="R393" s="116"/>
      <c r="S393" s="116"/>
      <c r="T393" s="116"/>
      <c r="U393" s="116"/>
      <c r="V393" s="116"/>
      <c r="W393" s="116"/>
      <c r="X393" s="116"/>
      <c r="Y393" s="116"/>
      <c r="Z393" s="116"/>
      <c r="AA393" s="116"/>
      <c r="AC393" s="129"/>
      <c r="AD393" s="130"/>
      <c r="AE393" s="131"/>
      <c r="AF393" s="132"/>
      <c r="AG393" s="131"/>
      <c r="AH393" s="131"/>
      <c r="AI393" s="130"/>
      <c r="AJ393" s="130"/>
      <c r="AK393" s="131"/>
      <c r="AL393" s="133"/>
      <c r="AM393" s="195"/>
    </row>
    <row r="394" spans="8:39" s="112" customFormat="1">
      <c r="H394" s="309"/>
      <c r="J394" s="509"/>
      <c r="L394" s="116"/>
      <c r="N394" s="116"/>
      <c r="O394" s="116"/>
      <c r="P394" s="116"/>
      <c r="Q394" s="116"/>
      <c r="R394" s="116"/>
      <c r="S394" s="116"/>
      <c r="T394" s="116"/>
      <c r="U394" s="116"/>
      <c r="V394" s="116"/>
      <c r="W394" s="116"/>
      <c r="X394" s="116"/>
      <c r="Y394" s="116"/>
      <c r="Z394" s="116"/>
      <c r="AA394" s="116"/>
      <c r="AC394" s="129"/>
      <c r="AD394" s="130"/>
      <c r="AE394" s="131"/>
      <c r="AF394" s="132"/>
      <c r="AG394" s="131"/>
      <c r="AH394" s="131"/>
      <c r="AI394" s="130"/>
      <c r="AJ394" s="130"/>
      <c r="AK394" s="131"/>
      <c r="AL394" s="133"/>
      <c r="AM394" s="195"/>
    </row>
    <row r="395" spans="8:39" s="112" customFormat="1">
      <c r="H395" s="309"/>
      <c r="J395" s="509"/>
      <c r="L395" s="116"/>
      <c r="N395" s="116"/>
      <c r="O395" s="116"/>
      <c r="P395" s="116"/>
      <c r="Q395" s="116"/>
      <c r="R395" s="116"/>
      <c r="S395" s="116"/>
      <c r="T395" s="116"/>
      <c r="U395" s="116"/>
      <c r="V395" s="116"/>
      <c r="W395" s="116"/>
      <c r="X395" s="116"/>
      <c r="Y395" s="116"/>
      <c r="Z395" s="116"/>
      <c r="AA395" s="116"/>
      <c r="AC395" s="129"/>
      <c r="AD395" s="130"/>
      <c r="AE395" s="131"/>
      <c r="AF395" s="132"/>
      <c r="AG395" s="131"/>
      <c r="AH395" s="131"/>
      <c r="AI395" s="130"/>
      <c r="AJ395" s="130"/>
      <c r="AK395" s="131"/>
      <c r="AL395" s="133"/>
      <c r="AM395" s="195"/>
    </row>
    <row r="396" spans="8:39" s="112" customFormat="1">
      <c r="H396" s="309"/>
      <c r="J396" s="509"/>
      <c r="L396" s="116"/>
      <c r="N396" s="116"/>
      <c r="O396" s="116"/>
      <c r="P396" s="116"/>
      <c r="Q396" s="116"/>
      <c r="R396" s="116"/>
      <c r="S396" s="116"/>
      <c r="T396" s="116"/>
      <c r="U396" s="116"/>
      <c r="V396" s="116"/>
      <c r="W396" s="116"/>
      <c r="X396" s="116"/>
      <c r="Y396" s="116"/>
      <c r="Z396" s="116"/>
      <c r="AA396" s="116"/>
      <c r="AC396" s="129"/>
      <c r="AD396" s="130"/>
      <c r="AE396" s="131"/>
      <c r="AF396" s="132"/>
      <c r="AG396" s="131"/>
      <c r="AH396" s="131"/>
      <c r="AI396" s="130"/>
      <c r="AJ396" s="130"/>
      <c r="AK396" s="131"/>
      <c r="AL396" s="133"/>
      <c r="AM396" s="195"/>
    </row>
    <row r="397" spans="8:39" s="112" customFormat="1">
      <c r="H397" s="309"/>
      <c r="J397" s="509"/>
      <c r="L397" s="116"/>
      <c r="N397" s="116"/>
      <c r="O397" s="116"/>
      <c r="P397" s="116"/>
      <c r="Q397" s="116"/>
      <c r="R397" s="116"/>
      <c r="S397" s="116"/>
      <c r="T397" s="116"/>
      <c r="U397" s="116"/>
      <c r="V397" s="116"/>
      <c r="W397" s="116"/>
      <c r="X397" s="116"/>
      <c r="Y397" s="116"/>
      <c r="Z397" s="116"/>
      <c r="AA397" s="116"/>
      <c r="AC397" s="129"/>
      <c r="AD397" s="130"/>
      <c r="AE397" s="131"/>
      <c r="AF397" s="132"/>
      <c r="AG397" s="131"/>
      <c r="AH397" s="131"/>
      <c r="AI397" s="130"/>
      <c r="AJ397" s="130"/>
      <c r="AK397" s="131"/>
      <c r="AL397" s="133"/>
      <c r="AM397" s="195"/>
    </row>
    <row r="398" spans="8:39" s="112" customFormat="1">
      <c r="H398" s="309"/>
      <c r="J398" s="509"/>
      <c r="L398" s="116"/>
      <c r="N398" s="116"/>
      <c r="O398" s="116"/>
      <c r="P398" s="116"/>
      <c r="Q398" s="116"/>
      <c r="R398" s="116"/>
      <c r="S398" s="116"/>
      <c r="T398" s="116"/>
      <c r="U398" s="116"/>
      <c r="V398" s="116"/>
      <c r="W398" s="116"/>
      <c r="X398" s="116"/>
      <c r="Y398" s="116"/>
      <c r="Z398" s="116"/>
      <c r="AA398" s="116"/>
      <c r="AC398" s="129"/>
      <c r="AD398" s="130"/>
      <c r="AE398" s="131"/>
      <c r="AF398" s="132"/>
      <c r="AG398" s="131"/>
      <c r="AH398" s="131"/>
      <c r="AI398" s="130"/>
      <c r="AJ398" s="130"/>
      <c r="AK398" s="131"/>
      <c r="AL398" s="133"/>
      <c r="AM398" s="195"/>
    </row>
    <row r="399" spans="8:39" s="112" customFormat="1">
      <c r="H399" s="309"/>
      <c r="J399" s="509"/>
      <c r="L399" s="116"/>
      <c r="N399" s="116"/>
      <c r="O399" s="116"/>
      <c r="P399" s="116"/>
      <c r="Q399" s="116"/>
      <c r="R399" s="116"/>
      <c r="S399" s="116"/>
      <c r="T399" s="116"/>
      <c r="U399" s="116"/>
      <c r="V399" s="116"/>
      <c r="W399" s="116"/>
      <c r="X399" s="116"/>
      <c r="Y399" s="116"/>
      <c r="Z399" s="116"/>
      <c r="AA399" s="116"/>
      <c r="AC399" s="129"/>
      <c r="AD399" s="130"/>
      <c r="AE399" s="131"/>
      <c r="AF399" s="132"/>
      <c r="AG399" s="131"/>
      <c r="AH399" s="131"/>
      <c r="AI399" s="130"/>
      <c r="AJ399" s="130"/>
      <c r="AK399" s="131"/>
      <c r="AL399" s="133"/>
      <c r="AM399" s="195"/>
    </row>
    <row r="400" spans="8:39" s="112" customFormat="1">
      <c r="H400" s="309"/>
      <c r="J400" s="509"/>
      <c r="L400" s="116"/>
      <c r="N400" s="116"/>
      <c r="O400" s="116"/>
      <c r="P400" s="116"/>
      <c r="Q400" s="116"/>
      <c r="R400" s="116"/>
      <c r="S400" s="116"/>
      <c r="T400" s="116"/>
      <c r="U400" s="116"/>
      <c r="V400" s="116"/>
      <c r="W400" s="116"/>
      <c r="X400" s="116"/>
      <c r="Y400" s="116"/>
      <c r="Z400" s="116"/>
      <c r="AA400" s="116"/>
      <c r="AC400" s="129"/>
      <c r="AD400" s="130"/>
      <c r="AE400" s="131"/>
      <c r="AF400" s="132"/>
      <c r="AG400" s="131"/>
      <c r="AH400" s="131"/>
      <c r="AI400" s="130"/>
      <c r="AJ400" s="130"/>
      <c r="AK400" s="131"/>
      <c r="AL400" s="133"/>
      <c r="AM400" s="195"/>
    </row>
    <row r="401" spans="8:39" s="112" customFormat="1">
      <c r="H401" s="309"/>
      <c r="J401" s="509"/>
      <c r="L401" s="116"/>
      <c r="N401" s="116"/>
      <c r="O401" s="116"/>
      <c r="P401" s="116"/>
      <c r="Q401" s="116"/>
      <c r="R401" s="116"/>
      <c r="S401" s="116"/>
      <c r="T401" s="116"/>
      <c r="U401" s="116"/>
      <c r="V401" s="116"/>
      <c r="W401" s="116"/>
      <c r="X401" s="116"/>
      <c r="Y401" s="116"/>
      <c r="Z401" s="116"/>
      <c r="AA401" s="116"/>
      <c r="AC401" s="129"/>
      <c r="AD401" s="130"/>
      <c r="AE401" s="131"/>
      <c r="AF401" s="132"/>
      <c r="AG401" s="131"/>
      <c r="AH401" s="131"/>
      <c r="AI401" s="130"/>
      <c r="AJ401" s="130"/>
      <c r="AK401" s="131"/>
      <c r="AL401" s="133"/>
      <c r="AM401" s="195"/>
    </row>
    <row r="402" spans="8:39" s="112" customFormat="1">
      <c r="H402" s="309"/>
      <c r="J402" s="509"/>
      <c r="L402" s="116"/>
      <c r="N402" s="116"/>
      <c r="O402" s="116"/>
      <c r="P402" s="116"/>
      <c r="Q402" s="116"/>
      <c r="R402" s="116"/>
      <c r="S402" s="116"/>
      <c r="T402" s="116"/>
      <c r="U402" s="116"/>
      <c r="V402" s="116"/>
      <c r="W402" s="116"/>
      <c r="X402" s="116"/>
      <c r="Y402" s="116"/>
      <c r="Z402" s="116"/>
      <c r="AA402" s="116"/>
      <c r="AC402" s="129"/>
      <c r="AD402" s="130"/>
      <c r="AE402" s="131"/>
      <c r="AF402" s="132"/>
      <c r="AG402" s="131"/>
      <c r="AH402" s="131"/>
      <c r="AI402" s="130"/>
      <c r="AJ402" s="130"/>
      <c r="AK402" s="131"/>
      <c r="AL402" s="133"/>
      <c r="AM402" s="195"/>
    </row>
    <row r="403" spans="8:39" s="112" customFormat="1">
      <c r="H403" s="309"/>
      <c r="J403" s="509"/>
      <c r="L403" s="116"/>
      <c r="N403" s="116"/>
      <c r="O403" s="116"/>
      <c r="P403" s="116"/>
      <c r="Q403" s="116"/>
      <c r="R403" s="116"/>
      <c r="S403" s="116"/>
      <c r="T403" s="116"/>
      <c r="U403" s="116"/>
      <c r="V403" s="116"/>
      <c r="W403" s="116"/>
      <c r="X403" s="116"/>
      <c r="Y403" s="116"/>
      <c r="Z403" s="116"/>
      <c r="AA403" s="116"/>
      <c r="AC403" s="129"/>
      <c r="AD403" s="130"/>
      <c r="AE403" s="131"/>
      <c r="AF403" s="132"/>
      <c r="AG403" s="131"/>
      <c r="AH403" s="131"/>
      <c r="AI403" s="130"/>
      <c r="AJ403" s="130"/>
      <c r="AK403" s="131"/>
      <c r="AL403" s="133"/>
      <c r="AM403" s="195"/>
    </row>
    <row r="404" spans="8:39" s="112" customFormat="1">
      <c r="H404" s="309"/>
      <c r="J404" s="509"/>
      <c r="L404" s="116"/>
      <c r="N404" s="116"/>
      <c r="O404" s="116"/>
      <c r="P404" s="116"/>
      <c r="Q404" s="116"/>
      <c r="R404" s="116"/>
      <c r="S404" s="116"/>
      <c r="T404" s="116"/>
      <c r="U404" s="116"/>
      <c r="V404" s="116"/>
      <c r="W404" s="116"/>
      <c r="X404" s="116"/>
      <c r="Y404" s="116"/>
      <c r="Z404" s="116"/>
      <c r="AA404" s="116"/>
      <c r="AC404" s="129"/>
      <c r="AD404" s="130"/>
      <c r="AE404" s="131"/>
      <c r="AF404" s="132"/>
      <c r="AG404" s="131"/>
      <c r="AH404" s="131"/>
      <c r="AI404" s="130"/>
      <c r="AJ404" s="130"/>
      <c r="AK404" s="131"/>
      <c r="AL404" s="133"/>
      <c r="AM404" s="195"/>
    </row>
    <row r="405" spans="8:39" s="112" customFormat="1">
      <c r="H405" s="309"/>
      <c r="J405" s="509"/>
      <c r="L405" s="116"/>
      <c r="N405" s="116"/>
      <c r="O405" s="116"/>
      <c r="P405" s="116"/>
      <c r="Q405" s="116"/>
      <c r="R405" s="116"/>
      <c r="S405" s="116"/>
      <c r="T405" s="116"/>
      <c r="U405" s="116"/>
      <c r="V405" s="116"/>
      <c r="W405" s="116"/>
      <c r="X405" s="116"/>
      <c r="Y405" s="116"/>
      <c r="Z405" s="116"/>
      <c r="AA405" s="116"/>
      <c r="AC405" s="129"/>
      <c r="AD405" s="130"/>
      <c r="AE405" s="131"/>
      <c r="AF405" s="132"/>
      <c r="AG405" s="131"/>
      <c r="AH405" s="131"/>
      <c r="AI405" s="130"/>
      <c r="AJ405" s="130"/>
      <c r="AK405" s="131"/>
      <c r="AL405" s="133"/>
      <c r="AM405" s="195"/>
    </row>
    <row r="406" spans="8:39" s="112" customFormat="1">
      <c r="H406" s="309"/>
      <c r="J406" s="509"/>
      <c r="L406" s="116"/>
      <c r="N406" s="116"/>
      <c r="O406" s="116"/>
      <c r="P406" s="116"/>
      <c r="Q406" s="116"/>
      <c r="R406" s="116"/>
      <c r="S406" s="116"/>
      <c r="T406" s="116"/>
      <c r="U406" s="116"/>
      <c r="V406" s="116"/>
      <c r="W406" s="116"/>
      <c r="X406" s="116"/>
      <c r="Y406" s="116"/>
      <c r="Z406" s="116"/>
      <c r="AA406" s="116"/>
      <c r="AC406" s="129"/>
      <c r="AD406" s="130"/>
      <c r="AE406" s="131"/>
      <c r="AF406" s="132"/>
      <c r="AG406" s="131"/>
      <c r="AH406" s="131"/>
      <c r="AI406" s="130"/>
      <c r="AJ406" s="130"/>
      <c r="AK406" s="131"/>
      <c r="AL406" s="133"/>
      <c r="AM406" s="195"/>
    </row>
    <row r="407" spans="8:39" s="112" customFormat="1">
      <c r="H407" s="309"/>
      <c r="J407" s="509"/>
      <c r="L407" s="116"/>
      <c r="N407" s="116"/>
      <c r="O407" s="116"/>
      <c r="P407" s="116"/>
      <c r="Q407" s="116"/>
      <c r="R407" s="116"/>
      <c r="S407" s="116"/>
      <c r="T407" s="116"/>
      <c r="U407" s="116"/>
      <c r="V407" s="116"/>
      <c r="W407" s="116"/>
      <c r="X407" s="116"/>
      <c r="Y407" s="116"/>
      <c r="Z407" s="116"/>
      <c r="AA407" s="116"/>
      <c r="AC407" s="129"/>
      <c r="AD407" s="130"/>
      <c r="AE407" s="131"/>
      <c r="AF407" s="132"/>
      <c r="AG407" s="131"/>
      <c r="AH407" s="131"/>
      <c r="AI407" s="130"/>
      <c r="AJ407" s="130"/>
      <c r="AK407" s="131"/>
      <c r="AL407" s="133"/>
      <c r="AM407" s="195"/>
    </row>
    <row r="408" spans="8:39" s="112" customFormat="1">
      <c r="H408" s="309"/>
      <c r="J408" s="509"/>
      <c r="L408" s="116"/>
      <c r="N408" s="116"/>
      <c r="O408" s="116"/>
      <c r="P408" s="116"/>
      <c r="Q408" s="116"/>
      <c r="R408" s="116"/>
      <c r="S408" s="116"/>
      <c r="T408" s="116"/>
      <c r="U408" s="116"/>
      <c r="V408" s="116"/>
      <c r="W408" s="116"/>
      <c r="X408" s="116"/>
      <c r="Y408" s="116"/>
      <c r="Z408" s="116"/>
      <c r="AA408" s="116"/>
      <c r="AC408" s="129"/>
      <c r="AD408" s="130"/>
      <c r="AE408" s="131"/>
      <c r="AF408" s="132"/>
      <c r="AG408" s="131"/>
      <c r="AH408" s="131"/>
      <c r="AI408" s="130"/>
      <c r="AJ408" s="130"/>
      <c r="AK408" s="131"/>
      <c r="AL408" s="133"/>
      <c r="AM408" s="195"/>
    </row>
    <row r="409" spans="8:39" s="112" customFormat="1">
      <c r="H409" s="309"/>
      <c r="J409" s="509"/>
      <c r="L409" s="116"/>
      <c r="N409" s="116"/>
      <c r="O409" s="116"/>
      <c r="P409" s="116"/>
      <c r="Q409" s="116"/>
      <c r="R409" s="116"/>
      <c r="S409" s="116"/>
      <c r="T409" s="116"/>
      <c r="U409" s="116"/>
      <c r="V409" s="116"/>
      <c r="W409" s="116"/>
      <c r="X409" s="116"/>
      <c r="Y409" s="116"/>
      <c r="Z409" s="116"/>
      <c r="AA409" s="116"/>
      <c r="AC409" s="129"/>
      <c r="AD409" s="130"/>
      <c r="AE409" s="131"/>
      <c r="AF409" s="132"/>
      <c r="AG409" s="131"/>
      <c r="AH409" s="131"/>
      <c r="AI409" s="130"/>
      <c r="AJ409" s="130"/>
      <c r="AK409" s="131"/>
      <c r="AL409" s="133"/>
      <c r="AM409" s="195"/>
    </row>
    <row r="410" spans="8:39" s="112" customFormat="1">
      <c r="H410" s="309"/>
      <c r="J410" s="509"/>
      <c r="L410" s="116"/>
      <c r="N410" s="116"/>
      <c r="O410" s="116"/>
      <c r="P410" s="116"/>
      <c r="Q410" s="116"/>
      <c r="R410" s="116"/>
      <c r="S410" s="116"/>
      <c r="T410" s="116"/>
      <c r="U410" s="116"/>
      <c r="V410" s="116"/>
      <c r="W410" s="116"/>
      <c r="X410" s="116"/>
      <c r="Y410" s="116"/>
      <c r="Z410" s="116"/>
      <c r="AA410" s="116"/>
      <c r="AC410" s="129"/>
      <c r="AD410" s="130"/>
      <c r="AE410" s="131"/>
      <c r="AF410" s="132"/>
      <c r="AG410" s="131"/>
      <c r="AH410" s="131"/>
      <c r="AI410" s="130"/>
      <c r="AJ410" s="130"/>
      <c r="AK410" s="131"/>
      <c r="AL410" s="133"/>
      <c r="AM410" s="195"/>
    </row>
    <row r="411" spans="8:39" s="112" customFormat="1">
      <c r="H411" s="309"/>
      <c r="J411" s="509"/>
      <c r="L411" s="116"/>
      <c r="N411" s="116"/>
      <c r="O411" s="116"/>
      <c r="P411" s="116"/>
      <c r="Q411" s="116"/>
      <c r="R411" s="116"/>
      <c r="S411" s="116"/>
      <c r="T411" s="116"/>
      <c r="U411" s="116"/>
      <c r="V411" s="116"/>
      <c r="W411" s="116"/>
      <c r="X411" s="116"/>
      <c r="Y411" s="116"/>
      <c r="Z411" s="116"/>
      <c r="AA411" s="116"/>
      <c r="AC411" s="129"/>
      <c r="AD411" s="130"/>
      <c r="AE411" s="131"/>
      <c r="AF411" s="132"/>
      <c r="AG411" s="131"/>
      <c r="AH411" s="131"/>
      <c r="AI411" s="130"/>
      <c r="AJ411" s="130"/>
      <c r="AK411" s="131"/>
      <c r="AL411" s="133"/>
      <c r="AM411" s="195"/>
    </row>
    <row r="412" spans="8:39" s="112" customFormat="1">
      <c r="H412" s="309"/>
      <c r="J412" s="509"/>
      <c r="L412" s="116"/>
      <c r="N412" s="116"/>
      <c r="O412" s="116"/>
      <c r="P412" s="116"/>
      <c r="Q412" s="116"/>
      <c r="R412" s="116"/>
      <c r="S412" s="116"/>
      <c r="T412" s="116"/>
      <c r="U412" s="116"/>
      <c r="V412" s="116"/>
      <c r="W412" s="116"/>
      <c r="X412" s="116"/>
      <c r="Y412" s="116"/>
      <c r="Z412" s="116"/>
      <c r="AA412" s="116"/>
      <c r="AC412" s="129"/>
      <c r="AD412" s="130"/>
      <c r="AE412" s="131"/>
      <c r="AF412" s="132"/>
      <c r="AG412" s="131"/>
      <c r="AH412" s="131"/>
      <c r="AI412" s="130"/>
      <c r="AJ412" s="130"/>
      <c r="AK412" s="131"/>
      <c r="AL412" s="133"/>
      <c r="AM412" s="195"/>
    </row>
  </sheetData>
  <autoFilter ref="A15:AM305"/>
  <mergeCells count="18">
    <mergeCell ref="W1:AA1"/>
    <mergeCell ref="B2:C2"/>
    <mergeCell ref="D2:R2"/>
    <mergeCell ref="S2:V2"/>
    <mergeCell ref="W2:AA2"/>
    <mergeCell ref="S1:V1"/>
    <mergeCell ref="B10:G10"/>
    <mergeCell ref="B11:G11"/>
    <mergeCell ref="A8:G8"/>
    <mergeCell ref="A1:A2"/>
    <mergeCell ref="B1:C1"/>
    <mergeCell ref="D1:R1"/>
    <mergeCell ref="A7:G7"/>
    <mergeCell ref="A3:G3"/>
    <mergeCell ref="A4:G4"/>
    <mergeCell ref="A5:G5"/>
    <mergeCell ref="A6:G6"/>
    <mergeCell ref="B9:D9"/>
  </mergeCells>
  <printOptions horizontalCentered="1" verticalCentered="1"/>
  <pageMargins left="0.39370078740157483" right="0.35433070866141736" top="0" bottom="0" header="0" footer="0"/>
  <pageSetup scale="31" fitToHeight="3"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9"/>
  <sheetViews>
    <sheetView workbookViewId="0">
      <selection activeCell="C16" sqref="C16"/>
    </sheetView>
  </sheetViews>
  <sheetFormatPr baseColWidth="10" defaultRowHeight="12.75"/>
  <cols>
    <col min="1" max="1" width="48" customWidth="1"/>
    <col min="2" max="2" width="22.28515625" customWidth="1"/>
    <col min="3" max="3" width="18.28515625" customWidth="1"/>
    <col min="4" max="4" width="20.85546875" customWidth="1"/>
  </cols>
  <sheetData>
    <row r="2" spans="1:4" ht="26.25" customHeight="1">
      <c r="A2" s="11" t="s">
        <v>38</v>
      </c>
      <c r="B2" s="11" t="s">
        <v>47</v>
      </c>
      <c r="C2" s="11" t="s">
        <v>32</v>
      </c>
    </row>
    <row r="3" spans="1:4" ht="21" customHeight="1">
      <c r="A3" s="8" t="s">
        <v>33</v>
      </c>
      <c r="B3" s="6"/>
      <c r="C3" s="10"/>
    </row>
    <row r="4" spans="1:4" ht="22.5">
      <c r="A4" s="9" t="s">
        <v>35</v>
      </c>
      <c r="B4" s="12" t="s">
        <v>29</v>
      </c>
      <c r="C4" s="10">
        <v>186135262</v>
      </c>
      <c r="D4" s="26"/>
    </row>
    <row r="5" spans="1:4" ht="22.5">
      <c r="A5" s="598" t="s">
        <v>36</v>
      </c>
      <c r="B5" s="12" t="s">
        <v>29</v>
      </c>
      <c r="C5" s="10">
        <v>169392844</v>
      </c>
      <c r="D5" s="26"/>
    </row>
    <row r="6" spans="1:4" ht="22.5">
      <c r="A6" s="599"/>
      <c r="B6" s="12" t="s">
        <v>46</v>
      </c>
      <c r="C6" s="10">
        <v>211065344</v>
      </c>
      <c r="D6" s="26"/>
    </row>
    <row r="7" spans="1:4" ht="22.5">
      <c r="A7" s="9" t="s">
        <v>37</v>
      </c>
      <c r="B7" s="12" t="s">
        <v>29</v>
      </c>
      <c r="C7" s="10">
        <v>2809728</v>
      </c>
      <c r="D7" s="26"/>
    </row>
    <row r="8" spans="1:4" ht="21" customHeight="1">
      <c r="A8" s="8" t="s">
        <v>34</v>
      </c>
      <c r="B8" s="20"/>
      <c r="C8" s="10"/>
      <c r="D8" s="26"/>
    </row>
    <row r="9" spans="1:4" ht="21.75" customHeight="1">
      <c r="A9" s="598" t="s">
        <v>25</v>
      </c>
      <c r="B9" s="12" t="s">
        <v>29</v>
      </c>
      <c r="C9" s="10">
        <v>2091526019</v>
      </c>
      <c r="D9" s="26"/>
    </row>
    <row r="10" spans="1:4" ht="21.75" customHeight="1">
      <c r="A10" s="600"/>
      <c r="B10" s="12" t="s">
        <v>46</v>
      </c>
      <c r="C10" s="10">
        <v>119252088</v>
      </c>
      <c r="D10" s="26"/>
    </row>
    <row r="11" spans="1:4" ht="22.5" customHeight="1">
      <c r="A11" s="600"/>
      <c r="B11" s="12" t="s">
        <v>46</v>
      </c>
      <c r="C11" s="10">
        <v>116133038</v>
      </c>
      <c r="D11" s="26"/>
    </row>
    <row r="12" spans="1:4" ht="33" customHeight="1">
      <c r="A12" s="9" t="s">
        <v>26</v>
      </c>
      <c r="B12" s="12" t="s">
        <v>29</v>
      </c>
      <c r="C12" s="10">
        <v>215183008</v>
      </c>
      <c r="D12" s="26"/>
    </row>
    <row r="13" spans="1:4" ht="26.25" customHeight="1">
      <c r="A13" s="598" t="s">
        <v>27</v>
      </c>
      <c r="B13" s="12" t="s">
        <v>29</v>
      </c>
      <c r="C13" s="10">
        <v>378783795</v>
      </c>
      <c r="D13" s="26"/>
    </row>
    <row r="14" spans="1:4" ht="26.25" customHeight="1">
      <c r="A14" s="600"/>
      <c r="B14" s="12" t="s">
        <v>46</v>
      </c>
      <c r="C14" s="10">
        <v>36823526</v>
      </c>
      <c r="D14" s="26"/>
    </row>
    <row r="15" spans="1:4" ht="43.5" customHeight="1">
      <c r="A15" s="599"/>
      <c r="B15" s="12" t="s">
        <v>45</v>
      </c>
      <c r="C15" s="10">
        <v>2172000</v>
      </c>
      <c r="D15" s="26"/>
    </row>
    <row r="16" spans="1:4" ht="34.5" customHeight="1">
      <c r="A16" s="9" t="s">
        <v>28</v>
      </c>
      <c r="B16" s="12" t="s">
        <v>29</v>
      </c>
      <c r="C16" s="10">
        <v>123642426</v>
      </c>
      <c r="D16" s="26"/>
    </row>
    <row r="17" spans="1:5" ht="17.25" customHeight="1">
      <c r="A17" s="21" t="s">
        <v>17</v>
      </c>
      <c r="B17" s="22"/>
      <c r="C17" s="23">
        <f>+SUM(C3:C7)+SUM(C9:C16)</f>
        <v>3652919078</v>
      </c>
    </row>
    <row r="18" spans="1:5">
      <c r="A18" s="3"/>
      <c r="B18" s="3"/>
    </row>
    <row r="19" spans="1:5">
      <c r="A19" s="3"/>
      <c r="B19" s="3"/>
    </row>
    <row r="20" spans="1:5">
      <c r="A20" s="3"/>
      <c r="B20" s="3"/>
      <c r="D20" s="24"/>
      <c r="E20" s="24"/>
    </row>
    <row r="21" spans="1:5">
      <c r="A21" s="3"/>
      <c r="B21" s="3"/>
      <c r="D21" s="24"/>
      <c r="E21" s="24"/>
    </row>
    <row r="22" spans="1:5">
      <c r="A22" s="3"/>
      <c r="B22" s="3"/>
      <c r="D22" s="25"/>
      <c r="E22" s="24"/>
    </row>
    <row r="23" spans="1:5">
      <c r="A23" s="3"/>
      <c r="B23" s="3"/>
      <c r="D23" s="24"/>
      <c r="E23" s="24"/>
    </row>
    <row r="24" spans="1:5">
      <c r="A24" s="3"/>
      <c r="B24" s="3"/>
      <c r="D24" s="24"/>
      <c r="E24" s="24"/>
    </row>
    <row r="25" spans="1:5">
      <c r="A25" s="3"/>
      <c r="B25" s="3"/>
    </row>
    <row r="26" spans="1:5">
      <c r="A26" s="3"/>
      <c r="B26" s="3"/>
    </row>
    <row r="27" spans="1:5">
      <c r="A27" s="3"/>
      <c r="B27" s="3"/>
    </row>
    <row r="28" spans="1:5">
      <c r="A28" s="3"/>
      <c r="B28" s="3"/>
    </row>
    <row r="29" spans="1:5">
      <c r="A29" s="3"/>
      <c r="B29" s="3"/>
    </row>
  </sheetData>
  <mergeCells count="3">
    <mergeCell ref="A5:A6"/>
    <mergeCell ref="A9:A11"/>
    <mergeCell ref="A13:A15"/>
  </mergeCells>
  <phoneticPr fontId="6" type="noConversion"/>
  <pageMargins left="0.75" right="0.75" top="1" bottom="1"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8"/>
  <sheetViews>
    <sheetView workbookViewId="0">
      <selection activeCell="C6" sqref="C6"/>
    </sheetView>
  </sheetViews>
  <sheetFormatPr baseColWidth="10" defaultRowHeight="12.75"/>
  <cols>
    <col min="1" max="1" width="48" customWidth="1"/>
    <col min="2" max="2" width="22.28515625" customWidth="1"/>
    <col min="3" max="3" width="18.28515625" customWidth="1"/>
    <col min="4" max="4" width="20.85546875" customWidth="1"/>
  </cols>
  <sheetData>
    <row r="2" spans="1:3" ht="26.25" customHeight="1">
      <c r="A2" s="11" t="s">
        <v>38</v>
      </c>
      <c r="B2" s="11" t="s">
        <v>47</v>
      </c>
      <c r="C2" s="11" t="s">
        <v>39</v>
      </c>
    </row>
    <row r="3" spans="1:3" ht="21" customHeight="1">
      <c r="A3" s="603" t="s">
        <v>33</v>
      </c>
      <c r="B3" s="604"/>
      <c r="C3" s="605"/>
    </row>
    <row r="4" spans="1:3" ht="38.25">
      <c r="A4" s="601" t="s">
        <v>35</v>
      </c>
      <c r="B4" s="6" t="s">
        <v>48</v>
      </c>
      <c r="C4" s="7">
        <v>14204048</v>
      </c>
    </row>
    <row r="5" spans="1:3" ht="25.5">
      <c r="A5" s="601"/>
      <c r="B5" s="6" t="s">
        <v>49</v>
      </c>
      <c r="C5" s="7">
        <v>1819838</v>
      </c>
    </row>
    <row r="6" spans="1:3">
      <c r="A6" s="602" t="s">
        <v>40</v>
      </c>
      <c r="B6" s="602"/>
      <c r="C6" s="23">
        <f>+C5+C4</f>
        <v>16023886</v>
      </c>
    </row>
    <row r="7" spans="1:3">
      <c r="A7" s="3"/>
      <c r="B7" s="3"/>
    </row>
    <row r="8" spans="1:3">
      <c r="A8" s="3"/>
      <c r="B8" s="3"/>
    </row>
    <row r="9" spans="1:3">
      <c r="A9" s="3"/>
      <c r="B9" s="3"/>
    </row>
    <row r="10" spans="1:3">
      <c r="A10" s="3"/>
      <c r="B10" s="3"/>
    </row>
    <row r="11" spans="1:3">
      <c r="A11" s="3"/>
      <c r="B11" s="3"/>
    </row>
    <row r="12" spans="1:3">
      <c r="A12" s="3"/>
      <c r="B12" s="3"/>
    </row>
    <row r="13" spans="1:3">
      <c r="A13" s="3"/>
      <c r="B13" s="3"/>
    </row>
    <row r="14" spans="1:3">
      <c r="A14" s="3"/>
      <c r="B14" s="3"/>
    </row>
    <row r="15" spans="1:3">
      <c r="A15" s="3"/>
      <c r="B15" s="3"/>
    </row>
    <row r="16" spans="1:3">
      <c r="A16" s="3"/>
      <c r="B16" s="3"/>
    </row>
    <row r="17" spans="1:2">
      <c r="A17" s="3"/>
      <c r="B17" s="3"/>
    </row>
    <row r="18" spans="1:2">
      <c r="A18" s="3"/>
      <c r="B18" s="3"/>
    </row>
  </sheetData>
  <mergeCells count="3">
    <mergeCell ref="A4:A5"/>
    <mergeCell ref="A6:B6"/>
    <mergeCell ref="A3:C3"/>
  </mergeCells>
  <phoneticPr fontId="6" type="noConversion"/>
  <pageMargins left="0.75" right="0.75" top="1" bottom="1"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
  <sheetViews>
    <sheetView workbookViewId="0">
      <selection activeCell="D31" sqref="D31"/>
    </sheetView>
  </sheetViews>
  <sheetFormatPr baseColWidth="10" defaultRowHeight="12.75"/>
  <cols>
    <col min="1" max="1" width="43" customWidth="1"/>
    <col min="2" max="2" width="19.140625" customWidth="1"/>
    <col min="3" max="3" width="17.140625" customWidth="1"/>
    <col min="4" max="4" width="19.85546875" customWidth="1"/>
    <col min="7" max="7" width="12.28515625" bestFit="1" customWidth="1"/>
  </cols>
  <sheetData>
    <row r="2" spans="1:7" ht="39" customHeight="1">
      <c r="A2" s="11" t="s">
        <v>30</v>
      </c>
      <c r="B2" s="30" t="s">
        <v>31</v>
      </c>
      <c r="C2" s="11" t="s">
        <v>31</v>
      </c>
      <c r="D2" s="11" t="s">
        <v>50</v>
      </c>
    </row>
    <row r="3" spans="1:7">
      <c r="A3" s="609" t="s">
        <v>42</v>
      </c>
      <c r="B3" s="37">
        <v>5828000000</v>
      </c>
      <c r="C3" s="15" t="e">
        <f>+'1024'!#REF!+'1024'!#REF!</f>
        <v>#REF!</v>
      </c>
      <c r="D3" s="614"/>
    </row>
    <row r="4" spans="1:7">
      <c r="A4" s="610"/>
      <c r="B4" s="37">
        <v>2250000000</v>
      </c>
      <c r="C4" s="15" t="e">
        <f>+'1024'!#REF!+'1024'!#REF!</f>
        <v>#REF!</v>
      </c>
      <c r="D4" s="616"/>
    </row>
    <row r="5" spans="1:7" ht="39.75" customHeight="1">
      <c r="A5" s="611"/>
      <c r="B5" s="37">
        <v>40000000</v>
      </c>
      <c r="C5" s="15" t="e">
        <f>+'1024'!#REF!</f>
        <v>#REF!</v>
      </c>
      <c r="D5" s="616"/>
    </row>
    <row r="6" spans="1:7">
      <c r="A6" s="27" t="s">
        <v>43</v>
      </c>
      <c r="B6" s="31">
        <v>8118000000</v>
      </c>
      <c r="C6" s="14" t="e">
        <f>+SUM(C3:C5)</f>
        <v>#REF!</v>
      </c>
      <c r="D6" s="615"/>
    </row>
    <row r="7" spans="1:7">
      <c r="A7" s="606" t="s">
        <v>41</v>
      </c>
      <c r="B7" s="32">
        <v>3282696000</v>
      </c>
      <c r="C7" s="15" t="e">
        <f>+#REF!+#REF!+#REF!</f>
        <v>#REF!</v>
      </c>
      <c r="D7" s="614"/>
    </row>
    <row r="8" spans="1:7">
      <c r="A8" s="606"/>
      <c r="B8" s="32">
        <v>1000000000</v>
      </c>
      <c r="C8" s="15" t="e">
        <f>+#REF!</f>
        <v>#REF!</v>
      </c>
      <c r="D8" s="616"/>
    </row>
    <row r="9" spans="1:7">
      <c r="A9" s="27" t="s">
        <v>43</v>
      </c>
      <c r="B9" s="31">
        <v>4282696000</v>
      </c>
      <c r="C9" s="14" t="e">
        <f>+SUM(C7:C8)</f>
        <v>#REF!</v>
      </c>
      <c r="D9" s="615"/>
    </row>
    <row r="10" spans="1:7" ht="31.5" customHeight="1">
      <c r="A10" s="609" t="s">
        <v>26</v>
      </c>
      <c r="B10" s="37">
        <v>1797500000</v>
      </c>
      <c r="C10" s="16" t="e">
        <f>+#REF!+#REF!+#REF!</f>
        <v>#REF!</v>
      </c>
      <c r="D10" s="614" t="s">
        <v>51</v>
      </c>
    </row>
    <row r="11" spans="1:7" ht="30.75" customHeight="1">
      <c r="A11" s="610"/>
      <c r="B11" s="37">
        <v>1004500000</v>
      </c>
      <c r="C11" s="16" t="e">
        <f>+#REF!+#REF!</f>
        <v>#REF!</v>
      </c>
      <c r="D11" s="616"/>
    </row>
    <row r="12" spans="1:7">
      <c r="A12" s="28" t="s">
        <v>43</v>
      </c>
      <c r="B12" s="33">
        <v>2802000000</v>
      </c>
      <c r="C12" s="14" t="e">
        <f>+SUM(C10:C11)</f>
        <v>#REF!</v>
      </c>
      <c r="D12" s="615"/>
      <c r="G12" s="2"/>
    </row>
    <row r="13" spans="1:7" ht="24" customHeight="1">
      <c r="A13" s="612" t="s">
        <v>24</v>
      </c>
      <c r="B13" s="38">
        <v>100000000</v>
      </c>
      <c r="C13" s="16" t="e">
        <f>+#REF!</f>
        <v>#REF!</v>
      </c>
      <c r="D13" s="614"/>
    </row>
    <row r="14" spans="1:7" ht="27.75" customHeight="1">
      <c r="A14" s="613"/>
      <c r="B14" s="38">
        <v>25000000</v>
      </c>
      <c r="C14" s="16" t="e">
        <f>+#REF!+#REF!</f>
        <v>#REF!</v>
      </c>
      <c r="D14" s="616"/>
    </row>
    <row r="15" spans="1:7">
      <c r="A15" s="28" t="s">
        <v>43</v>
      </c>
      <c r="B15" s="33">
        <v>125000000</v>
      </c>
      <c r="C15" s="14" t="e">
        <f>+SUM(C13:C14)</f>
        <v>#REF!</v>
      </c>
      <c r="D15" s="615"/>
    </row>
    <row r="16" spans="1:7" ht="27" customHeight="1">
      <c r="A16" s="607" t="s">
        <v>23</v>
      </c>
      <c r="B16" s="39">
        <v>868000000</v>
      </c>
      <c r="C16" s="16" t="e">
        <f>+#REF!+#REF!+#REF!</f>
        <v>#REF!</v>
      </c>
      <c r="D16" s="614"/>
    </row>
    <row r="17" spans="1:7" ht="26.25" customHeight="1">
      <c r="A17" s="608"/>
      <c r="B17" s="39">
        <v>25000000</v>
      </c>
      <c r="C17" s="16" t="e">
        <f>+#REF!</f>
        <v>#REF!</v>
      </c>
      <c r="D17" s="616"/>
    </row>
    <row r="18" spans="1:7">
      <c r="A18" s="28" t="s">
        <v>43</v>
      </c>
      <c r="B18" s="33">
        <v>893000000</v>
      </c>
      <c r="C18" s="14" t="e">
        <f>+SUM(C16:C17)</f>
        <v>#REF!</v>
      </c>
      <c r="D18" s="615"/>
    </row>
    <row r="19" spans="1:7" ht="27.75" customHeight="1">
      <c r="A19" s="13" t="s">
        <v>28</v>
      </c>
      <c r="B19" s="34">
        <v>314000000</v>
      </c>
      <c r="C19" s="16" t="e">
        <f>+#REF!+#REF!+#REF!</f>
        <v>#REF!</v>
      </c>
      <c r="D19" s="614" t="s">
        <v>52</v>
      </c>
      <c r="G19" s="2"/>
    </row>
    <row r="20" spans="1:7">
      <c r="A20" s="28" t="s">
        <v>43</v>
      </c>
      <c r="B20" s="33">
        <v>314000000</v>
      </c>
      <c r="C20" s="14" t="e">
        <f>+SUM(C19:C19)</f>
        <v>#REF!</v>
      </c>
      <c r="D20" s="615"/>
    </row>
    <row r="21" spans="1:7">
      <c r="A21" s="17" t="s">
        <v>44</v>
      </c>
      <c r="B21" s="35">
        <v>94000000</v>
      </c>
      <c r="C21" s="18">
        <v>94000000</v>
      </c>
      <c r="D21" s="614"/>
    </row>
    <row r="22" spans="1:7">
      <c r="A22" s="28" t="s">
        <v>43</v>
      </c>
      <c r="B22" s="33">
        <v>94000000</v>
      </c>
      <c r="C22" s="14">
        <f>+C21</f>
        <v>94000000</v>
      </c>
      <c r="D22" s="615"/>
    </row>
    <row r="23" spans="1:7" ht="24" customHeight="1">
      <c r="A23" s="29" t="s">
        <v>40</v>
      </c>
      <c r="B23" s="36">
        <v>16628696000</v>
      </c>
      <c r="C23" s="19" t="e">
        <f>+C6+C9+C12+C15+C18+C20+C22</f>
        <v>#REF!</v>
      </c>
      <c r="D23" s="40"/>
    </row>
    <row r="24" spans="1:7">
      <c r="A24" s="3"/>
      <c r="B24" s="3"/>
    </row>
    <row r="25" spans="1:7">
      <c r="A25" s="3"/>
      <c r="B25" s="3"/>
    </row>
    <row r="26" spans="1:7">
      <c r="A26" s="3"/>
      <c r="B26" s="3"/>
    </row>
    <row r="27" spans="1:7">
      <c r="A27" s="3"/>
      <c r="B27" s="3"/>
    </row>
    <row r="28" spans="1:7">
      <c r="A28" s="3"/>
      <c r="B28" s="3"/>
    </row>
    <row r="29" spans="1:7">
      <c r="A29" s="3"/>
      <c r="B29" s="3"/>
    </row>
    <row r="30" spans="1:7">
      <c r="A30" s="3"/>
      <c r="B30" s="3"/>
    </row>
    <row r="31" spans="1:7">
      <c r="A31" s="3"/>
      <c r="B31" s="3"/>
    </row>
    <row r="32" spans="1:7">
      <c r="A32" s="3"/>
      <c r="B32" s="3"/>
    </row>
    <row r="33" spans="1:2">
      <c r="A33" s="3"/>
      <c r="B33" s="3"/>
    </row>
    <row r="34" spans="1:2">
      <c r="A34" s="3"/>
      <c r="B34" s="3"/>
    </row>
    <row r="35" spans="1:2">
      <c r="A35" s="3"/>
      <c r="B35" s="3"/>
    </row>
  </sheetData>
  <mergeCells count="12">
    <mergeCell ref="D19:D20"/>
    <mergeCell ref="D21:D22"/>
    <mergeCell ref="D3:D6"/>
    <mergeCell ref="D7:D9"/>
    <mergeCell ref="D10:D12"/>
    <mergeCell ref="D13:D15"/>
    <mergeCell ref="D16:D18"/>
    <mergeCell ref="A7:A8"/>
    <mergeCell ref="A16:A17"/>
    <mergeCell ref="A3:A5"/>
    <mergeCell ref="A13:A14"/>
    <mergeCell ref="A10:A11"/>
  </mergeCells>
  <phoneticPr fontId="6" type="noConversion"/>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1024</vt:lpstr>
      <vt:lpstr>1107</vt:lpstr>
      <vt:lpstr>1110</vt:lpstr>
      <vt:lpstr>1112</vt:lpstr>
      <vt:lpstr>1114</vt:lpstr>
      <vt:lpstr>RESERVAS</vt:lpstr>
      <vt:lpstr>PASIVOS</vt:lpstr>
      <vt:lpstr>PMR (2)</vt:lpstr>
      <vt:lpstr>'1024'!Área_de_impresión</vt:lpstr>
      <vt:lpstr>'1107'!Área_de_impresión</vt:lpstr>
      <vt:lpstr>'1110'!Área_de_impresión</vt:lpstr>
      <vt:lpstr>'1112'!Área_de_impresión</vt:lpstr>
      <vt:lpstr>'1114'!Área_de_impresión</vt:lpstr>
      <vt:lpstr>'1114'!Títulos_a_imprimir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Planeacion1</dc:creator>
  <cp:lastModifiedBy>HP</cp:lastModifiedBy>
  <cp:lastPrinted>2017-10-26T17:25:40Z</cp:lastPrinted>
  <dcterms:created xsi:type="dcterms:W3CDTF">2012-06-12T13:47:24Z</dcterms:created>
  <dcterms:modified xsi:type="dcterms:W3CDTF">2018-02-01T03:40:44Z</dcterms:modified>
</cp:coreProperties>
</file>