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240" windowHeight="12435"/>
  </bookViews>
  <sheets>
    <sheet name="1024" sheetId="1" r:id="rId1"/>
    <sheet name="1107" sheetId="13" r:id="rId2"/>
    <sheet name="1110" sheetId="12" r:id="rId3"/>
    <sheet name="1112" sheetId="15" r:id="rId4"/>
    <sheet name="1112_" sheetId="8" state="hidden" r:id="rId5"/>
    <sheet name="1114" sheetId="14" r:id="rId6"/>
    <sheet name="1112_1" sheetId="4" state="hidden" r:id="rId7"/>
  </sheets>
  <externalReferences>
    <externalReference r:id="rId8"/>
    <externalReference r:id="rId9"/>
    <externalReference r:id="rId10"/>
  </externalReferences>
  <definedNames>
    <definedName name="_xlnm._FilterDatabase" localSheetId="0" hidden="1">'1024'!$A$15:$AG$36</definedName>
    <definedName name="_xlnm._FilterDatabase" localSheetId="1" hidden="1">'1107'!$A$15:$AG$49</definedName>
    <definedName name="_xlnm._FilterDatabase" localSheetId="2" hidden="1">'1110'!$A$15:$AG$48</definedName>
    <definedName name="_xlnm._FilterDatabase" localSheetId="3" hidden="1">'1112'!$A$15:$AI$33</definedName>
    <definedName name="_xlnm._FilterDatabase" localSheetId="4" hidden="1">'1112_'!$A$15:$AI$33</definedName>
    <definedName name="_xlnm._FilterDatabase" localSheetId="6" hidden="1">'1112_1'!$A$15:$AG$130</definedName>
    <definedName name="_xlnm._FilterDatabase" localSheetId="5" hidden="1">'1114'!$A$15:$AI$54</definedName>
    <definedName name="_xlnm.Print_Area" localSheetId="0">'1024'!$A$1:$AB$45</definedName>
    <definedName name="_xlnm.Print_Area" localSheetId="1">'1107'!$A$1:$AB$61</definedName>
    <definedName name="_xlnm.Print_Area" localSheetId="2">'1110'!$A$1:$AB$58</definedName>
    <definedName name="_xlnm.Print_Area" localSheetId="3">'1112'!$A$1:$AB$45</definedName>
    <definedName name="_xlnm.Print_Area" localSheetId="4">'1112_'!$A$1:$AB$45</definedName>
    <definedName name="_xlnm.Print_Area" localSheetId="6">'1112_1'!$A$1:$L$143</definedName>
    <definedName name="_xlnm.Print_Area" localSheetId="5">'1114'!$A$1:$AB$72</definedName>
    <definedName name="fuentes">[1]Listas!$I$85:$I$91</definedName>
    <definedName name="modalidad_desc">[1]Listas!$A$60:$A$73</definedName>
    <definedName name="proyecto_inv">[1]Listas!$A$108:$A$114</definedName>
    <definedName name="Responsable">[1]Listas!$A$77:$A$80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1" i="15" l="1"/>
  <c r="AA40" i="15"/>
  <c r="B35" i="15"/>
  <c r="AG33" i="15"/>
  <c r="AI33" i="15" s="1"/>
  <c r="Z33" i="15"/>
  <c r="Y33" i="15"/>
  <c r="X33" i="15"/>
  <c r="W33" i="15"/>
  <c r="V33" i="15"/>
  <c r="U33" i="15"/>
  <c r="T33" i="15"/>
  <c r="S33" i="15"/>
  <c r="R33" i="15"/>
  <c r="Q33" i="15"/>
  <c r="P33" i="15"/>
  <c r="O33" i="15"/>
  <c r="M33" i="15"/>
  <c r="K33" i="15"/>
  <c r="AH32" i="15"/>
  <c r="AA32" i="15"/>
  <c r="AB32" i="15" s="1"/>
  <c r="B32" i="15"/>
  <c r="AH31" i="15"/>
  <c r="B31" i="15"/>
  <c r="AH30" i="15"/>
  <c r="AA30" i="15"/>
  <c r="AB30" i="15" s="1"/>
  <c r="B30" i="15"/>
  <c r="AH29" i="15"/>
  <c r="AH33" i="15" s="1"/>
  <c r="AA29" i="15"/>
  <c r="AB29" i="15" s="1"/>
  <c r="B29" i="15"/>
  <c r="B33" i="15" s="1"/>
  <c r="AG27" i="15"/>
  <c r="AI27" i="15" s="1"/>
  <c r="Z27" i="15"/>
  <c r="Y27" i="15"/>
  <c r="X27" i="15"/>
  <c r="W27" i="15"/>
  <c r="V27" i="15"/>
  <c r="U27" i="15"/>
  <c r="T27" i="15"/>
  <c r="S27" i="15"/>
  <c r="R27" i="15"/>
  <c r="Q27" i="15"/>
  <c r="P27" i="15"/>
  <c r="O27" i="15"/>
  <c r="M27" i="15"/>
  <c r="K27" i="15"/>
  <c r="AH26" i="15"/>
  <c r="AA26" i="15"/>
  <c r="AB26" i="15" s="1"/>
  <c r="B26" i="15"/>
  <c r="AH25" i="15"/>
  <c r="AH27" i="15" s="1"/>
  <c r="AA25" i="15"/>
  <c r="AB25" i="15" s="1"/>
  <c r="AB27" i="15" s="1"/>
  <c r="B25" i="15"/>
  <c r="B24" i="15"/>
  <c r="B23" i="15"/>
  <c r="B27" i="15" s="1"/>
  <c r="AG21" i="15"/>
  <c r="AG35" i="15" s="1"/>
  <c r="Z21" i="15"/>
  <c r="Z42" i="15" s="1"/>
  <c r="Y21" i="15"/>
  <c r="Y42" i="15" s="1"/>
  <c r="X21" i="15"/>
  <c r="X42" i="15" s="1"/>
  <c r="W21" i="15"/>
  <c r="W42" i="15" s="1"/>
  <c r="V21" i="15"/>
  <c r="V42" i="15" s="1"/>
  <c r="V43" i="15" s="1"/>
  <c r="U21" i="15"/>
  <c r="U42" i="15" s="1"/>
  <c r="T21" i="15"/>
  <c r="T42" i="15" s="1"/>
  <c r="S21" i="15"/>
  <c r="S42" i="15" s="1"/>
  <c r="R21" i="15"/>
  <c r="R42" i="15" s="1"/>
  <c r="Q21" i="15"/>
  <c r="Q42" i="15" s="1"/>
  <c r="P21" i="15"/>
  <c r="P42" i="15" s="1"/>
  <c r="O21" i="15"/>
  <c r="O42" i="15" s="1"/>
  <c r="AA42" i="15" s="1"/>
  <c r="M21" i="15"/>
  <c r="M35" i="15" s="1"/>
  <c r="K21" i="15"/>
  <c r="K35" i="15" s="1"/>
  <c r="K41" i="15" s="1"/>
  <c r="AH20" i="15"/>
  <c r="AA20" i="15"/>
  <c r="AB20" i="15" s="1"/>
  <c r="B20" i="15"/>
  <c r="AH19" i="15"/>
  <c r="AA19" i="15"/>
  <c r="AB19" i="15" s="1"/>
  <c r="B19" i="15"/>
  <c r="AH18" i="15"/>
  <c r="AA18" i="15"/>
  <c r="AB18" i="15" s="1"/>
  <c r="B18" i="15"/>
  <c r="AH17" i="15"/>
  <c r="AH21" i="15" s="1"/>
  <c r="AH35" i="15" s="1"/>
  <c r="AI35" i="15" s="1"/>
  <c r="AA17" i="15"/>
  <c r="AB17" i="15" s="1"/>
  <c r="B17" i="15"/>
  <c r="B21" i="15" s="1"/>
  <c r="B14" i="15"/>
  <c r="B13" i="15"/>
  <c r="AB21" i="15" l="1"/>
  <c r="M42" i="15"/>
  <c r="AB42" i="15" s="1"/>
  <c r="L41" i="15"/>
  <c r="L47" i="15" s="1"/>
  <c r="AB40" i="15"/>
  <c r="AB33" i="15"/>
  <c r="AA21" i="15"/>
  <c r="AI21" i="15"/>
  <c r="AA27" i="15"/>
  <c r="AA33" i="15"/>
  <c r="O35" i="15"/>
  <c r="Q35" i="15"/>
  <c r="S35" i="15"/>
  <c r="U35" i="15"/>
  <c r="W35" i="15"/>
  <c r="Y35" i="15"/>
  <c r="P35" i="15"/>
  <c r="R35" i="15"/>
  <c r="T35" i="15"/>
  <c r="V35" i="15"/>
  <c r="X35" i="15"/>
  <c r="Z35" i="15"/>
  <c r="B81" i="13"/>
  <c r="B80" i="13"/>
  <c r="B79" i="13"/>
  <c r="B78" i="13"/>
  <c r="C94" i="14"/>
  <c r="C92" i="14"/>
  <c r="C91" i="14"/>
  <c r="C89" i="14"/>
  <c r="C88" i="14"/>
  <c r="C87" i="14"/>
  <c r="C90" i="14"/>
  <c r="C86" i="14"/>
  <c r="B95" i="14"/>
  <c r="AB58" i="14"/>
  <c r="AA58" i="14"/>
  <c r="Z58" i="14"/>
  <c r="Y58" i="14"/>
  <c r="X58" i="14"/>
  <c r="W58" i="14"/>
  <c r="V58" i="14"/>
  <c r="U58" i="14"/>
  <c r="T58" i="14"/>
  <c r="S58" i="14"/>
  <c r="R58" i="14"/>
  <c r="Q58" i="14"/>
  <c r="P58" i="14"/>
  <c r="O58" i="14"/>
  <c r="M58" i="14"/>
  <c r="K58" i="14"/>
  <c r="B58" i="14"/>
  <c r="B52" i="14"/>
  <c r="B17" i="14"/>
  <c r="AH48" i="14"/>
  <c r="AA48" i="14"/>
  <c r="AB48" i="14"/>
  <c r="B48" i="14"/>
  <c r="B47" i="14"/>
  <c r="B50" i="14" s="1"/>
  <c r="C85" i="14"/>
  <c r="B16" i="14"/>
  <c r="B60" i="14"/>
  <c r="Z40" i="14"/>
  <c r="Y40" i="14"/>
  <c r="X40" i="14"/>
  <c r="W40" i="14"/>
  <c r="V40" i="14"/>
  <c r="U40" i="14"/>
  <c r="T40" i="14"/>
  <c r="S40" i="14"/>
  <c r="R40" i="14"/>
  <c r="Q40" i="14"/>
  <c r="P40" i="14"/>
  <c r="O40" i="14"/>
  <c r="M40" i="14"/>
  <c r="K40" i="14"/>
  <c r="O19" i="14"/>
  <c r="M19" i="14"/>
  <c r="M66" i="14" s="1"/>
  <c r="K19" i="14"/>
  <c r="AH40" i="14"/>
  <c r="AG40" i="14"/>
  <c r="AI40" i="14"/>
  <c r="AH39" i="14"/>
  <c r="AF39" i="14"/>
  <c r="AA39" i="14"/>
  <c r="AB39" i="14"/>
  <c r="AB40" i="14" s="1"/>
  <c r="B39" i="14"/>
  <c r="B40" i="14" s="1"/>
  <c r="AH38" i="14"/>
  <c r="B27" i="8"/>
  <c r="B24" i="8"/>
  <c r="B25" i="8"/>
  <c r="B26" i="8"/>
  <c r="B23" i="8"/>
  <c r="B14" i="8"/>
  <c r="B55" i="12"/>
  <c r="B39" i="12"/>
  <c r="B14" i="12" s="1"/>
  <c r="B16" i="12"/>
  <c r="B44" i="12"/>
  <c r="B45" i="12" s="1"/>
  <c r="B26" i="12"/>
  <c r="B24" i="12"/>
  <c r="B25" i="12"/>
  <c r="AA29" i="1"/>
  <c r="AB28" i="13"/>
  <c r="AA28" i="13"/>
  <c r="B38" i="13"/>
  <c r="B16" i="13"/>
  <c r="B14" i="13"/>
  <c r="B51" i="13"/>
  <c r="B58" i="13"/>
  <c r="B14" i="1"/>
  <c r="B26" i="13"/>
  <c r="B25" i="13"/>
  <c r="B19" i="13"/>
  <c r="B20" i="13"/>
  <c r="B21" i="13"/>
  <c r="B22" i="13"/>
  <c r="B18" i="13"/>
  <c r="B34" i="13"/>
  <c r="B35" i="13"/>
  <c r="B36" i="13"/>
  <c r="B33" i="13"/>
  <c r="AA36" i="13"/>
  <c r="AB36" i="13"/>
  <c r="AH36" i="13"/>
  <c r="K37" i="13"/>
  <c r="M37" i="13"/>
  <c r="O37" i="13"/>
  <c r="P37" i="13"/>
  <c r="Q37" i="13"/>
  <c r="R37" i="13"/>
  <c r="S37" i="13"/>
  <c r="T37" i="13"/>
  <c r="U37" i="13"/>
  <c r="V37" i="13"/>
  <c r="W37" i="13"/>
  <c r="X37" i="13"/>
  <c r="Y37" i="13"/>
  <c r="Z37" i="13"/>
  <c r="AG37" i="13"/>
  <c r="AI37" i="13"/>
  <c r="AA39" i="13"/>
  <c r="B37" i="13"/>
  <c r="AJ37" i="13"/>
  <c r="B34" i="1"/>
  <c r="B35" i="1"/>
  <c r="B33" i="1"/>
  <c r="B27" i="1"/>
  <c r="B28" i="1"/>
  <c r="B29" i="1"/>
  <c r="B30" i="1"/>
  <c r="B26" i="1"/>
  <c r="B18" i="1"/>
  <c r="B19" i="1"/>
  <c r="B20" i="1"/>
  <c r="B21" i="1"/>
  <c r="B22" i="1"/>
  <c r="B23" i="1"/>
  <c r="B17" i="1"/>
  <c r="AA18" i="14"/>
  <c r="AB18" i="14"/>
  <c r="AB19" i="14" s="1"/>
  <c r="AA27" i="14"/>
  <c r="AB27" i="14" s="1"/>
  <c r="AB28" i="14" s="1"/>
  <c r="AA33" i="14"/>
  <c r="AB33" i="14"/>
  <c r="AB34" i="14" s="1"/>
  <c r="AA64" i="14"/>
  <c r="AA42" i="1"/>
  <c r="K21" i="8"/>
  <c r="K49" i="13"/>
  <c r="K43" i="13"/>
  <c r="AH33" i="14"/>
  <c r="AH34" i="14"/>
  <c r="AH49" i="14"/>
  <c r="AH50" i="14"/>
  <c r="AA49" i="14"/>
  <c r="AB49" i="14"/>
  <c r="AB50" i="14" s="1"/>
  <c r="B49" i="14"/>
  <c r="B33" i="14"/>
  <c r="B34" i="14" s="1"/>
  <c r="C126" i="14"/>
  <c r="C132" i="14" s="1"/>
  <c r="B135" i="14" s="1"/>
  <c r="B136" i="14" s="1"/>
  <c r="D119" i="14"/>
  <c r="C115" i="14"/>
  <c r="E114" i="14"/>
  <c r="E113" i="14"/>
  <c r="E112" i="14"/>
  <c r="E111" i="14"/>
  <c r="E110" i="14"/>
  <c r="E109" i="14"/>
  <c r="E108" i="14"/>
  <c r="E107" i="14"/>
  <c r="E106" i="14"/>
  <c r="Z43" i="14"/>
  <c r="Y43" i="14"/>
  <c r="X43" i="14"/>
  <c r="W43" i="14"/>
  <c r="S43" i="14"/>
  <c r="R43" i="14"/>
  <c r="Q43" i="14"/>
  <c r="P43" i="14"/>
  <c r="O43" i="14"/>
  <c r="AH42" i="14"/>
  <c r="AH43" i="14" s="1"/>
  <c r="AA42" i="14"/>
  <c r="AB42" i="14" s="1"/>
  <c r="AB43" i="14" s="1"/>
  <c r="B42" i="14"/>
  <c r="B43" i="14"/>
  <c r="M43" i="14"/>
  <c r="K43" i="14"/>
  <c r="V43" i="14"/>
  <c r="T43" i="14"/>
  <c r="Z54" i="14"/>
  <c r="Y54" i="14"/>
  <c r="X54" i="14"/>
  <c r="W54" i="14"/>
  <c r="S54" i="14"/>
  <c r="R54" i="14"/>
  <c r="Q54" i="14"/>
  <c r="P54" i="14"/>
  <c r="O54" i="14"/>
  <c r="M54" i="14"/>
  <c r="AH53" i="14"/>
  <c r="AA53" i="14"/>
  <c r="AB53" i="14" s="1"/>
  <c r="AB54" i="14" s="1"/>
  <c r="B53" i="14"/>
  <c r="B54" i="14"/>
  <c r="K54" i="14"/>
  <c r="D94" i="14"/>
  <c r="Z50" i="14"/>
  <c r="Y50" i="14"/>
  <c r="X50" i="14"/>
  <c r="W50" i="14"/>
  <c r="S50" i="14"/>
  <c r="R50" i="14"/>
  <c r="R66" i="14" s="1"/>
  <c r="Q50" i="14"/>
  <c r="P50" i="14"/>
  <c r="O50" i="14"/>
  <c r="M50" i="14"/>
  <c r="E93" i="14" s="1"/>
  <c r="Z46" i="14"/>
  <c r="Y46" i="14"/>
  <c r="X46" i="14"/>
  <c r="W46" i="14"/>
  <c r="S46" i="14"/>
  <c r="R46" i="14"/>
  <c r="Q46" i="14"/>
  <c r="P46" i="14"/>
  <c r="O46" i="14"/>
  <c r="AH45" i="14"/>
  <c r="AH46" i="14"/>
  <c r="AA45" i="14"/>
  <c r="AB45" i="14"/>
  <c r="AB46" i="14" s="1"/>
  <c r="B45" i="14"/>
  <c r="B46" i="14" s="1"/>
  <c r="M46" i="14"/>
  <c r="K46" i="14"/>
  <c r="E88" i="14"/>
  <c r="D88" i="14"/>
  <c r="AG34" i="14"/>
  <c r="AI34" i="14" s="1"/>
  <c r="AA34" i="14"/>
  <c r="Z34" i="14"/>
  <c r="Y34" i="14"/>
  <c r="X34" i="14"/>
  <c r="W34" i="14"/>
  <c r="V34" i="14"/>
  <c r="U34" i="14"/>
  <c r="T34" i="14"/>
  <c r="S34" i="14"/>
  <c r="R34" i="14"/>
  <c r="Q34" i="14"/>
  <c r="P34" i="14"/>
  <c r="O34" i="14"/>
  <c r="M34" i="14"/>
  <c r="K34" i="14"/>
  <c r="E91" i="14"/>
  <c r="D91" i="14"/>
  <c r="Z31" i="14"/>
  <c r="Y31" i="14"/>
  <c r="X31" i="14"/>
  <c r="W31" i="14"/>
  <c r="V31" i="14"/>
  <c r="U31" i="14"/>
  <c r="T31" i="14"/>
  <c r="S31" i="14"/>
  <c r="R31" i="14"/>
  <c r="Q31" i="14"/>
  <c r="P31" i="14"/>
  <c r="O31" i="14"/>
  <c r="M31" i="14"/>
  <c r="E90" i="14"/>
  <c r="K31" i="14"/>
  <c r="D90" i="14"/>
  <c r="AH30" i="14"/>
  <c r="AH31" i="14"/>
  <c r="AF30" i="14"/>
  <c r="AA30" i="14"/>
  <c r="AB30" i="14" s="1"/>
  <c r="AB31" i="14" s="1"/>
  <c r="B30" i="14"/>
  <c r="B31" i="14"/>
  <c r="AG31" i="14"/>
  <c r="AI31" i="14"/>
  <c r="AG22" i="14"/>
  <c r="AI22" i="14"/>
  <c r="Z22" i="14"/>
  <c r="Y22" i="14"/>
  <c r="X22" i="14"/>
  <c r="W22" i="14"/>
  <c r="W60" i="14" s="1"/>
  <c r="V22" i="14"/>
  <c r="U22" i="14"/>
  <c r="T22" i="14"/>
  <c r="S22" i="14"/>
  <c r="S66" i="14" s="1"/>
  <c r="R22" i="14"/>
  <c r="Q22" i="14"/>
  <c r="P22" i="14"/>
  <c r="O22" i="14"/>
  <c r="O60" i="14" s="1"/>
  <c r="M22" i="14"/>
  <c r="E89" i="14"/>
  <c r="K22" i="14"/>
  <c r="D89" i="14"/>
  <c r="AH21" i="14"/>
  <c r="AH22" i="14"/>
  <c r="AF21" i="14"/>
  <c r="AA21" i="14"/>
  <c r="AB21" i="14" s="1"/>
  <c r="AB22" i="14" s="1"/>
  <c r="B21" i="14"/>
  <c r="B22" i="14"/>
  <c r="AG25" i="14"/>
  <c r="AI25" i="14"/>
  <c r="Z25" i="14"/>
  <c r="Y25" i="14"/>
  <c r="Y60" i="14" s="1"/>
  <c r="X25" i="14"/>
  <c r="W25" i="14"/>
  <c r="V25" i="14"/>
  <c r="U25" i="14"/>
  <c r="U66" i="14" s="1"/>
  <c r="T25" i="14"/>
  <c r="S25" i="14"/>
  <c r="R25" i="14"/>
  <c r="Q25" i="14"/>
  <c r="P25" i="14"/>
  <c r="O25" i="14"/>
  <c r="M25" i="14"/>
  <c r="E87" i="14"/>
  <c r="K25" i="14"/>
  <c r="D87" i="14"/>
  <c r="AH24" i="14"/>
  <c r="AH25" i="14"/>
  <c r="AF24" i="14"/>
  <c r="AA24" i="14"/>
  <c r="AB24" i="14" s="1"/>
  <c r="AB25" i="14" s="1"/>
  <c r="B24" i="14"/>
  <c r="B25" i="14"/>
  <c r="Z37" i="14"/>
  <c r="Y37" i="14"/>
  <c r="X37" i="14"/>
  <c r="W37" i="14"/>
  <c r="V37" i="14"/>
  <c r="U37" i="14"/>
  <c r="T37" i="14"/>
  <c r="S37" i="14"/>
  <c r="R37" i="14"/>
  <c r="Q37" i="14"/>
  <c r="P37" i="14"/>
  <c r="O37" i="14"/>
  <c r="AH36" i="14"/>
  <c r="AH37" i="14"/>
  <c r="AA36" i="14"/>
  <c r="AB36" i="14"/>
  <c r="AB37" i="14" s="1"/>
  <c r="B36" i="14"/>
  <c r="B37" i="14" s="1"/>
  <c r="M37" i="14"/>
  <c r="K37" i="14"/>
  <c r="AG28" i="14"/>
  <c r="AI28" i="14" s="1"/>
  <c r="Z28" i="14"/>
  <c r="Y28" i="14"/>
  <c r="X28" i="14"/>
  <c r="X66" i="14" s="1"/>
  <c r="W28" i="14"/>
  <c r="V28" i="14"/>
  <c r="U28" i="14"/>
  <c r="T28" i="14"/>
  <c r="S28" i="14"/>
  <c r="R28" i="14"/>
  <c r="Q28" i="14"/>
  <c r="P28" i="14"/>
  <c r="P60" i="14" s="1"/>
  <c r="O28" i="14"/>
  <c r="M28" i="14"/>
  <c r="K28" i="14"/>
  <c r="AH27" i="14"/>
  <c r="AH28" i="14" s="1"/>
  <c r="B27" i="14"/>
  <c r="B28" i="14" s="1"/>
  <c r="Z19" i="14"/>
  <c r="Z60" i="14" s="1"/>
  <c r="Y19" i="14"/>
  <c r="X19" i="14"/>
  <c r="X60" i="14"/>
  <c r="W19" i="14"/>
  <c r="V19" i="14"/>
  <c r="U19" i="14"/>
  <c r="T19" i="14"/>
  <c r="T60" i="14" s="1"/>
  <c r="S19" i="14"/>
  <c r="R19" i="14"/>
  <c r="R60" i="14" s="1"/>
  <c r="Q19" i="14"/>
  <c r="Q60" i="14" s="1"/>
  <c r="P19" i="14"/>
  <c r="AH18" i="14"/>
  <c r="AF18" i="14"/>
  <c r="B18" i="14"/>
  <c r="AG19" i="14"/>
  <c r="AI19" i="14" s="1"/>
  <c r="B19" i="14"/>
  <c r="B13" i="14"/>
  <c r="B14" i="14"/>
  <c r="U50" i="14"/>
  <c r="E92" i="14"/>
  <c r="U46" i="14"/>
  <c r="AH19" i="14"/>
  <c r="F91" i="14"/>
  <c r="F88" i="14"/>
  <c r="U43" i="14"/>
  <c r="AA37" i="14"/>
  <c r="AG37" i="14"/>
  <c r="AI37" i="14"/>
  <c r="AG46" i="14"/>
  <c r="AI46" i="14"/>
  <c r="V46" i="14"/>
  <c r="K50" i="14"/>
  <c r="D93" i="14" s="1"/>
  <c r="AG50" i="14"/>
  <c r="AI50" i="14" s="1"/>
  <c r="D92" i="14"/>
  <c r="T46" i="14"/>
  <c r="T50" i="14"/>
  <c r="V50" i="14"/>
  <c r="V54" i="14"/>
  <c r="T54" i="14"/>
  <c r="AG43" i="14"/>
  <c r="AI43" i="14" s="1"/>
  <c r="U54" i="14"/>
  <c r="AG54" i="14"/>
  <c r="AI54" i="14"/>
  <c r="AH54" i="14"/>
  <c r="AA46" i="14"/>
  <c r="F92" i="14"/>
  <c r="AH19" i="13"/>
  <c r="AH20" i="13"/>
  <c r="AH21" i="13"/>
  <c r="AH22" i="13"/>
  <c r="AA20" i="13"/>
  <c r="AB20" i="13"/>
  <c r="AA21" i="13"/>
  <c r="AB21" i="13"/>
  <c r="AA22" i="13"/>
  <c r="AB22" i="13"/>
  <c r="C71" i="13"/>
  <c r="AA56" i="13"/>
  <c r="Z49" i="13"/>
  <c r="Y49" i="13"/>
  <c r="X49" i="13"/>
  <c r="W49" i="13"/>
  <c r="S49" i="13"/>
  <c r="R49" i="13"/>
  <c r="Q49" i="13"/>
  <c r="P49" i="13"/>
  <c r="O49" i="13"/>
  <c r="AA48" i="13"/>
  <c r="AB48" i="13"/>
  <c r="B48" i="13"/>
  <c r="AA47" i="13"/>
  <c r="AB47" i="13"/>
  <c r="B47" i="13"/>
  <c r="B46" i="13"/>
  <c r="AA45" i="13"/>
  <c r="M49" i="13"/>
  <c r="B45" i="13"/>
  <c r="E70" i="13"/>
  <c r="Z43" i="13"/>
  <c r="Y43" i="13"/>
  <c r="X43" i="13"/>
  <c r="W43" i="13"/>
  <c r="S43" i="13"/>
  <c r="R43" i="13"/>
  <c r="Q43" i="13"/>
  <c r="P43" i="13"/>
  <c r="O43" i="13"/>
  <c r="M43" i="13"/>
  <c r="AG43" i="13"/>
  <c r="AH42" i="13"/>
  <c r="B42" i="13"/>
  <c r="AH41" i="13"/>
  <c r="AA41" i="13"/>
  <c r="AB41" i="13"/>
  <c r="B41" i="13"/>
  <c r="AH40" i="13"/>
  <c r="AA40" i="13"/>
  <c r="B40" i="13"/>
  <c r="AH35" i="13"/>
  <c r="AA35" i="13"/>
  <c r="AB35" i="13"/>
  <c r="AH34" i="13"/>
  <c r="AA34" i="13"/>
  <c r="AB34" i="13"/>
  <c r="AA33" i="13"/>
  <c r="AG31" i="13"/>
  <c r="AJ31" i="13"/>
  <c r="Z31" i="13"/>
  <c r="Y31" i="13"/>
  <c r="X31" i="13"/>
  <c r="W31" i="13"/>
  <c r="V31" i="13"/>
  <c r="U31" i="13"/>
  <c r="T31" i="13"/>
  <c r="S31" i="13"/>
  <c r="R31" i="13"/>
  <c r="Q31" i="13"/>
  <c r="P31" i="13"/>
  <c r="O31" i="13"/>
  <c r="M31" i="13"/>
  <c r="K31" i="13"/>
  <c r="AH30" i="13"/>
  <c r="AA30" i="13"/>
  <c r="AB30" i="13"/>
  <c r="B30" i="13"/>
  <c r="AH29" i="13"/>
  <c r="AA29" i="13"/>
  <c r="AB29" i="13"/>
  <c r="B29" i="13"/>
  <c r="AG27" i="13"/>
  <c r="AI27" i="13"/>
  <c r="Z27" i="13"/>
  <c r="Y27" i="13"/>
  <c r="X27" i="13"/>
  <c r="W27" i="13"/>
  <c r="V27" i="13"/>
  <c r="U27" i="13"/>
  <c r="T27" i="13"/>
  <c r="S27" i="13"/>
  <c r="R27" i="13"/>
  <c r="Q27" i="13"/>
  <c r="P27" i="13"/>
  <c r="O27" i="13"/>
  <c r="M27" i="13"/>
  <c r="E71" i="13"/>
  <c r="K27" i="13"/>
  <c r="D71" i="13"/>
  <c r="AH26" i="13"/>
  <c r="AF26" i="13"/>
  <c r="AA26" i="13"/>
  <c r="AB26" i="13"/>
  <c r="AH25" i="13"/>
  <c r="AA25" i="13"/>
  <c r="AB25" i="13"/>
  <c r="Z23" i="13"/>
  <c r="Y23" i="13"/>
  <c r="X23" i="13"/>
  <c r="W23" i="13"/>
  <c r="R23" i="13"/>
  <c r="Q23" i="13"/>
  <c r="P23" i="13"/>
  <c r="O23" i="13"/>
  <c r="M23" i="13"/>
  <c r="AA19" i="13"/>
  <c r="AB19" i="13"/>
  <c r="AH18" i="13"/>
  <c r="AA18" i="13"/>
  <c r="AB18" i="13"/>
  <c r="M51" i="13"/>
  <c r="M58" i="13"/>
  <c r="P58" i="13"/>
  <c r="P51" i="13"/>
  <c r="R58" i="13"/>
  <c r="R51" i="13"/>
  <c r="X58" i="13"/>
  <c r="X51" i="13"/>
  <c r="Z58" i="13"/>
  <c r="Z51" i="13"/>
  <c r="O58" i="13"/>
  <c r="O51" i="13"/>
  <c r="Q58" i="13"/>
  <c r="Q51" i="13"/>
  <c r="W58" i="13"/>
  <c r="W51" i="13"/>
  <c r="Y58" i="13"/>
  <c r="Y51" i="13"/>
  <c r="AH27" i="13"/>
  <c r="AB33" i="13"/>
  <c r="AB27" i="13"/>
  <c r="D69" i="13"/>
  <c r="K23" i="13"/>
  <c r="K51" i="13"/>
  <c r="AG23" i="13"/>
  <c r="AJ23" i="13"/>
  <c r="B27" i="13"/>
  <c r="B31" i="13"/>
  <c r="D70" i="13"/>
  <c r="AA27" i="13"/>
  <c r="F71" i="13"/>
  <c r="AJ27" i="13"/>
  <c r="AB31" i="13"/>
  <c r="E69" i="13"/>
  <c r="AH43" i="13"/>
  <c r="V43" i="13"/>
  <c r="U23" i="13"/>
  <c r="T49" i="13"/>
  <c r="C68" i="13"/>
  <c r="S23" i="13"/>
  <c r="W57" i="13"/>
  <c r="AH33" i="13"/>
  <c r="AH37" i="13"/>
  <c r="U49" i="13"/>
  <c r="T23" i="13"/>
  <c r="V23" i="13"/>
  <c r="B23" i="13"/>
  <c r="AH31" i="13"/>
  <c r="AA31" i="13"/>
  <c r="C69" i="13"/>
  <c r="AI43" i="13"/>
  <c r="AB40" i="13"/>
  <c r="U43" i="13"/>
  <c r="AA42" i="13"/>
  <c r="AB42" i="13"/>
  <c r="B43" i="13"/>
  <c r="T43" i="13"/>
  <c r="AJ43" i="13"/>
  <c r="AG49" i="13"/>
  <c r="C70" i="13"/>
  <c r="B49" i="13"/>
  <c r="V49" i="13"/>
  <c r="AB45" i="13"/>
  <c r="AA46" i="13"/>
  <c r="V58" i="13"/>
  <c r="V51" i="13"/>
  <c r="U58" i="13"/>
  <c r="U51" i="13"/>
  <c r="T58" i="13"/>
  <c r="T51" i="13"/>
  <c r="S58" i="13"/>
  <c r="S51" i="13"/>
  <c r="AA37" i="13"/>
  <c r="AB37" i="13"/>
  <c r="D68" i="13"/>
  <c r="D72" i="13"/>
  <c r="K57" i="13"/>
  <c r="AB23" i="13"/>
  <c r="AB51" i="13"/>
  <c r="AH49" i="13"/>
  <c r="AI23" i="13"/>
  <c r="AH23" i="13"/>
  <c r="AH51" i="13"/>
  <c r="AA23" i="13"/>
  <c r="AA51" i="13"/>
  <c r="AA49" i="13"/>
  <c r="AB46" i="13"/>
  <c r="AB49" i="13"/>
  <c r="AA43" i="13"/>
  <c r="F70" i="13"/>
  <c r="AJ49" i="13"/>
  <c r="AI49" i="13"/>
  <c r="AB43" i="13"/>
  <c r="E68" i="13"/>
  <c r="E72" i="13"/>
  <c r="C72" i="13"/>
  <c r="AG51" i="13"/>
  <c r="AA58" i="13"/>
  <c r="K62" i="13"/>
  <c r="F69" i="13"/>
  <c r="F68" i="13"/>
  <c r="F72" i="13"/>
  <c r="T66" i="13"/>
  <c r="AG55" i="13"/>
  <c r="L57" i="13"/>
  <c r="AB56" i="13"/>
  <c r="AB58" i="13"/>
  <c r="M57" i="13"/>
  <c r="M62" i="13"/>
  <c r="AG42" i="12"/>
  <c r="AG45" i="12" s="1"/>
  <c r="AI45" i="12" s="1"/>
  <c r="Z42" i="12"/>
  <c r="Z45" i="12" s="1"/>
  <c r="Y42" i="12"/>
  <c r="Y45" i="12"/>
  <c r="X42" i="12"/>
  <c r="X45" i="12" s="1"/>
  <c r="W42" i="12"/>
  <c r="W45" i="12"/>
  <c r="S42" i="12"/>
  <c r="S45" i="12" s="1"/>
  <c r="S50" i="12" s="1"/>
  <c r="R42" i="12"/>
  <c r="R45" i="12"/>
  <c r="Q42" i="12"/>
  <c r="Q45" i="12" s="1"/>
  <c r="P42" i="12"/>
  <c r="P45" i="12"/>
  <c r="O42" i="12"/>
  <c r="O45" i="12"/>
  <c r="M42" i="12"/>
  <c r="M45" i="12"/>
  <c r="K42" i="12"/>
  <c r="K45" i="12"/>
  <c r="AH41" i="12"/>
  <c r="AA55" i="12"/>
  <c r="Z48" i="12"/>
  <c r="Y48" i="12"/>
  <c r="X48" i="12"/>
  <c r="W48" i="12"/>
  <c r="S48" i="12"/>
  <c r="R48" i="12"/>
  <c r="Q48" i="12"/>
  <c r="P48" i="12"/>
  <c r="O48" i="12"/>
  <c r="M48" i="12"/>
  <c r="K48" i="12"/>
  <c r="AJ47" i="12"/>
  <c r="AJ48" i="12" s="1"/>
  <c r="AH47" i="12"/>
  <c r="B47" i="12"/>
  <c r="AJ46" i="12"/>
  <c r="B41" i="12"/>
  <c r="B42" i="12" s="1"/>
  <c r="AJ40" i="12"/>
  <c r="AH40" i="12"/>
  <c r="AJ39" i="12"/>
  <c r="Z38" i="12"/>
  <c r="Y38" i="12"/>
  <c r="X38" i="12"/>
  <c r="W38" i="12"/>
  <c r="S38" i="12"/>
  <c r="R38" i="12"/>
  <c r="Q38" i="12"/>
  <c r="P38" i="12"/>
  <c r="P57" i="12" s="1"/>
  <c r="O38" i="12"/>
  <c r="AJ37" i="12"/>
  <c r="AH37" i="12"/>
  <c r="B37" i="12"/>
  <c r="B38" i="12" s="1"/>
  <c r="K38" i="12"/>
  <c r="AJ36" i="12"/>
  <c r="Z35" i="12"/>
  <c r="Y35" i="12"/>
  <c r="Y57" i="12" s="1"/>
  <c r="X35" i="12"/>
  <c r="W35" i="12"/>
  <c r="S35" i="12"/>
  <c r="R35" i="12"/>
  <c r="Q35" i="12"/>
  <c r="P35" i="12"/>
  <c r="O35" i="12"/>
  <c r="AG35" i="12"/>
  <c r="AI35" i="12" s="1"/>
  <c r="K35" i="12"/>
  <c r="AJ34" i="12"/>
  <c r="AH34" i="12"/>
  <c r="B34" i="12"/>
  <c r="B35" i="12" s="1"/>
  <c r="AJ33" i="12"/>
  <c r="Z32" i="12"/>
  <c r="Y32" i="12"/>
  <c r="X32" i="12"/>
  <c r="W32" i="12"/>
  <c r="U32" i="12"/>
  <c r="S32" i="12"/>
  <c r="R32" i="12"/>
  <c r="Q32" i="12"/>
  <c r="P32" i="12"/>
  <c r="O32" i="12"/>
  <c r="M32" i="12"/>
  <c r="V32" i="12"/>
  <c r="T32" i="12"/>
  <c r="AJ31" i="12"/>
  <c r="AH31" i="12"/>
  <c r="AH32" i="12" s="1"/>
  <c r="AH50" i="12" s="1"/>
  <c r="AA31" i="12"/>
  <c r="AB31" i="12" s="1"/>
  <c r="AB32" i="12" s="1"/>
  <c r="B31" i="12"/>
  <c r="AJ30" i="12"/>
  <c r="Z29" i="12"/>
  <c r="Y29" i="12"/>
  <c r="X29" i="12"/>
  <c r="W29" i="12"/>
  <c r="W57" i="12" s="1"/>
  <c r="V29" i="12"/>
  <c r="U29" i="12"/>
  <c r="T29" i="12"/>
  <c r="S29" i="12"/>
  <c r="R29" i="12"/>
  <c r="Q29" i="12"/>
  <c r="P29" i="12"/>
  <c r="O29" i="12"/>
  <c r="O57" i="12" s="1"/>
  <c r="M29" i="12"/>
  <c r="AH28" i="12"/>
  <c r="AA28" i="12"/>
  <c r="AB28" i="12"/>
  <c r="AB29" i="12" s="1"/>
  <c r="B28" i="12"/>
  <c r="AJ27" i="12"/>
  <c r="AA27" i="12"/>
  <c r="AB27" i="12"/>
  <c r="AJ26" i="12"/>
  <c r="Z22" i="12"/>
  <c r="Y22" i="12"/>
  <c r="X22" i="12"/>
  <c r="W22" i="12"/>
  <c r="T22" i="12"/>
  <c r="S22" i="12"/>
  <c r="R22" i="12"/>
  <c r="Q22" i="12"/>
  <c r="P22" i="12"/>
  <c r="O22" i="12"/>
  <c r="M22" i="12"/>
  <c r="AH21" i="12"/>
  <c r="B21" i="12"/>
  <c r="V22" i="12"/>
  <c r="U22" i="12"/>
  <c r="U50" i="12" s="1"/>
  <c r="AJ20" i="12"/>
  <c r="Z19" i="12"/>
  <c r="Y19" i="12"/>
  <c r="X19" i="12"/>
  <c r="W19" i="12"/>
  <c r="T19" i="12"/>
  <c r="S19" i="12"/>
  <c r="R19" i="12"/>
  <c r="R57" i="12" s="1"/>
  <c r="Q19" i="12"/>
  <c r="P19" i="12"/>
  <c r="O19" i="12"/>
  <c r="M19" i="12"/>
  <c r="M50" i="12" s="1"/>
  <c r="AH18" i="12"/>
  <c r="AA18" i="12"/>
  <c r="AB18" i="12" s="1"/>
  <c r="AB19" i="12" s="1"/>
  <c r="AJ18" i="12"/>
  <c r="B18" i="12"/>
  <c r="U19" i="12"/>
  <c r="O50" i="12"/>
  <c r="Y50" i="12"/>
  <c r="R50" i="12"/>
  <c r="B48" i="12"/>
  <c r="AJ42" i="12"/>
  <c r="AJ45" i="12"/>
  <c r="U48" i="12"/>
  <c r="AA37" i="12"/>
  <c r="AB37" i="12" s="1"/>
  <c r="AB38" i="12" s="1"/>
  <c r="AH42" i="12"/>
  <c r="AH45" i="12" s="1"/>
  <c r="U42" i="12"/>
  <c r="U45" i="12"/>
  <c r="AA29" i="12"/>
  <c r="V38" i="12"/>
  <c r="V42" i="12"/>
  <c r="V45" i="12" s="1"/>
  <c r="V50" i="12" s="1"/>
  <c r="AH29" i="12"/>
  <c r="V35" i="12"/>
  <c r="T42" i="12"/>
  <c r="T45" i="12" s="1"/>
  <c r="AA47" i="12"/>
  <c r="AB47" i="12"/>
  <c r="V19" i="12"/>
  <c r="V57" i="12" s="1"/>
  <c r="AA34" i="12"/>
  <c r="AB34" i="12" s="1"/>
  <c r="AB35" i="12" s="1"/>
  <c r="AA41" i="12"/>
  <c r="AB41" i="12" s="1"/>
  <c r="AB42" i="12" s="1"/>
  <c r="AB45" i="12" s="1"/>
  <c r="V48" i="12"/>
  <c r="T48" i="12"/>
  <c r="K29" i="12"/>
  <c r="AJ29" i="12" s="1"/>
  <c r="AJ32" i="12"/>
  <c r="B32" i="12"/>
  <c r="K32" i="12"/>
  <c r="M38" i="12"/>
  <c r="AJ38" i="12" s="1"/>
  <c r="T38" i="12"/>
  <c r="AA40" i="12"/>
  <c r="AG22" i="12"/>
  <c r="AI22" i="12" s="1"/>
  <c r="AH22" i="12"/>
  <c r="U35" i="12"/>
  <c r="U38" i="12"/>
  <c r="K19" i="12"/>
  <c r="AG19" i="12"/>
  <c r="AI19" i="12"/>
  <c r="K22" i="12"/>
  <c r="K50" i="12" s="1"/>
  <c r="K56" i="12" s="1"/>
  <c r="B22" i="12"/>
  <c r="AJ22" i="12"/>
  <c r="AJ28" i="12"/>
  <c r="AG29" i="12"/>
  <c r="AI29" i="12" s="1"/>
  <c r="AG32" i="12"/>
  <c r="AI32" i="12"/>
  <c r="AH35" i="12"/>
  <c r="M35" i="12"/>
  <c r="T35" i="12"/>
  <c r="AG38" i="12"/>
  <c r="AI38" i="12" s="1"/>
  <c r="AH38" i="12"/>
  <c r="AG48" i="12"/>
  <c r="AI48" i="12"/>
  <c r="AH48" i="12"/>
  <c r="B29" i="12"/>
  <c r="AJ35" i="12"/>
  <c r="U57" i="12"/>
  <c r="AB48" i="12"/>
  <c r="AA48" i="12"/>
  <c r="AH19" i="12"/>
  <c r="B19" i="12"/>
  <c r="AA38" i="12"/>
  <c r="AA35" i="12"/>
  <c r="AA22" i="12"/>
  <c r="AB22" i="12"/>
  <c r="AB40" i="12"/>
  <c r="AJ19" i="12"/>
  <c r="AA19" i="12"/>
  <c r="AA32" i="12"/>
  <c r="AG21" i="8"/>
  <c r="AA40" i="8"/>
  <c r="B41" i="8"/>
  <c r="Z33" i="8"/>
  <c r="Y33" i="8"/>
  <c r="X33" i="8"/>
  <c r="W33" i="8"/>
  <c r="U33" i="8"/>
  <c r="T33" i="8"/>
  <c r="S33" i="8"/>
  <c r="R33" i="8"/>
  <c r="Q33" i="8"/>
  <c r="P33" i="8"/>
  <c r="O33" i="8"/>
  <c r="M33" i="8"/>
  <c r="K33" i="8"/>
  <c r="AH32" i="8"/>
  <c r="AA32" i="8"/>
  <c r="AB32" i="8"/>
  <c r="B32" i="8"/>
  <c r="B31" i="8"/>
  <c r="AH30" i="8"/>
  <c r="AA30" i="8"/>
  <c r="AB30" i="8"/>
  <c r="B30" i="8"/>
  <c r="AH29" i="8"/>
  <c r="AA29" i="8"/>
  <c r="B29" i="8"/>
  <c r="AG27" i="8"/>
  <c r="AI27" i="8"/>
  <c r="Z27" i="8"/>
  <c r="Y27" i="8"/>
  <c r="X27" i="8"/>
  <c r="W27" i="8"/>
  <c r="U27" i="8"/>
  <c r="T27" i="8"/>
  <c r="S27" i="8"/>
  <c r="R27" i="8"/>
  <c r="Q27" i="8"/>
  <c r="P27" i="8"/>
  <c r="O27" i="8"/>
  <c r="M27" i="8"/>
  <c r="K27" i="8"/>
  <c r="AH26" i="8"/>
  <c r="AA26" i="8"/>
  <c r="AB26" i="8"/>
  <c r="AH25" i="8"/>
  <c r="V27" i="8"/>
  <c r="Z21" i="8"/>
  <c r="Y21" i="8"/>
  <c r="X21" i="8"/>
  <c r="W21" i="8"/>
  <c r="S21" i="8"/>
  <c r="R21" i="8"/>
  <c r="Q21" i="8"/>
  <c r="P21" i="8"/>
  <c r="O21" i="8"/>
  <c r="U21" i="8"/>
  <c r="T21" i="8"/>
  <c r="M21" i="8"/>
  <c r="AH20" i="8"/>
  <c r="AA20" i="8"/>
  <c r="AB20" i="8"/>
  <c r="B20" i="8"/>
  <c r="AA19" i="8"/>
  <c r="AB19" i="8"/>
  <c r="K35" i="8"/>
  <c r="AH18" i="8"/>
  <c r="AA18" i="8"/>
  <c r="AB18" i="8"/>
  <c r="B18" i="8"/>
  <c r="AH17" i="8"/>
  <c r="AA17" i="8"/>
  <c r="B17" i="8"/>
  <c r="B13" i="8"/>
  <c r="M35" i="8"/>
  <c r="AB40" i="8"/>
  <c r="P42" i="8"/>
  <c r="Y42" i="8"/>
  <c r="AH27" i="8"/>
  <c r="B33" i="8"/>
  <c r="O42" i="8"/>
  <c r="Q42" i="8"/>
  <c r="S42" i="8"/>
  <c r="X42" i="8"/>
  <c r="Z42" i="8"/>
  <c r="R42" i="8"/>
  <c r="W42" i="8"/>
  <c r="K41" i="8"/>
  <c r="AA25" i="8"/>
  <c r="AB25" i="8"/>
  <c r="AB27" i="8"/>
  <c r="V33" i="8"/>
  <c r="L41" i="8"/>
  <c r="L47" i="8"/>
  <c r="T42" i="8"/>
  <c r="T35" i="8"/>
  <c r="U42" i="8"/>
  <c r="U35" i="8"/>
  <c r="V21" i="8"/>
  <c r="AG33" i="8"/>
  <c r="AG35" i="8"/>
  <c r="AH31" i="8"/>
  <c r="AH33" i="8"/>
  <c r="R35" i="8"/>
  <c r="Z35" i="8"/>
  <c r="AI21" i="8"/>
  <c r="AB17" i="8"/>
  <c r="B19" i="8"/>
  <c r="B21" i="8"/>
  <c r="AH19" i="8"/>
  <c r="AA33" i="8"/>
  <c r="AB29" i="8"/>
  <c r="AB33" i="8"/>
  <c r="B35" i="8"/>
  <c r="P35" i="8"/>
  <c r="X35" i="8"/>
  <c r="O35" i="8"/>
  <c r="Q35" i="8"/>
  <c r="S35" i="8"/>
  <c r="W35" i="8"/>
  <c r="Y35" i="8"/>
  <c r="M42" i="8"/>
  <c r="AH21" i="8"/>
  <c r="AH35" i="8"/>
  <c r="AI33" i="8"/>
  <c r="AI35" i="8"/>
  <c r="AA27" i="8"/>
  <c r="AB21" i="8"/>
  <c r="AB35" i="8"/>
  <c r="AA21" i="8"/>
  <c r="AA35" i="8"/>
  <c r="M41" i="8"/>
  <c r="M47" i="8"/>
  <c r="V42" i="8"/>
  <c r="V35" i="8"/>
  <c r="AA42" i="8"/>
  <c r="AB42" i="8"/>
  <c r="V43" i="8"/>
  <c r="AF26" i="4"/>
  <c r="AH71" i="4"/>
  <c r="AF71" i="4"/>
  <c r="AH69" i="4"/>
  <c r="AF69" i="4"/>
  <c r="AH67" i="4"/>
  <c r="AF67" i="4"/>
  <c r="AH51" i="4"/>
  <c r="AH52" i="4"/>
  <c r="AH53" i="4"/>
  <c r="AF18" i="4"/>
  <c r="AF19" i="4"/>
  <c r="AF20" i="4"/>
  <c r="AF21" i="4"/>
  <c r="AF22" i="4"/>
  <c r="AF23" i="4"/>
  <c r="AF24" i="4"/>
  <c r="AF25" i="4"/>
  <c r="AF27" i="4"/>
  <c r="AF28" i="4"/>
  <c r="AF29" i="4"/>
  <c r="AF30" i="4"/>
  <c r="AF31" i="4"/>
  <c r="AF32" i="4"/>
  <c r="AF33" i="4"/>
  <c r="AF34" i="4"/>
  <c r="AF35" i="4"/>
  <c r="AF36" i="4"/>
  <c r="AF37" i="4"/>
  <c r="AF38" i="4"/>
  <c r="AF39" i="4"/>
  <c r="AF40" i="4"/>
  <c r="AF41" i="4"/>
  <c r="AF42" i="4"/>
  <c r="AF43" i="4"/>
  <c r="AF44" i="4"/>
  <c r="AF45" i="4"/>
  <c r="AF46" i="4"/>
  <c r="AF47" i="4"/>
  <c r="AF48" i="4"/>
  <c r="AF49" i="4"/>
  <c r="AF50" i="4"/>
  <c r="AF52" i="4"/>
  <c r="AF53" i="4"/>
  <c r="AF54" i="4"/>
  <c r="AF55" i="4"/>
  <c r="AF56" i="4"/>
  <c r="AF57" i="4"/>
  <c r="AF58" i="4"/>
  <c r="AF59" i="4"/>
  <c r="AF60" i="4"/>
  <c r="AF61" i="4"/>
  <c r="AF62" i="4"/>
  <c r="AF63" i="4"/>
  <c r="AF64" i="4"/>
  <c r="AF65" i="4"/>
  <c r="AF66" i="4"/>
  <c r="AF68" i="4"/>
  <c r="AF70" i="4"/>
  <c r="AF72" i="4"/>
  <c r="AF73" i="4"/>
  <c r="AF74" i="4"/>
  <c r="AF75" i="4"/>
  <c r="AF76" i="4"/>
  <c r="AF77" i="4"/>
  <c r="AF78" i="4"/>
  <c r="AF79" i="4"/>
  <c r="AF80" i="4"/>
  <c r="AF81" i="4"/>
  <c r="AF82" i="4"/>
  <c r="AF83" i="4"/>
  <c r="AF84" i="4"/>
  <c r="AF85" i="4"/>
  <c r="AF86" i="4"/>
  <c r="AF87" i="4"/>
  <c r="AF88" i="4"/>
  <c r="AF89" i="4"/>
  <c r="AF90" i="4"/>
  <c r="AF91" i="4"/>
  <c r="AF92" i="4"/>
  <c r="AF93" i="4"/>
  <c r="AF94" i="4"/>
  <c r="AF95" i="4"/>
  <c r="AF96" i="4"/>
  <c r="AF97" i="4"/>
  <c r="AF98" i="4"/>
  <c r="AF99" i="4"/>
  <c r="AF100" i="4"/>
  <c r="AF101" i="4"/>
  <c r="AF102" i="4"/>
  <c r="AF103" i="4"/>
  <c r="AF104" i="4"/>
  <c r="AF105" i="4"/>
  <c r="AF106" i="4"/>
  <c r="AF107" i="4"/>
  <c r="AF108" i="4"/>
  <c r="AF109" i="4"/>
  <c r="AF110" i="4"/>
  <c r="AF111" i="4"/>
  <c r="AF112" i="4"/>
  <c r="AF113" i="4"/>
  <c r="AF114" i="4"/>
  <c r="AF115" i="4"/>
  <c r="AF116" i="4"/>
  <c r="AA117" i="4"/>
  <c r="AB117" i="4"/>
  <c r="AA118" i="4"/>
  <c r="AB118" i="4"/>
  <c r="AG119" i="4"/>
  <c r="Z119" i="4"/>
  <c r="Y119" i="4"/>
  <c r="X119" i="4"/>
  <c r="W119" i="4"/>
  <c r="U119" i="4"/>
  <c r="T119" i="4"/>
  <c r="S119" i="4"/>
  <c r="R119" i="4"/>
  <c r="Q119" i="4"/>
  <c r="P119" i="4"/>
  <c r="O119" i="4"/>
  <c r="M119" i="4"/>
  <c r="K119" i="4"/>
  <c r="B117" i="4"/>
  <c r="B118" i="4"/>
  <c r="V125" i="4"/>
  <c r="V126" i="4"/>
  <c r="AA126" i="4" s="1"/>
  <c r="V100" i="4"/>
  <c r="AA100" i="4" s="1"/>
  <c r="AB100" i="4" s="1"/>
  <c r="V99" i="4"/>
  <c r="AA99" i="4"/>
  <c r="AB99" i="4" s="1"/>
  <c r="V96" i="4"/>
  <c r="V95" i="4"/>
  <c r="AA95" i="4" s="1"/>
  <c r="AB95" i="4" s="1"/>
  <c r="V91" i="4"/>
  <c r="AA91" i="4" s="1"/>
  <c r="AB91" i="4" s="1"/>
  <c r="V89" i="4"/>
  <c r="AA89" i="4"/>
  <c r="AB89" i="4" s="1"/>
  <c r="V82" i="4"/>
  <c r="V81" i="4"/>
  <c r="AA81" i="4" s="1"/>
  <c r="AB81" i="4" s="1"/>
  <c r="V80" i="4"/>
  <c r="V78" i="4"/>
  <c r="AA78" i="4"/>
  <c r="AB78" i="4" s="1"/>
  <c r="V76" i="4"/>
  <c r="V70" i="4"/>
  <c r="AA70" i="4" s="1"/>
  <c r="AB70" i="4" s="1"/>
  <c r="V127" i="4"/>
  <c r="V121" i="4"/>
  <c r="V23" i="4"/>
  <c r="AA23" i="4" s="1"/>
  <c r="V24" i="4"/>
  <c r="V25" i="4"/>
  <c r="AA25" i="4" s="1"/>
  <c r="AB25" i="4" s="1"/>
  <c r="V27" i="4"/>
  <c r="AA27" i="4"/>
  <c r="AB27" i="4" s="1"/>
  <c r="V28" i="4"/>
  <c r="V29" i="4"/>
  <c r="AA29" i="4" s="1"/>
  <c r="AB29" i="4" s="1"/>
  <c r="V30" i="4"/>
  <c r="AA30" i="4" s="1"/>
  <c r="AB30" i="4" s="1"/>
  <c r="V31" i="4"/>
  <c r="V32" i="4"/>
  <c r="AA32" i="4" s="1"/>
  <c r="AB32" i="4" s="1"/>
  <c r="V41" i="4"/>
  <c r="V42" i="4"/>
  <c r="AA42" i="4" s="1"/>
  <c r="AB42" i="4" s="1"/>
  <c r="V44" i="4"/>
  <c r="V46" i="4"/>
  <c r="AA46" i="4" s="1"/>
  <c r="AB46" i="4" s="1"/>
  <c r="V48" i="4"/>
  <c r="V50" i="4"/>
  <c r="V55" i="4"/>
  <c r="AA55" i="4"/>
  <c r="AB55" i="4" s="1"/>
  <c r="V59" i="4"/>
  <c r="AA59" i="4" s="1"/>
  <c r="AB59" i="4" s="1"/>
  <c r="V60" i="4"/>
  <c r="AA60" i="4" s="1"/>
  <c r="AB60" i="4" s="1"/>
  <c r="V61" i="4"/>
  <c r="AA61" i="4" s="1"/>
  <c r="AB61" i="4" s="1"/>
  <c r="V62" i="4"/>
  <c r="AA62" i="4"/>
  <c r="AB62" i="4" s="1"/>
  <c r="V63" i="4"/>
  <c r="V64" i="4"/>
  <c r="AA64" i="4" s="1"/>
  <c r="AB64" i="4" s="1"/>
  <c r="V65" i="4"/>
  <c r="AA65" i="4" s="1"/>
  <c r="AB65" i="4" s="1"/>
  <c r="V66" i="4"/>
  <c r="AA66" i="4"/>
  <c r="AB66" i="4" s="1"/>
  <c r="V68" i="4"/>
  <c r="V73" i="4"/>
  <c r="AA73" i="4" s="1"/>
  <c r="AB73" i="4" s="1"/>
  <c r="V74" i="4"/>
  <c r="AA74" i="4" s="1"/>
  <c r="AB74" i="4" s="1"/>
  <c r="V77" i="4"/>
  <c r="AA77" i="4"/>
  <c r="AB77" i="4" s="1"/>
  <c r="V79" i="4"/>
  <c r="V84" i="4"/>
  <c r="AA84" i="4" s="1"/>
  <c r="AB84" i="4" s="1"/>
  <c r="V86" i="4"/>
  <c r="V87" i="4"/>
  <c r="AA87" i="4"/>
  <c r="AB87" i="4" s="1"/>
  <c r="V93" i="4"/>
  <c r="V97" i="4"/>
  <c r="AA97" i="4" s="1"/>
  <c r="AB97" i="4" s="1"/>
  <c r="V98" i="4"/>
  <c r="V17" i="4"/>
  <c r="V119" i="4"/>
  <c r="AA18" i="4"/>
  <c r="AB18" i="4"/>
  <c r="AH18" i="4"/>
  <c r="B18" i="4"/>
  <c r="AG111" i="4"/>
  <c r="AG110" i="4"/>
  <c r="AG109" i="4"/>
  <c r="AG29" i="4"/>
  <c r="AG23" i="4"/>
  <c r="K123" i="4"/>
  <c r="K130" i="4"/>
  <c r="AG129" i="4"/>
  <c r="AA20" i="4"/>
  <c r="AB20" i="4"/>
  <c r="AA21" i="4"/>
  <c r="AB21" i="4"/>
  <c r="AA22" i="4"/>
  <c r="AB22" i="4"/>
  <c r="AA24" i="4"/>
  <c r="AB24" i="4"/>
  <c r="AA112" i="4"/>
  <c r="AB112" i="4"/>
  <c r="AA113" i="4"/>
  <c r="AB113" i="4"/>
  <c r="AA114" i="4"/>
  <c r="AB114" i="4"/>
  <c r="AA115" i="4"/>
  <c r="AB115" i="4"/>
  <c r="AA116" i="4"/>
  <c r="AB116" i="4"/>
  <c r="B101" i="4"/>
  <c r="B102" i="4"/>
  <c r="B103" i="4"/>
  <c r="B104" i="4"/>
  <c r="AG108" i="4"/>
  <c r="AG107" i="4"/>
  <c r="AG105" i="4"/>
  <c r="AG104" i="4"/>
  <c r="AG32" i="4"/>
  <c r="AG102" i="4"/>
  <c r="AG101" i="4"/>
  <c r="B94" i="4"/>
  <c r="M93" i="4"/>
  <c r="K93" i="4"/>
  <c r="AH94" i="4"/>
  <c r="AG93" i="4"/>
  <c r="AA94" i="4"/>
  <c r="AB94" i="4"/>
  <c r="B88" i="4"/>
  <c r="AH88" i="4"/>
  <c r="AG87" i="4"/>
  <c r="AA88" i="4"/>
  <c r="AB88" i="4"/>
  <c r="M87" i="4"/>
  <c r="K87" i="4"/>
  <c r="B59" i="4"/>
  <c r="AH59" i="4"/>
  <c r="M58" i="4"/>
  <c r="K58" i="4"/>
  <c r="AA57" i="4"/>
  <c r="AB57" i="4"/>
  <c r="T56" i="4"/>
  <c r="AH57" i="4"/>
  <c r="AG56" i="4"/>
  <c r="K56" i="4"/>
  <c r="M56" i="4"/>
  <c r="B57" i="4"/>
  <c r="AH54" i="4"/>
  <c r="AA54" i="4"/>
  <c r="AB54" i="4"/>
  <c r="T53" i="4"/>
  <c r="AG53" i="4"/>
  <c r="M53" i="4"/>
  <c r="K53" i="4"/>
  <c r="B54" i="4"/>
  <c r="AH49" i="4"/>
  <c r="AG48" i="4"/>
  <c r="K48" i="4"/>
  <c r="B48" i="4"/>
  <c r="B49" i="4"/>
  <c r="AH47" i="4"/>
  <c r="AG46" i="4"/>
  <c r="AA31" i="4"/>
  <c r="AB31" i="4"/>
  <c r="AA33" i="4"/>
  <c r="AB33" i="4"/>
  <c r="AA34" i="4"/>
  <c r="AB34" i="4"/>
  <c r="AA35" i="4"/>
  <c r="AA36" i="4"/>
  <c r="AB36" i="4"/>
  <c r="AA37" i="4"/>
  <c r="AB37" i="4"/>
  <c r="AA38" i="4"/>
  <c r="AB38" i="4"/>
  <c r="AA39" i="4"/>
  <c r="AB39" i="4"/>
  <c r="AA40" i="4"/>
  <c r="AB40" i="4"/>
  <c r="AA41" i="4"/>
  <c r="AB41" i="4" s="1"/>
  <c r="AA43" i="4"/>
  <c r="AB43" i="4"/>
  <c r="AA44" i="4"/>
  <c r="AB44" i="4" s="1"/>
  <c r="AA45" i="4"/>
  <c r="AB45" i="4"/>
  <c r="AA47" i="4"/>
  <c r="AB47" i="4"/>
  <c r="AA48" i="4"/>
  <c r="AB48" i="4" s="1"/>
  <c r="K46" i="4"/>
  <c r="B46" i="4"/>
  <c r="AH45" i="4"/>
  <c r="AG44" i="4"/>
  <c r="K44" i="4"/>
  <c r="B44" i="4"/>
  <c r="AH43" i="4"/>
  <c r="AG42" i="4"/>
  <c r="AH42" i="4"/>
  <c r="K42" i="4"/>
  <c r="B30" i="4"/>
  <c r="AH30" i="4"/>
  <c r="K29" i="4"/>
  <c r="B40" i="4"/>
  <c r="B41" i="4"/>
  <c r="B42" i="4"/>
  <c r="B43" i="4"/>
  <c r="AH40" i="4"/>
  <c r="AG39" i="4"/>
  <c r="K39" i="4"/>
  <c r="AG37" i="4"/>
  <c r="AH38" i="4"/>
  <c r="AH39" i="4"/>
  <c r="K37" i="4"/>
  <c r="M35" i="4"/>
  <c r="AG35" i="4"/>
  <c r="AH36" i="4"/>
  <c r="K35" i="4"/>
  <c r="B34" i="4"/>
  <c r="B35" i="4"/>
  <c r="B36" i="4"/>
  <c r="B37" i="4"/>
  <c r="B38" i="4"/>
  <c r="B39" i="4"/>
  <c r="B45" i="4"/>
  <c r="B47" i="4"/>
  <c r="B50" i="4"/>
  <c r="AH34" i="4"/>
  <c r="AG33" i="4"/>
  <c r="K33" i="4"/>
  <c r="B22" i="4"/>
  <c r="B23" i="4"/>
  <c r="AH20" i="4"/>
  <c r="AH22" i="4"/>
  <c r="AH23" i="4"/>
  <c r="AH24" i="4"/>
  <c r="AH25" i="4"/>
  <c r="AH27" i="4"/>
  <c r="AG21" i="4"/>
  <c r="AH21" i="4"/>
  <c r="K21" i="4"/>
  <c r="B21" i="4"/>
  <c r="AF17" i="4"/>
  <c r="AG19" i="4"/>
  <c r="K19" i="4"/>
  <c r="B20" i="4"/>
  <c r="B19" i="4"/>
  <c r="AB35" i="4"/>
  <c r="K139" i="4"/>
  <c r="U58" i="4"/>
  <c r="AA58" i="4"/>
  <c r="M32" i="4"/>
  <c r="K32" i="4"/>
  <c r="K132" i="4"/>
  <c r="K138" i="4"/>
  <c r="K36" i="1"/>
  <c r="K31" i="1"/>
  <c r="K43" i="1"/>
  <c r="B16" i="4"/>
  <c r="B124" i="4"/>
  <c r="AH112" i="4"/>
  <c r="AH113" i="4"/>
  <c r="AH114" i="4"/>
  <c r="AH115" i="4"/>
  <c r="AH116" i="4"/>
  <c r="B112" i="4"/>
  <c r="B113" i="4"/>
  <c r="B114" i="4"/>
  <c r="B115" i="4"/>
  <c r="B116" i="4"/>
  <c r="AB58" i="4"/>
  <c r="AI119" i="4"/>
  <c r="AH29" i="4"/>
  <c r="AH28" i="4"/>
  <c r="AH31" i="4"/>
  <c r="AH32" i="4"/>
  <c r="AH33" i="4"/>
  <c r="AH35" i="4"/>
  <c r="AH37" i="4"/>
  <c r="AH129" i="4"/>
  <c r="AH128" i="4"/>
  <c r="AH127" i="4"/>
  <c r="AH126" i="4"/>
  <c r="AH125" i="4"/>
  <c r="AH122" i="4"/>
  <c r="AH121" i="4"/>
  <c r="AH19" i="4"/>
  <c r="AH41" i="4"/>
  <c r="AH44" i="4"/>
  <c r="AH46" i="4"/>
  <c r="AH48" i="4"/>
  <c r="AH50" i="4"/>
  <c r="AH55" i="4"/>
  <c r="AH58" i="4"/>
  <c r="AH60" i="4"/>
  <c r="AH61" i="4"/>
  <c r="AH62" i="4"/>
  <c r="AH63" i="4"/>
  <c r="AH64" i="4"/>
  <c r="AH65" i="4"/>
  <c r="AH66" i="4"/>
  <c r="AH68" i="4"/>
  <c r="AH70" i="4"/>
  <c r="AH72" i="4"/>
  <c r="AH73" i="4"/>
  <c r="AH74" i="4"/>
  <c r="AH75" i="4"/>
  <c r="AH76" i="4"/>
  <c r="AH77" i="4"/>
  <c r="AH78" i="4"/>
  <c r="AH79" i="4"/>
  <c r="AH80" i="4"/>
  <c r="AH81" i="4"/>
  <c r="AH82" i="4"/>
  <c r="AH83" i="4"/>
  <c r="AH84" i="4"/>
  <c r="AH85" i="4"/>
  <c r="AH86" i="4"/>
  <c r="AH87" i="4"/>
  <c r="AH89" i="4"/>
  <c r="AH90" i="4"/>
  <c r="AH91" i="4"/>
  <c r="AH92" i="4"/>
  <c r="AH93" i="4"/>
  <c r="AH95" i="4"/>
  <c r="AH96" i="4"/>
  <c r="AH97" i="4"/>
  <c r="AH98" i="4"/>
  <c r="AH99" i="4"/>
  <c r="AH100" i="4"/>
  <c r="AH101" i="4"/>
  <c r="AH102" i="4"/>
  <c r="AH103" i="4"/>
  <c r="AH104" i="4"/>
  <c r="AH105" i="4"/>
  <c r="AH106" i="4"/>
  <c r="AH107" i="4"/>
  <c r="AH108" i="4"/>
  <c r="AH109" i="4"/>
  <c r="AH110" i="4"/>
  <c r="AH111" i="4"/>
  <c r="AH17" i="4"/>
  <c r="AH35" i="1"/>
  <c r="AH34" i="1"/>
  <c r="AH33" i="1"/>
  <c r="AA56" i="4"/>
  <c r="AA127" i="4"/>
  <c r="AB127" i="4" s="1"/>
  <c r="AA125" i="4"/>
  <c r="AA19" i="4"/>
  <c r="AA28" i="4"/>
  <c r="AB28" i="4" s="1"/>
  <c r="AA50" i="4"/>
  <c r="AB50" i="4" s="1"/>
  <c r="AA52" i="4"/>
  <c r="AB52" i="4"/>
  <c r="AA63" i="4"/>
  <c r="AB63" i="4" s="1"/>
  <c r="AA68" i="4"/>
  <c r="AB68" i="4" s="1"/>
  <c r="AA72" i="4"/>
  <c r="AB72" i="4"/>
  <c r="AA75" i="4"/>
  <c r="AB75" i="4"/>
  <c r="AA76" i="4"/>
  <c r="AB76" i="4" s="1"/>
  <c r="AA79" i="4"/>
  <c r="AB79" i="4" s="1"/>
  <c r="AA80" i="4"/>
  <c r="AB80" i="4" s="1"/>
  <c r="AA82" i="4"/>
  <c r="AB82" i="4" s="1"/>
  <c r="AA83" i="4"/>
  <c r="AB83" i="4"/>
  <c r="AA85" i="4"/>
  <c r="AB85" i="4"/>
  <c r="AA86" i="4"/>
  <c r="AB86" i="4" s="1"/>
  <c r="AA90" i="4"/>
  <c r="AB90" i="4"/>
  <c r="AA92" i="4"/>
  <c r="AB92" i="4"/>
  <c r="AA93" i="4"/>
  <c r="AB93" i="4" s="1"/>
  <c r="AA96" i="4"/>
  <c r="AB96" i="4" s="1"/>
  <c r="AA98" i="4"/>
  <c r="AB98" i="4" s="1"/>
  <c r="T123" i="4"/>
  <c r="AA34" i="1"/>
  <c r="AB34" i="1"/>
  <c r="AA35" i="1"/>
  <c r="AB35" i="1"/>
  <c r="AG36" i="1"/>
  <c r="AG31" i="1"/>
  <c r="AG24" i="1"/>
  <c r="AG130" i="4"/>
  <c r="AI130" i="4"/>
  <c r="AF126" i="4"/>
  <c r="AF127" i="4"/>
  <c r="AF128" i="4"/>
  <c r="AF129" i="4"/>
  <c r="AF125" i="4"/>
  <c r="B128" i="4"/>
  <c r="AG123" i="4"/>
  <c r="B138" i="4"/>
  <c r="AA103" i="4"/>
  <c r="AB103" i="4"/>
  <c r="AA104" i="4"/>
  <c r="AB104" i="4"/>
  <c r="AA105" i="4"/>
  <c r="AB105" i="4"/>
  <c r="AA106" i="4"/>
  <c r="AB106" i="4"/>
  <c r="AA107" i="4"/>
  <c r="AB107" i="4"/>
  <c r="B105" i="4"/>
  <c r="B106" i="4"/>
  <c r="B107" i="4"/>
  <c r="B108" i="4"/>
  <c r="AH56" i="4"/>
  <c r="B132" i="4"/>
  <c r="Z130" i="4"/>
  <c r="Y130" i="4"/>
  <c r="X130" i="4"/>
  <c r="W130" i="4"/>
  <c r="V130" i="4"/>
  <c r="U130" i="4"/>
  <c r="S130" i="4"/>
  <c r="R130" i="4"/>
  <c r="Q130" i="4"/>
  <c r="P130" i="4"/>
  <c r="O130" i="4"/>
  <c r="M130" i="4"/>
  <c r="AA129" i="4"/>
  <c r="AB129" i="4"/>
  <c r="AA122" i="4"/>
  <c r="AB122" i="4"/>
  <c r="B126" i="4"/>
  <c r="B127" i="4"/>
  <c r="B129" i="4"/>
  <c r="B125" i="4"/>
  <c r="Z123" i="4"/>
  <c r="Z139" i="4"/>
  <c r="Y123" i="4"/>
  <c r="Y139" i="4"/>
  <c r="X123" i="4"/>
  <c r="X139" i="4"/>
  <c r="W123" i="4"/>
  <c r="W139" i="4"/>
  <c r="V123" i="4"/>
  <c r="U123" i="4"/>
  <c r="U139" i="4"/>
  <c r="S123" i="4"/>
  <c r="R123" i="4"/>
  <c r="Q123" i="4"/>
  <c r="P123" i="4"/>
  <c r="O123" i="4"/>
  <c r="M123" i="4"/>
  <c r="M132" i="4"/>
  <c r="M139" i="4"/>
  <c r="B122" i="4"/>
  <c r="B121" i="4"/>
  <c r="Z132" i="4"/>
  <c r="AA53" i="4"/>
  <c r="AB53" i="4"/>
  <c r="AA101" i="4"/>
  <c r="AB101" i="4"/>
  <c r="AA102" i="4"/>
  <c r="AB102" i="4"/>
  <c r="AA108" i="4"/>
  <c r="AB108" i="4"/>
  <c r="AA109" i="4"/>
  <c r="AB109" i="4"/>
  <c r="AA110" i="4"/>
  <c r="AB110" i="4"/>
  <c r="AA111" i="4"/>
  <c r="AB111" i="4"/>
  <c r="B24" i="4"/>
  <c r="B25" i="4"/>
  <c r="B27" i="4"/>
  <c r="B28" i="4"/>
  <c r="B29" i="4"/>
  <c r="B31" i="4"/>
  <c r="B32" i="4"/>
  <c r="B33" i="4"/>
  <c r="B52" i="4"/>
  <c r="B53" i="4"/>
  <c r="B55" i="4"/>
  <c r="B56" i="4"/>
  <c r="B58" i="4"/>
  <c r="B60" i="4"/>
  <c r="B61" i="4"/>
  <c r="B62" i="4"/>
  <c r="B63" i="4"/>
  <c r="B64" i="4"/>
  <c r="B65" i="4"/>
  <c r="B66" i="4"/>
  <c r="B68" i="4"/>
  <c r="B70" i="4"/>
  <c r="B72" i="4"/>
  <c r="B73" i="4"/>
  <c r="B74" i="4"/>
  <c r="B75" i="4"/>
  <c r="B76" i="4"/>
  <c r="B77" i="4"/>
  <c r="B78" i="4"/>
  <c r="B79" i="4"/>
  <c r="B80" i="4"/>
  <c r="B81" i="4"/>
  <c r="B82" i="4"/>
  <c r="B83" i="4"/>
  <c r="B84" i="4"/>
  <c r="B85" i="4"/>
  <c r="B86" i="4"/>
  <c r="B87" i="4"/>
  <c r="B89" i="4"/>
  <c r="B90" i="4"/>
  <c r="B91" i="4"/>
  <c r="B92" i="4"/>
  <c r="B93" i="4"/>
  <c r="B95" i="4"/>
  <c r="B96" i="4"/>
  <c r="B97" i="4"/>
  <c r="B98" i="4"/>
  <c r="B99" i="4"/>
  <c r="B100" i="4"/>
  <c r="B109" i="4"/>
  <c r="B110" i="4"/>
  <c r="B111" i="4"/>
  <c r="B17" i="4"/>
  <c r="B43" i="1"/>
  <c r="AA26" i="1"/>
  <c r="AB26" i="1"/>
  <c r="AA27" i="1"/>
  <c r="AB27" i="1"/>
  <c r="AA28" i="1"/>
  <c r="AB28" i="1"/>
  <c r="AA30" i="1"/>
  <c r="AB30" i="1"/>
  <c r="Z36" i="1"/>
  <c r="Y36" i="1"/>
  <c r="X36" i="1"/>
  <c r="W36" i="1"/>
  <c r="V36" i="1"/>
  <c r="U36" i="1"/>
  <c r="T36" i="1"/>
  <c r="S36" i="1"/>
  <c r="R36" i="1"/>
  <c r="Q36" i="1"/>
  <c r="P36" i="1"/>
  <c r="O36" i="1"/>
  <c r="M36" i="1"/>
  <c r="B38" i="1"/>
  <c r="Z24" i="1"/>
  <c r="Y24" i="1"/>
  <c r="X24" i="1"/>
  <c r="W24" i="1"/>
  <c r="V24" i="1"/>
  <c r="U24" i="1"/>
  <c r="T24" i="1"/>
  <c r="S24" i="1"/>
  <c r="R24" i="1"/>
  <c r="Q24" i="1"/>
  <c r="P24" i="1"/>
  <c r="Z31" i="1"/>
  <c r="Y31" i="1"/>
  <c r="X31" i="1"/>
  <c r="W31" i="1"/>
  <c r="V31" i="1"/>
  <c r="U31" i="1"/>
  <c r="T31" i="1"/>
  <c r="S31" i="1"/>
  <c r="R31" i="1"/>
  <c r="Q31" i="1"/>
  <c r="P31" i="1"/>
  <c r="O31" i="1"/>
  <c r="M31" i="1"/>
  <c r="AA18" i="1"/>
  <c r="AB18" i="1"/>
  <c r="AA19" i="1"/>
  <c r="AB19" i="1"/>
  <c r="AA20" i="1"/>
  <c r="AB20" i="1"/>
  <c r="AA21" i="1"/>
  <c r="AB21" i="1"/>
  <c r="AA22" i="1"/>
  <c r="AB22" i="1"/>
  <c r="AA23" i="1"/>
  <c r="AB23" i="1"/>
  <c r="AA17" i="1"/>
  <c r="AB17" i="1"/>
  <c r="AA33" i="1"/>
  <c r="AB33" i="1"/>
  <c r="O24" i="1"/>
  <c r="V44" i="1"/>
  <c r="AB31" i="1"/>
  <c r="P44" i="1"/>
  <c r="R44" i="1"/>
  <c r="T44" i="1"/>
  <c r="X44" i="1"/>
  <c r="Z44" i="1"/>
  <c r="Q44" i="1"/>
  <c r="S44" i="1"/>
  <c r="U44" i="1"/>
  <c r="W44" i="1"/>
  <c r="Y44" i="1"/>
  <c r="AH119" i="4"/>
  <c r="S132" i="4"/>
  <c r="B119" i="4"/>
  <c r="Y132" i="4"/>
  <c r="AG132" i="4"/>
  <c r="O139" i="4"/>
  <c r="Q139" i="4"/>
  <c r="S139" i="4"/>
  <c r="X132" i="4"/>
  <c r="B123" i="4"/>
  <c r="B130" i="4"/>
  <c r="AH123" i="4"/>
  <c r="AH130" i="4"/>
  <c r="W132" i="4"/>
  <c r="O132" i="4"/>
  <c r="P139" i="4"/>
  <c r="P132" i="4"/>
  <c r="R132" i="4"/>
  <c r="R139" i="4"/>
  <c r="Q132" i="4"/>
  <c r="AH24" i="1"/>
  <c r="AH36" i="1"/>
  <c r="K145" i="4"/>
  <c r="AB56" i="4"/>
  <c r="U132" i="4"/>
  <c r="U137" i="4"/>
  <c r="S38" i="1"/>
  <c r="W38" i="1"/>
  <c r="L43" i="1"/>
  <c r="R38" i="1"/>
  <c r="Z38" i="1"/>
  <c r="AG38" i="1"/>
  <c r="B36" i="1"/>
  <c r="Q38" i="1"/>
  <c r="U38" i="1"/>
  <c r="Y38" i="1"/>
  <c r="O38" i="1"/>
  <c r="M38" i="1"/>
  <c r="AH31" i="1"/>
  <c r="P38" i="1"/>
  <c r="T38" i="1"/>
  <c r="X38" i="1"/>
  <c r="AA36" i="1"/>
  <c r="B31" i="1"/>
  <c r="V38" i="1"/>
  <c r="AB24" i="1"/>
  <c r="AB36" i="1"/>
  <c r="AA24" i="1"/>
  <c r="B24" i="1"/>
  <c r="K38" i="1"/>
  <c r="AA31" i="1"/>
  <c r="L138" i="4"/>
  <c r="AA121" i="4"/>
  <c r="AA123" i="4"/>
  <c r="T130" i="4"/>
  <c r="AB19" i="4"/>
  <c r="AB125" i="4"/>
  <c r="M44" i="1"/>
  <c r="AB42" i="1"/>
  <c r="AB44" i="1"/>
  <c r="AA44" i="1"/>
  <c r="AH132" i="4"/>
  <c r="AI132" i="4"/>
  <c r="T139" i="4"/>
  <c r="C138" i="4"/>
  <c r="L145" i="4"/>
  <c r="AH38" i="1"/>
  <c r="AI38" i="1"/>
  <c r="AB38" i="1"/>
  <c r="AA38" i="1"/>
  <c r="M43" i="1"/>
  <c r="AB121" i="4"/>
  <c r="AB123" i="4" s="1"/>
  <c r="T132" i="4"/>
  <c r="AA50" i="14"/>
  <c r="F93" i="14" s="1"/>
  <c r="V60" i="14"/>
  <c r="U60" i="14"/>
  <c r="D85" i="14"/>
  <c r="D95" i="14"/>
  <c r="E94" i="14"/>
  <c r="E85" i="14"/>
  <c r="E95" i="14" s="1"/>
  <c r="AA28" i="14"/>
  <c r="AA25" i="14"/>
  <c r="F87" i="14"/>
  <c r="AA31" i="14"/>
  <c r="F90" i="14" s="1"/>
  <c r="V66" i="14"/>
  <c r="Q66" i="14"/>
  <c r="Y66" i="14"/>
  <c r="AA19" i="14"/>
  <c r="F85" i="14" s="1"/>
  <c r="F95" i="14" s="1"/>
  <c r="AA40" i="14"/>
  <c r="V132" i="4"/>
  <c r="V137" i="4" s="1"/>
  <c r="AA17" i="4"/>
  <c r="AB17" i="4"/>
  <c r="E115" i="14" l="1"/>
  <c r="AH60" i="14"/>
  <c r="AB60" i="14"/>
  <c r="W66" i="14"/>
  <c r="O66" i="14"/>
  <c r="AA22" i="14"/>
  <c r="T66" i="14"/>
  <c r="T67" i="14" s="1"/>
  <c r="K60" i="14"/>
  <c r="K65" i="14" s="1"/>
  <c r="S60" i="14"/>
  <c r="M60" i="14"/>
  <c r="C93" i="14"/>
  <c r="C95" i="14" s="1"/>
  <c r="AG60" i="14"/>
  <c r="Z66" i="14"/>
  <c r="P66" i="14"/>
  <c r="AA43" i="14"/>
  <c r="B65" i="14"/>
  <c r="AA54" i="14"/>
  <c r="F94" i="14" s="1"/>
  <c r="L56" i="12"/>
  <c r="M57" i="12"/>
  <c r="AB55" i="12"/>
  <c r="X57" i="12"/>
  <c r="S57" i="12"/>
  <c r="Q57" i="12"/>
  <c r="Q50" i="12"/>
  <c r="Z57" i="12"/>
  <c r="Z50" i="12"/>
  <c r="AB50" i="12"/>
  <c r="AG50" i="12"/>
  <c r="AI50" i="12" s="1"/>
  <c r="AA42" i="12"/>
  <c r="AA45" i="12" s="1"/>
  <c r="T50" i="12"/>
  <c r="B50" i="12"/>
  <c r="AI42" i="12"/>
  <c r="X50" i="12"/>
  <c r="P50" i="12"/>
  <c r="W50" i="12"/>
  <c r="T57" i="12"/>
  <c r="V139" i="4"/>
  <c r="AA139" i="4" s="1"/>
  <c r="AB139" i="4" s="1"/>
  <c r="AB35" i="15"/>
  <c r="AA35" i="15"/>
  <c r="M41" i="15" s="1"/>
  <c r="M47" i="15" s="1"/>
  <c r="AB126" i="4"/>
  <c r="AB130" i="4" s="1"/>
  <c r="AA130" i="4"/>
  <c r="AA119" i="4"/>
  <c r="AA132" i="4" s="1"/>
  <c r="M138" i="4" s="1"/>
  <c r="AB23" i="4"/>
  <c r="AB119" i="4" s="1"/>
  <c r="AI60" i="14" l="1"/>
  <c r="AB64" i="14"/>
  <c r="L65" i="14"/>
  <c r="AA66" i="14"/>
  <c r="AB66" i="14" s="1"/>
  <c r="F89" i="14"/>
  <c r="AA60" i="14"/>
  <c r="M65" i="14" s="1"/>
  <c r="AA57" i="12"/>
  <c r="AA50" i="12"/>
  <c r="M56" i="12" s="1"/>
  <c r="AB132" i="4"/>
  <c r="AA59" i="12" l="1"/>
  <c r="AB57" i="12"/>
</calcChain>
</file>

<file path=xl/sharedStrings.xml><?xml version="1.0" encoding="utf-8"?>
<sst xmlns="http://schemas.openxmlformats.org/spreadsheetml/2006/main" count="2211" uniqueCount="389">
  <si>
    <t>Nombre del Proceso</t>
  </si>
  <si>
    <t>Direccionamiento Estratégico</t>
  </si>
  <si>
    <t>Código</t>
  </si>
  <si>
    <t xml:space="preserve">    DE-F08</t>
  </si>
  <si>
    <t>Nombre del Formato</t>
  </si>
  <si>
    <t xml:space="preserve">PLAN DE ACCIÓN PRESUPUESTO DE INVERSIÓN </t>
  </si>
  <si>
    <t>Versión</t>
  </si>
  <si>
    <t>Plan de Desarrollo Bogotá Mejor Para Todos</t>
  </si>
  <si>
    <t>Proyecto Entidad: 1024  Formación en patrimonio cultural</t>
  </si>
  <si>
    <t xml:space="preserve">RESPONSABLE: </t>
  </si>
  <si>
    <t>Subdirectora de Divulgación</t>
  </si>
  <si>
    <t xml:space="preserve">OBJETIVO: </t>
  </si>
  <si>
    <t>Formar estudiantes y docentes que apropien, valoren, conserven y divulguen el patrimonio cultural de la ciudad.</t>
  </si>
  <si>
    <t xml:space="preserve">ESTRATEGIA: </t>
  </si>
  <si>
    <t>Permitir a la ciudadanía de las zonas urbanas y rurales, mejores oportunidades para su desarrollo en condiciones de igualdad.</t>
  </si>
  <si>
    <t xml:space="preserve">Fecha de Actualización:  </t>
  </si>
  <si>
    <t xml:space="preserve">Modificaciones: </t>
  </si>
  <si>
    <t xml:space="preserve">3-3-1-15-1-11-1024-124 </t>
  </si>
  <si>
    <t xml:space="preserve">Componentes </t>
  </si>
  <si>
    <t>Presupuesto</t>
  </si>
  <si>
    <t>Fuente</t>
  </si>
  <si>
    <t>Concepto de Gasto</t>
  </si>
  <si>
    <t>Meta Plan de Desarrollo         2016-2020</t>
  </si>
  <si>
    <t>Meta Entidad 2018</t>
  </si>
  <si>
    <t>Producto PMR</t>
  </si>
  <si>
    <t>Valor CDP's</t>
  </si>
  <si>
    <t>Valor CRP's</t>
  </si>
  <si>
    <t>Valor total Giros</t>
  </si>
  <si>
    <t>01- Recursos del Distrito - 12 Otros Distrito</t>
  </si>
  <si>
    <t>4-01-0187 - Actividades De Formación En Arte, Cultura, Patrimonio, Recreación Y Deporte</t>
  </si>
  <si>
    <t>12. Formación en Cátedra de Patrimonio en colegios distritales</t>
  </si>
  <si>
    <t>Formación en catedra de patrimonio en colegios del distrito capital</t>
  </si>
  <si>
    <t>Saldo</t>
  </si>
  <si>
    <t>Atender 4.343 formadores en las áreas de patrimonio, artes, recreación y deporte</t>
  </si>
  <si>
    <t>Formación a docentes</t>
  </si>
  <si>
    <t>Realizar 20 procesos de investigación, sistematización y memoria</t>
  </si>
  <si>
    <t>Sistematizar 1 experiencias de la formación a niños/as, adolescentes y docentes en patrimonio cultural.</t>
  </si>
  <si>
    <t>Sistematización de la experiencia</t>
  </si>
  <si>
    <t>Programacion PMR</t>
  </si>
  <si>
    <t>Indique el PMR</t>
  </si>
  <si>
    <t>DE-F-6 V2 XX/09/2017</t>
  </si>
  <si>
    <t>1107. Divulgación y apropiación del patrimonio cultural del Distrito Capital</t>
  </si>
  <si>
    <t>Fomentar el sentido de pertenencia por el patrimonio cultural de la ciudad, como factor de desarrollo socio - cultural de la ciudadanía.</t>
  </si>
  <si>
    <t>Orientar la oferta del sector hacia la promoción de nuevas percepciones, actitudes y hábitos ciudadanos que favorezcan la acción colectiva para el cuidado del entorno, el disfrute del espacio público como un patrimonio común.</t>
  </si>
  <si>
    <t>Museo de Bogotá en operación</t>
  </si>
  <si>
    <t>01-Recursos del Distrito 12-Otros Distrito</t>
  </si>
  <si>
    <t>0066-Fomento, apoyo y divulgación de eventos y expresiones artísticas, culturales y del patrimonio</t>
  </si>
  <si>
    <t>Alcanzar 1.700.000 asistencias al Museo de Bogotá, a recorridos y rutas patrimoniales y a otras prácticas patrimoniales</t>
  </si>
  <si>
    <t xml:space="preserve">13. Oferta cultural para la valoración y divulgación del patrimonio material e  inmaterial de la ciudad </t>
  </si>
  <si>
    <t>03 - Recursos Administrados 20 - Administrados de Destinación Específica</t>
  </si>
  <si>
    <t>0185-Actividades de investigación para la valoración, protección, conservación, sostenibilidad y apropiación del Patrimonio Cultural</t>
  </si>
  <si>
    <t>Estímulos a iniciativas de la ciudadanía en temas</t>
  </si>
  <si>
    <t>Activación del patrimonio</t>
  </si>
  <si>
    <t>TOTAL INVERSION 2018</t>
  </si>
  <si>
    <t xml:space="preserve">Fuente </t>
  </si>
  <si>
    <t>Concepto</t>
  </si>
  <si>
    <t>´01-12</t>
  </si>
  <si>
    <t>´0066</t>
  </si>
  <si>
    <t>´0185</t>
  </si>
  <si>
    <t>´0187</t>
  </si>
  <si>
    <t>´03-20</t>
  </si>
  <si>
    <t>PILAR O EJE: 07 Gobierno legítimo, fortalecimiento local y eficiencia</t>
  </si>
  <si>
    <t>PROGRAMA: 42 Transparencia, gestión pública y servicio a la ciudadanía</t>
  </si>
  <si>
    <t>Proyecto estratégico:  185 Fortalecimiento a la gestión publica efectiva y eficiente</t>
  </si>
  <si>
    <t>Proyecto Entidad: 1110. Fortalecimiento y desarrollo de la gestión institucional</t>
  </si>
  <si>
    <t>Subdirector de Gestión Corporativa</t>
  </si>
  <si>
    <t>Fortalecer la gestión institucional, mediante la implementación, el mantenimiento y la sostenibilidad del Sistema Integrado de Gestión, con el fin de promover la mejora en los servicios ofrecidos a la ciudadanía y el cumplimiento de la misión institucional.</t>
  </si>
  <si>
    <t>Implementación de modelo de gobierno abierto para el Distrito Capital</t>
  </si>
  <si>
    <t>3-3-1-15-7-42-1110-185</t>
  </si>
  <si>
    <t>Administración y mantenimiento de sedes misionales</t>
  </si>
  <si>
    <t>0020-Mantenimiento y mejoramiento de la infraestructura cultural</t>
  </si>
  <si>
    <t>Incrementar a un 90% la sostenibilidad del sistema integrado de gestión, para prestar un mejor servicio en la atención a la ciudadanía.</t>
  </si>
  <si>
    <t>Mantener el 100% de las sedes misionales a cargo de la entidad.</t>
  </si>
  <si>
    <t>10. Procesos articulados dentro del sistema integrado de gestión.</t>
  </si>
  <si>
    <t>03-Recursos Administrados 21-Administrados de Libre Destinación</t>
  </si>
  <si>
    <t>0114-Adquisición de Equipos, materiales, suministros</t>
  </si>
  <si>
    <t>Incrementar a un 70% la sostenibilidad del sistema integrado de gestión, para prestar un mejor servicio en la atención a la ciudadanía.</t>
  </si>
  <si>
    <t>Adquisición de equipos, materiales y suministros</t>
  </si>
  <si>
    <t>0152-Adquisición de equipos y software para el mejoramiento de la gestión institucional</t>
  </si>
  <si>
    <t>0020-Personal contratado para las actividades propias de los procesos de mejoramiento de gestión de la entidad</t>
  </si>
  <si>
    <t>Desarrollar actividades de comunicación e información</t>
  </si>
  <si>
    <t>Fortalecimiento de los subsistemas del sistema integrado de gestión</t>
  </si>
  <si>
    <t>Personal de apoyo transversal a la gestión institucional</t>
  </si>
  <si>
    <t>Transparencia y atención a la ciudadanía</t>
  </si>
  <si>
    <t>PLAN DE ACCION PRESUPUESTO DE INVERSION 2017</t>
  </si>
  <si>
    <t>PILAR O EJE: 02 Democracia urbana</t>
  </si>
  <si>
    <t>PROGRAMA: 17 Espacio público, derecho de todos</t>
  </si>
  <si>
    <t>Proyecto estratégico: 140 Recuperación del patrimonio material de la ciudad</t>
  </si>
  <si>
    <t>Proyecto Entidad: 1112. Instrumentos de planeación y gestión para la preservación y sostenibilidad del patrimonio cultural</t>
  </si>
  <si>
    <t>Subdirectora General</t>
  </si>
  <si>
    <t>Determinar acciones de protección, conservación y sostenibilidad en el tiempo, para Bienes de Interés Cultural del Distrito Capital, mediante el estudio, formulación, gestión y adopción de planes, programas e instrumentos de gestión y financiación del patrimonio cultural.</t>
  </si>
  <si>
    <t>Generación de espacio público asociado al desarrollo y fortalecimiento de la infraestructura cultural, patrimonial, recreativa y deportiva de la ciudad.</t>
  </si>
  <si>
    <t>3-3-1-15-2-17-1112-140</t>
  </si>
  <si>
    <t>Formular el Plan Especial de Manejo y Protección del Centro Historico</t>
  </si>
  <si>
    <t>Formular y adoptar 0,90 del Plan Especial de Manejo y Protección del Centro Histórico</t>
  </si>
  <si>
    <t>15. Instrumentos técnicos de gestión para la preservación del patrimonio cultural</t>
  </si>
  <si>
    <t>Plan especial de manejo y protección del centro histórico</t>
  </si>
  <si>
    <t>Formular el 1,5 de planes urbanos en ambitos patrimoniales</t>
  </si>
  <si>
    <t>Planes y proyectos urbanos en ámbitos patrimoniales</t>
  </si>
  <si>
    <t>Formular y adoptar 2 instrumentos de financiamiento para la recuperación y sostenibilidad del patrimonio
cultural.</t>
  </si>
  <si>
    <t>Instrumentos de gestión, financiación e incentivos</t>
  </si>
  <si>
    <t>Avanzar en la recuperación, conservación y protección de los bienes muebles e inmuebles que constituyen el patrimonio cultural construido de Bogotá, para su promoción y disfrute por parte de la ciudadanía.</t>
  </si>
  <si>
    <t>Recuperación para el uso adecuado y disfrute del espacio público, sostenibilidad del espacio público, generación del espacio público asociado al desarrollo y fortalecimiento de la infraestructura cultural, patrimonial, recreativa y deportiva de la ciudad</t>
  </si>
  <si>
    <t xml:space="preserve">3-3-1-15-2-17-1114-140 </t>
  </si>
  <si>
    <t xml:space="preserve">Bienes de Interés Cultural de tipo inmueble intervenidos </t>
  </si>
  <si>
    <t>0525-Recuperación y aprovechamiento de bienes de interés cultural</t>
  </si>
  <si>
    <t>4. Obras de Intervención en Bienes muebles - inmuebles y sectores que conforman el patrimonio cultural del D.C.</t>
  </si>
  <si>
    <t>SALDO</t>
  </si>
  <si>
    <t>01-Recursos del Distrito 555-Impuesto al Consumo de Telefonía Móvil</t>
  </si>
  <si>
    <t>01-Recursos del Distrito 265-Recursos de Balance Plusvalía</t>
  </si>
  <si>
    <t>01-Recursos del Distrito 41-Plusvalía</t>
  </si>
  <si>
    <t>Programa Fachadas</t>
  </si>
  <si>
    <t>Actividades de seguimiento arqueológico en intervenciones y acciones sobre bienes de interés cultural</t>
  </si>
  <si>
    <t>0316-Personal de apoyo para las actividades de valoración, protección y conservación del Patrimonio Cultural</t>
  </si>
  <si>
    <t>Monumentos en espacios públicos a intervenir</t>
  </si>
  <si>
    <t>0103-Administración, mantenimiento y mejoramiento de los bienes muebles e inmuebles ubicados en el espacio público del Distrito Capital</t>
  </si>
  <si>
    <t>Asesoría técnica para la protección y promoción del patrimonio cultural material del distrito capital</t>
  </si>
  <si>
    <t xml:space="preserve">Asesorar tecnicamente el 100% de las solicitudes para la protección del patrimonio cultural material del D.C. </t>
  </si>
  <si>
    <t>1-01-0525</t>
  </si>
  <si>
    <t>´01-555</t>
  </si>
  <si>
    <t>´03-490</t>
  </si>
  <si>
    <t>´01-41</t>
  </si>
  <si>
    <t>´01-265</t>
  </si>
  <si>
    <t>´03-21</t>
  </si>
  <si>
    <t>1-03-0103</t>
  </si>
  <si>
    <t>3-04-0316</t>
  </si>
  <si>
    <t>Nº Viabilidad</t>
  </si>
  <si>
    <t>Nº CDP</t>
  </si>
  <si>
    <t>Nº RP</t>
  </si>
  <si>
    <t>Nº Contrato</t>
  </si>
  <si>
    <t>Enero</t>
  </si>
  <si>
    <t>Febrero</t>
  </si>
  <si>
    <t>Marzo</t>
  </si>
  <si>
    <t>Abril</t>
  </si>
  <si>
    <t>Mayo</t>
  </si>
  <si>
    <t>Junio</t>
  </si>
  <si>
    <t>Julio</t>
  </si>
  <si>
    <t>Agosto</t>
  </si>
  <si>
    <t>Septiembre</t>
  </si>
  <si>
    <t>Octubre</t>
  </si>
  <si>
    <t>Noviembre</t>
  </si>
  <si>
    <t>Diciembre</t>
  </si>
  <si>
    <t>Total Giros</t>
  </si>
  <si>
    <t>Reserva</t>
  </si>
  <si>
    <t xml:space="preserve"> Formación a docentes</t>
  </si>
  <si>
    <t>Objeto</t>
  </si>
  <si>
    <t>Beneficiario</t>
  </si>
  <si>
    <t>Valor RP's</t>
  </si>
  <si>
    <t>NA</t>
  </si>
  <si>
    <t xml:space="preserve"> Adquisición de equipos, materiales y suministros</t>
  </si>
  <si>
    <t xml:space="preserve"> Desarrollar actividades de comunicación e información</t>
  </si>
  <si>
    <t>Antonio  Bermúdez obregón</t>
  </si>
  <si>
    <t>ANDREA YIZETH CESPEDES VILLAR</t>
  </si>
  <si>
    <t>DARIO ALFONSO ZAMBRANO BARRERA</t>
  </si>
  <si>
    <t>LAURA FLAVIE ZIMMERMANN</t>
  </si>
  <si>
    <t>ANA MARIA FLOREZ FLOREZ</t>
  </si>
  <si>
    <t>ANGULO &amp; VELANDIA S A S</t>
  </si>
  <si>
    <t>MARIA CLAUDIA CARRIZOSA RICAURTE</t>
  </si>
  <si>
    <t>JUAN FELIPE PINILLA &amp; ASOCIADOS DERECHO-URBANO SAS</t>
  </si>
  <si>
    <t>JUAN CAMILO GONZALEZ MEDINA</t>
  </si>
  <si>
    <t>SERGIO IVAN ROJAS BERRIO</t>
  </si>
  <si>
    <t>DANIEL FELIPE GUTIERREZ VARGAS</t>
  </si>
  <si>
    <t>Francisco José Duarte Tolosa</t>
  </si>
  <si>
    <t>JUAN PABLO SANCHEZ CHAVES</t>
  </si>
  <si>
    <t>JUAN CARLOS SARMIENTO NOVOA</t>
  </si>
  <si>
    <t>JUAN JOSE ALVEAR MEJIA</t>
  </si>
  <si>
    <t>DAVID HUMBERTO DELGADO RODRIGUEZ</t>
  </si>
  <si>
    <t>JENNIFER  AYALA SERRANO</t>
  </si>
  <si>
    <t>jhon Edwin morales herrera</t>
  </si>
  <si>
    <t>LAURA ANGELICA MORENO LEMUS</t>
  </si>
  <si>
    <t>EFRAIN JOSE CANEDO CASTRO</t>
  </si>
  <si>
    <t>LEONOR ISBELIA GOMEZ HERNANDEZ</t>
  </si>
  <si>
    <t>ANA MILENA QUINTERO AGAMEZ</t>
  </si>
  <si>
    <t>ANDRES EDUARDO MANJARRES SALAS</t>
  </si>
  <si>
    <t>MONICA  COY DE MARQUEZ</t>
  </si>
  <si>
    <t>NARDELLY JULIETH CORREA ALVARADO</t>
  </si>
  <si>
    <t>HENRY  DIAZ DUSSAN</t>
  </si>
  <si>
    <t>SANDRA CAROLINA NORIEGA AGUILAR</t>
  </si>
  <si>
    <t>NATALIA ACHIARDI ORTIZ</t>
  </si>
  <si>
    <t>PAULA ANDREA MENDEZ ROMERO</t>
  </si>
  <si>
    <t>LEYDA ISABEL CARDOZO MARROQUIN</t>
  </si>
  <si>
    <t>DEBORATH LUCIA GASCON OLARTE</t>
  </si>
  <si>
    <t>DIANA CAROLINA SILVA MORALES</t>
  </si>
  <si>
    <t>ANA GABRIELA PINILLA GONZALEZ</t>
  </si>
  <si>
    <t>DIEGO IVAN MENESES FIGUEROA</t>
  </si>
  <si>
    <t>JULIAN ANDRES QUIÑONEZ ZORRILLA</t>
  </si>
  <si>
    <t>OCTAVIO  FAJARDO MARTINEZ</t>
  </si>
  <si>
    <t>MARIA DEL PILAR ZAMBRANO GOMEZ</t>
  </si>
  <si>
    <t>MAGDA FABIOLA ROJAS RAMIREZ</t>
  </si>
  <si>
    <t>EDGAR FERNANDO NOCUA CAMARGO</t>
  </si>
  <si>
    <t>FELIPE  OVALLE VILLAREAL</t>
  </si>
  <si>
    <t>JAVIER FERNANDO MATEUS TOVAR</t>
  </si>
  <si>
    <t>ALFREDO  FERREIRA BARROS</t>
  </si>
  <si>
    <t>LINA MARCELA MORENO ROA</t>
  </si>
  <si>
    <t>yenifer Andrea lagos bueno</t>
  </si>
  <si>
    <t>ANGELA PATRICIA BUSTOS CIFUENTES</t>
  </si>
  <si>
    <t>CAMILO ANDRES BECERRA SANCHEZ</t>
  </si>
  <si>
    <t>Johan camilo prieto Carreño</t>
  </si>
  <si>
    <t>Camilo Hernando Trujillo Ruiz</t>
  </si>
  <si>
    <t>CARLOS ORLANDO ARIAS ROMERO</t>
  </si>
  <si>
    <t>catalina  ROA Martínez</t>
  </si>
  <si>
    <t>Cristian camilo Bernal  Ruiz</t>
  </si>
  <si>
    <t>DANIEL ANDRES HUERTAS PAEZ</t>
  </si>
  <si>
    <t>Daniel camilo moreno García</t>
  </si>
  <si>
    <t>DANIELA MARIA ESCAMILLA OSPINA</t>
  </si>
  <si>
    <t>diego Ernesto acuña Vargas</t>
  </si>
  <si>
    <t>Jessica juliana Londoño Ramírez</t>
  </si>
  <si>
    <t>LAURA PAOLA CASTILLO SALAMANCA</t>
  </si>
  <si>
    <t>Lizbeth Vanessa García Arbeláez</t>
  </si>
  <si>
    <t>LIZETH PAOLA MARTINEZ PULIDO</t>
  </si>
  <si>
    <t>Sandra Paola linares Ávila</t>
  </si>
  <si>
    <t>ANA STEFANIA SANCHEZ MINGAN</t>
  </si>
  <si>
    <t>ALICIA VICTORIA BELLO DURAN</t>
  </si>
  <si>
    <t>Prestar sus servicios profesionales al Instituto Distrital de Patrimonio Cultural para apoyar las acciones requeridas en la consolidación de la propuesta integral del Plan Especial de Manejo y Protección -PEMP- del Centro Histórico de Bogotá D.C., particularmente en la propuesta urbana general de los aspectos físico-técnicos.</t>
  </si>
  <si>
    <t xml:space="preserve">Prestar sus servicios profesionales al Instituto Distrital de Patrimonio Cultural en la consolidación de la propuesta integral del Plan Especial de Manejo y Protección -PEMP- del Centro Histórico de Bogotá D.C, en particular para el desarrollo e implementación de acciones y mecanismos de información y participación. </t>
  </si>
  <si>
    <t>Prestar sus servicios profesionales al Instituto Distrital de Patrimonio Cultural en la consolidación de la propuesta integral del Plan Especial de Manejo y Protección -PEMP- del Centro Histórico de Bogotá D.C, en particular en la propuesta urbana general de los aspectos físico-técnicos.</t>
  </si>
  <si>
    <t>Prestar sus servicios profesionales al Instituto Distrital de Patrimonio Cultural en la consolidación de la propuesta integral del Plan Especial de Manejo y Protección -PEMP- del Centro Histórico de Bogotá D.C, en particular en la formulación de los aspectos administrativos y de gobernanza.</t>
  </si>
  <si>
    <t>Prestar sus servicios profesionales al Instituto Distrital de Patrimonio Cultural en la consolidación de la propuesta integral del Plan Especial de Manejo y Protección -PEMP- del Centro Histórico de Bogotá D.C, en particular en la formulación de los aspectos físico-técnicos.</t>
  </si>
  <si>
    <t>Prestar sus servicios profesionales al Instituto Distrital de Patrimonio Cultural en la consolidación de la propuesta integral del Plan Especial de Manejo y Protección -PEMP- del Centro Histórico de Bogotá D.C, en particular en la estructura general y jurídica.</t>
  </si>
  <si>
    <t>Prestar sus servicios profesionales al IDPC para apoyar las acciones requeridas para la consolidación de la propuesta integral del Plan Especial de Manejo y Protección -PEMP- del Centro Histórico de Bogotá D.C., particularmente en el desarrollo de proyectos relacionados con los aspectos físico-técnicos.</t>
  </si>
  <si>
    <t>Prestar sus servicios profesionales al IDPC para apoyar las acciones requeridas para la consolidación de la propuesta integral del Plan Especial de Manejo y Protección -PEMP- del Centro Histórico de Bogotá D.C., particularmente en el desarrollo de los proyectos integrales.</t>
  </si>
  <si>
    <t>Prestar sus servicios profesionales al IDPC para apoyar las acciones requeridas para la consolidación de la propuesta integral del Plan Especial de Manejo y Protección -PEMP- del Centro Histórico de Bogotá D.C., particularmente en el desarrollo de los proyectos estratégicos.</t>
  </si>
  <si>
    <t>Prestar servicios profesionales al Instituto Distrital de Patrimonio Cultural para orientar la organización, planeación  y seguimiento técnico general de la propuesta integral del Plan Especial de Manejo y Protección del Centro Histórico de Bogotá D.C.</t>
  </si>
  <si>
    <t xml:space="preserve">Prestar servicios profesionales al Instituto Distrital de Patrimonio Cultural para la consolidación del inventario inmueble de los Bienes de Interés Cultural en el marco del Plan Especial de Manejo y Protección -PEMP- del Centro Histórico de Bogotá D.C. </t>
  </si>
  <si>
    <t>Prestar servicios profesionales al Instituto Distrital de Patrimonio Cultural para la consolidación de la propuesta integral del Plan Especial de Manejo y Protección -PEMP- del Centro Histórico de Bogotá D.C., particularmente en el tema habitacional de los aspectos físico-técnicos.</t>
  </si>
  <si>
    <t xml:space="preserve">Prestar servicios profesionales al Instituto Distrital de Patrimonio Cultural para apoyar técnicamente la consolidación de la propuesta integral del Plan Especial de Manejo y Protección -PEMP- del Centro Histórico de Bogotá D.C. </t>
  </si>
  <si>
    <t>Prestar servicios profesionales al Instituto Distrital de Patrimonio Cultural para apoyar las actividades relacionadas con el patrimonio inmaterial en el marco del Plan Especial de Manejo y Protección -PEMP- del Centro Histórico de Bogotá D.C.</t>
  </si>
  <si>
    <t xml:space="preserve">Prestar servicios profesionales al Instituto Distrital de Patrimonio Cultural para apoyar las actividades administrativas requeridas en el marco del Plan Especial de Manejo y Protección -PEMP- del Centro Histórico de Bogotá D.C. </t>
  </si>
  <si>
    <t>Prestar servicios profesionales al Instituto Distrital de Patrimonio Cultural para apoyar las acciones requeridas en la consolidación de la propuesta integral del Plan Especial de Manejo y Protección -PEMP- del Centro Histórico de Bogotá D.C., particularmente en los aspectos urbano-territoriales del componente físico-técnico.</t>
  </si>
  <si>
    <t>Prestar servicios profesionales al Instituto Distrital de Patrimonio Cultural para apoyar la organización de las actividades dentro del componente social y de participación del Plan Especial de Manejo y Protección -PEMP- del Centro Histórico de Bogotá D.C.</t>
  </si>
  <si>
    <t xml:space="preserve">Prestar servicios profesionales al Instituto Distrital de Patrimonio Cultural para apoyar la implementación del Sistema de Información Geográfico del Patrimonio Cultural -SIGPC- y en particular el desarrollo del  Plan Especial de Manejo y Protección -PEMP- del Centro Histórico de Bogotá D.C. </t>
  </si>
  <si>
    <t>Prestar servicios profesionales al Instituto Distrital de Patrimonio Cultural para apoyar la ejecución de las actividades relacionadas con el componente social y de participación del Plan Especial de Manejo y Protección -PEMP- del Centro Histórico de Bogotá D.C.</t>
  </si>
  <si>
    <t>Prestar servicios profesionales al Instituto Distrital de Patrimonio Cultural en la verificación y la articulación de las fichas de apoyo del inventario-valoración del patrimonio cultural inmueble en el marco del Plan Especial de Manejo y Protección -PEMP- del Centro Histórico de Bogotá D.C.</t>
  </si>
  <si>
    <t>Prestar servicios profesionales al Instituto Distrital de Patrimonio Cultural en la verificación y articulación de la información fotográfica de las fichas del inventario-valoración del patrimonio cultural inmueble en el marco del Plan Especial de Manejo y Protección -PEMP- del Centro Histórico de Bogotá D.C.</t>
  </si>
  <si>
    <t>Prestar servicios profesionales al Instituto Distrital de Patrimonio Cultural en la verificación y articulación de la información de los levantamientos arquitectónicos requeridos para la elaboración de las fichas del inventario-valoración del patrimonio cultural inmueble en el marco del Plan Especial de Manejo y Protección -PEMP del Centro Histórico de Bogotá D.C.</t>
  </si>
  <si>
    <t xml:space="preserve">Prestar servicios profesionales al Instituto Distrital de Patrimonio Cultural en la consolidación de la propuesta integral del Plan Especial de Manejo y Protección -PEMP- del Centro Histórico de Bogotá, en particular la formulación de los aspectos financieros y socio-económicos e instrumentos de gestión, financiación e incentivos para la recuperación y sostenibilidad del patrimonio cultural. </t>
  </si>
  <si>
    <t>Prestar servicios profesionales al Instituto Distrital de Patrimonio Cultural apoyando la articulación de la propuesta integral del Plan Especial de Manejo y Protección -PEMP- del Centro Histórico de Bogotá D.C, en particular en el componente del patrimonio cultural.</t>
  </si>
  <si>
    <t>Prestar servicios profesionales al Instituto Distrital de Patrimonio Cultural  para la consolidación de la propuesta integral del Plan Especial de Manejo y Protección -PEMP- del Centro Histórico de Bogotá D.C., particularmente en el tema de movilidad de los aspectos físico-técnicos.</t>
  </si>
  <si>
    <t>Prestar servicios profesionales al Instituto Distrital de Patrimonio Cultural  para la consolidación de la propuesta integral del Plan Especial de Manejo y Protección -PEMP- del Centro Histórico de Bogotá D.C., particularmente en el tema de  infraestructura de servicios en redes secas, de los aspectos físico-técnicos.</t>
  </si>
  <si>
    <t>Prestar servicios profesionales al Instituto Distrital de Patrimonio Cultural  para la consolidación de la propuesta integral del Plan Especial de Manejo y Protección -PEMP- del Centro Histórico de Bogotá D.C., particularmente en el tema ambiental de los aspectos físico-técnicos.</t>
  </si>
  <si>
    <t>Prestar servicios profesionales al Instituto Distrital de Patrimonio Cultural  en la consolidación de la información del inventario-valoración del patrimonio cultural inmueble en el marco del Plan Especial de Manejo y Protección -PEMP- del Centro Histórico de Bogotá D.C</t>
  </si>
  <si>
    <t>Prestar servicios profesionales al Instituto Distrital de Patrimonio Cultural   para la consolidación de la propuesta integral del Plan Especial de Manejo y Protección -PEMP- del Centro Histórico de Bogotá D.C., particularmente en el tema de  infraestructura de servicios en redes húmedas de los aspectos físico-técnicos.</t>
  </si>
  <si>
    <t>Prestar servicios profesionales al IDPC para la consolidación de la propuesta integral del Plan Especial de Manejo y Protección -PEMP- del Centro Histórico de Bogotá D.C., particularmente en el tema normativo urbanístico de los aspectos físico-técnicos.</t>
  </si>
  <si>
    <t xml:space="preserve">Prestar servicios profesionales al IDPC para apoyar la consolidación  de la propuesta integral del Plan Especial de Manejo y Protección -PEMP del Centro Histórico de Bogotá D.C, en lo relacionado con los levantamientos arquitectónicos del inventario-valoración del patrimonio cultural inmueble. </t>
  </si>
  <si>
    <t xml:space="preserve">Prestar servicios de apoyo a la gestión al Instituto Distrital de Patrimonio Cultural en las actividades asistenciales que se requieran en el marco del  Plan Especial de Manejo y Protección -PEMP- del Centro Histórico de Bogotá D.C. </t>
  </si>
  <si>
    <t>Prestar servicios profesionales al Instituto Distrital de Patrimonio Cultural para orientar y apoyar técnicamente los programas, planes y proyectos del Instituto, que permitan la articulación e integración de la gestión institucional.</t>
  </si>
  <si>
    <t>ALEXANDER  CABRERA MONTENEGRO</t>
  </si>
  <si>
    <t>Prestar servicios profesionales al Instituto Distrital de Patrimonio Cultural en el desarrollo de las actividades requeridas para la formulación de instrumentos de gestión, financiación e incentivos para la recuperación y sostenibilidad del patrimonio cultural y en particular en el desarrollo del Plan Especial de Manejo y Protección -PEMP-.</t>
  </si>
  <si>
    <t>Prestar servicios profesionales al Instituto Distrital de Patrimonio Cultural apoyando el desarrollo de las actividades socioeconómicas propias de proyectos especiales que involucren las acciones del Instituto.</t>
  </si>
  <si>
    <t>Prestar servicios profesionales al Instituto Distrital de Patrimonio Cultural  apoyando el desarrollo de las actividades requeridas para la formulación de instrumentos de gestión, financiación e incentivos para la recuperación y sostenibilidad del patrimonio cultural y en particular en el desarrollo del Plan Especial de Manejo y Protección -PEMP.</t>
  </si>
  <si>
    <t>ALEX SMITH ARAQUE SOLANO</t>
  </si>
  <si>
    <t>CRISTHIAN  ORTEGA AVILA</t>
  </si>
  <si>
    <t>MONICA ELIANA FLOREZ BUSTAMANTE</t>
  </si>
  <si>
    <t>Nº contrato</t>
  </si>
  <si>
    <t>Prestar servicios profesionales al Instituto Distrital de Patrimonio Cultural para apoyar las actividades requeridas en el componente de turismo en el marco del Plan Especial de Manejo y Protección -PEMP- del Centro Histórico de Bogotá D.C. Prorrogar y adicionar el Contrato No. 267 de 2018, cuyo objeto consiste en "Prestar servicios profesionales al Instituto Distrital de Patrimonio Cultural para apoyar las actividades requeridas en el componente de turismo en el marco del Plan Especial de Manejo y Protección -PEMP- del Centro Histórico de Bogotá D.C."</t>
  </si>
  <si>
    <t>Prestar servicios profesionales al Instituto Distrital de Patrimonio Cultural para la consolidación de la propuesta integral del Plan Especial de Manejo y Protección -PEMP- del Centro Histórico de Bogotá D.C., particularmente en el tema de servicio público de aseo, de los aspectos físico-técnicos. Prorrogar y adicionar el Contrato No. 199 de 2018, cuyo objeto consiste en "Prestar servicios profesionales al Instituto Distrital de Patrimonio Cultural para la consolidación de la propuesta integral del Plan Especial de Manejo y Protección -PEMP- del Centro Histórico de Bogotá D.C., particularmente en el tema de servicio público de aseo, de los aspectos físico-técnicos".</t>
  </si>
  <si>
    <t xml:space="preserve">Personal de apoyo transversal </t>
  </si>
  <si>
    <t xml:space="preserve">3-3-1-15-3-25-1107-158 </t>
  </si>
  <si>
    <t>Valor PAA</t>
  </si>
  <si>
    <t>Còd. Control</t>
  </si>
  <si>
    <t>Prestar sus servicios profesionales al Instituto Distrital de Patrimonio Cultural para apoyar las acciones requeridas en el marco del Plan Especial de Manejo y Protección -PEMP- del Centro Histórico de Bogotá D.C., particularmente en el desarrollo de los proyectos integrales.</t>
  </si>
  <si>
    <t>Prestar sus servicios profesionales al Instituto Distrital de Patrimonio Cultural  para apoyar las acciones requeridas en el marco del Plan Especial de Manejo y Protección -PEMP- del Centro Histórico de Bogotá D.C., particularmente en el desarrollo de los proyectos estratégicos.</t>
  </si>
  <si>
    <t>Prestar servicios profesionales al Instituto Distrital de Patrimonio Cultural para orientar la gestión de los proyectos que se adelanten en el marco del Plan Especial de Manejo y Protección -PEMP- del Centro Histórico de Bogotá.</t>
  </si>
  <si>
    <t>Prestar servicios profesionales al Instituto Distrital de Patrimonio Cultural para apoyar los programas, planes y proyectos del Instituto, que permitan la articulación e integración de la gestión institucional.</t>
  </si>
  <si>
    <t>Prestar servicios profesionales al Instituto Distrital de Patrimonio Cultural para apoyar las acciones requeridas en el componente físico-espacial del Plan Especial de Manejo y Protección -PEMP- del Centro Histórico de Bogotá D.C.</t>
  </si>
  <si>
    <t>Prestar servicios profesionales al Instituto Distrital de Patrimonio Cultural para apoyar la formulación de planes, programas y proyectos que se adelanten en el marco del Plan Especial de Manejo y Protección -PEMP-, del Centro Histórico de Bogotá.</t>
  </si>
  <si>
    <t xml:space="preserve">Prestar servicios profesionales al Instituto Distrital de Patrimonio Cultural en las actividades requeridas en el inventario inmueble de los Bienes de Interés Cultural en el marco del Plan Especial de Manejo y Protección -PEMP- del Centro Histórico de Bogotá D.C. </t>
  </si>
  <si>
    <t>Prestar servicios profesionales al Instituto Distrital de Patrimonio Cultural en el desarrollo de las actividades requeridas en el componente del patrimonio cultural del  Plan Especial de Manejo y Protección -PEMP- del Centro Histórico de Bogotá D.C.</t>
  </si>
  <si>
    <t>Prestar servicios profesionales al Instituto Distrital de Patrimonio Cultural en el ámbito jurídico requerido en el Plan Especial de Manejo y Protección -PEMP- del Centro Histórico de Bogotá D.C.</t>
  </si>
  <si>
    <t>Prestar servicios profesionales al IDPC para el tema normativo urbanístico de los aspectos físico-técnicos del Plan Especial de Manejo y Protección -PEMP- del Centro Histórico de Bogotá D.C.</t>
  </si>
  <si>
    <t xml:space="preserve">Prestar servicios profesionales al Instituto Distrital de Patrimonio Cultural para apoyar las actividades requeridas en el componente económico de los instrumentos de gestión, financiación e incentivos para la recuperación y sostenibilidad del patrimonio cultural. </t>
  </si>
  <si>
    <t>Prestar servicios profesionales al Instituto Distrital de Patrimonio Cultural apoyando el desarrollo de las actividades requeridas en el tema económico de los instrumentos de gestión, financiación e incentivos para la recuperación y sostenibilidad del patrimonio cultural.</t>
  </si>
  <si>
    <t>Total</t>
  </si>
  <si>
    <t>Valor</t>
  </si>
  <si>
    <t>CDP</t>
  </si>
  <si>
    <t>RP</t>
  </si>
  <si>
    <t>OP</t>
  </si>
  <si>
    <t>Saldo Apropiacion</t>
  </si>
  <si>
    <t>Prestar servicios profesionales al Instituto Distrital de Patrimonio Cultural para apoyar las actividades requeridas en el componente de centro inteligente e innovación en el marco del Plan Especial de Manejo y Protección -PEMP- del Centro Histórico de Bogotá D.C. 26-06-2018Prorrogar y adicionar el Contrato No. 201 de 2018</t>
  </si>
  <si>
    <t>Valor Viabilidad</t>
  </si>
  <si>
    <t xml:space="preserve">Prestar servicios profesionales al Instituto Distrital de Patrimonio Cultural en las actividades que se requieran para el avance de la estructuración del Plan Especial de Manejo y Protección -PEMP- del Centro Histórico de Bogotá D.C, a partir de la consolidación del diagnostico y formulación del Plan. </t>
  </si>
  <si>
    <t>Prestar sus servicios profesionales al Instituto Distrital de Patrimonio Cultural para apoyar la elaboración de las fichas de apoyo del inventario inmueble requeridas en la consolidación de la propuesta integral del Plan Especial de Manejo y Protección -PEMP- del Centro Histórico de Bogotá D.C. aDICION Y PRORROGA</t>
  </si>
  <si>
    <t>Prestar servicios profesionales al IDPC para apoyar la consolidación  de la propuesta integral del Plan Especial de Manejo y Protección -PEMP del Centro Histórico de Bogotá D.C, en lo relacionado con los levantamientos arquitectónicos del inventario-valoración del patrimonio cultural inmueble. Adicion y prorroga</t>
  </si>
  <si>
    <t>Prestar sus servicios profesionales al Instituto Distrital de Patrimonio Cultural para apoyar la elaboración de las fichas de apoyo del inventario inmueble requeridas en la consolidación de la propuesta integral del Plan Especial de Manejo y Protección -PEMP- del Centro Histórico de Bogotá D.C. 30-07-2018 Adi. y prorroga</t>
  </si>
  <si>
    <t>Prestar servicios profesionales al Instituto Distrital de Patrimonio Cultural para realizar los continuos fotográficos de las manzanas que contienen los inmuebles del inventario del patrimonio cultural en el marco del Plan Especial de Manejo y Protección -PEMP- del Centro Histórico de Bogotá D.C. 30/07/2018 Adicion y prorroga</t>
  </si>
  <si>
    <t>Prestar servicios profesionales al Instituto Distrital de Patrimonio Cultural para la elaboración de las fichas de apoyo del inventario inmueble requeridas en la consolidación de la propuesta integral del Plan Especial de Manejo y Protección -PEMP- del Centro Histórico de Bogotá D.C. 30/07/2018 Adicion y prorroga</t>
  </si>
  <si>
    <t>Prestar servicios profesionales al Instituto Distrital de Patrimonio Cultural para la elaboración de las fichas de apoyo del inventario inmueble requeridas en la consolidación de la propuesta integral del Plan Especial de Manejo y Protección -PEMP- del Centro Histórico de Bogotá D.C.. 30/07/2018 Adicion y prorroga</t>
  </si>
  <si>
    <t>Viabilidades</t>
  </si>
  <si>
    <t>Valor Giros</t>
  </si>
  <si>
    <t>Prorrogar y adicionar el contrato de prestacion de servicios No. 50 de 2018 cuyo objeto consiste enPrestar sus servicios profesionales al Instituto Distrital de Patrimonio Cultural para apoyar la elaboración de las fichas de apoyo del inventario inmueble requeridas en la consolidación de la propuesta integral del Plan Especial de Manejo y Protección -PEMP- del Centro Histórico de Bogotá D.C.</t>
  </si>
  <si>
    <t>Prorrogar y adicionar el contrato de prestacion de servicios No. 49 de 2018 cuyo objeto consiste en Prestar sus servicios profesionales al Instituto Distrital de Patrimonio Cultural para apoyar la elaboración de las fichas de apoyo del inventario inmueble requeridas en la consolidación de la propuesta integral del Plan Especial de Manejo y Protección -PEMP- del Centro Histórico de Bogotá D.C</t>
  </si>
  <si>
    <t>Prorrogar y adicionar el contrato de prestacion de servicios No. 061 de 2018 cuyo objeto consiste en  Prestar servicios profesionales al Instituto Distrital de Patrimonio Cultural para realizar los continuos fotográficos de las manzanas que contienen los inmuebles del inventario del patrimonio cultural en el marco del Plan Especial de Manejo y Protección -PEMP</t>
  </si>
  <si>
    <t>Prorrogar y adicionar el contrato de prestacion de servicios No. 60 de 2018 cuyo objeto consiste en Prestar servicios profesionales al Instituto Distrital de Patrimonio Cultural para realizar los continuos fotográficos de las manzanas que contienen los inmuebles del inventario del patrimonio cultural en el marco del Plan Especial de Manejo y Protección -PEMP- del Centro Histórico de Bogotá D.C.</t>
  </si>
  <si>
    <t>Prorrogar y adicionar el contrato de prestacion de servicios No. 63 de 2018 cuyo objeto consiste en Prestar servicios profesionales al Instituto Distrital de Patrimonio Cultural para realizar los continuos fotográficos de las manzanas que contienen los inmuebles del inventario del patrimonio cultural en el marco del Plan Especial de Manejo y Protección -PEMP- del Centro Histórico de Bogotá D.C.</t>
  </si>
  <si>
    <t>Prorrogar y adicionar el contrato de prestacion de servicios No. 62 de 2018 cuyo objeto consiste en Prestar servicios profesionales al Instituto Distrital de Patrimonio Cultural para realizar los continuos fotográficos de las manzanas que contienen los inmuebles del inventario del patrimonio cultural en el marco del Plan Especial de Manejo y Protección -PEMP- del Centro Histórico de Bogotá D.C</t>
  </si>
  <si>
    <t>Prorrogar y adicionar el contrato de prestación de servicios profesionales No. 186  de 2018 cuyo objeto consiste en  Prestar sus servicios profesionales al IDPC para apoyar las acciones requeridas para la consolidación de la propuesta integral del Plan Especial de Manejo y Protección -PEMP- del Centro Histórico de Bogotá D.C., particularmente en el desarrollo de proyectos relacionados con los aspectos físico-técnicos.</t>
  </si>
  <si>
    <t>Prorrogar y adicionar el contrato de prestacion de servicios No. 156 de 2018 cuyo objeto consiste en Prestar servicios profesionales al Instituto Distrital de Patrimonio Cultural para la elaboración de las fichas de apoyo del inventario inmueble requeridas en la consolidación de la propuesta integral del Plan Especial de Manejo y Protección -PEMP- del Centro Histórico de Bogotá D.C.</t>
  </si>
  <si>
    <t>Prorrogar y adicionar el contrato de prestacion de servicios No. 140 de 2018 cuyo objeto consiste en Prestar servicios profesionales al Instituto Distrital de Patrimonio Cultural para la elaboración de las fichas de apoyo del inventario inmueble requeridas en la consolidación de la propuesta integral del Plan Especial de Manejo y Protección -PEMP- del Centro Histórico de Bogotá D.C</t>
  </si>
  <si>
    <t>Prorrogar y adicionar el contrato de prestacion de servicios No. 200 de 2018 cuyo objeto consiste en Prestar servicios profesionales al Instituto Distrital de Patrimonio Cultural para la elaboración de las fichas de apoyo del inventario inmueble requeridas en la consolidación de la propuesta integral del Plan Especial de Manejo y Protección -PEMP- del Centro Histórico de Bogotá D.C.</t>
  </si>
  <si>
    <t>Prorrogar y adicionar el contrato de prestacion de servicios No. 216 de 2018 cuyo objeto consiste en Prestar servicios profesionales al Instituto Distrital de Patrimonio Cultural para la elaboración de las fichas de apoyo del inventario inmueble requeridas en la consolidación de la propuesta integral del Plan Especial de Manejo y Protección -PEMP- del Centro Histórico de Bogotá D.C.</t>
  </si>
  <si>
    <t>Prorrogar y adicionar el Contrato No. 199 de 2018, cuyo objeto consiste en "Prestar servicios profesionales al Instituto Distrital de Patrimonio Cultural para la consolidación de la propuesta integral del Plan Especial de Manejo y Protección -PEMP- del Centro Histórico de Bogotá D.C., particularmente en el tema de servicio público de aseo, de los aspectos físico-técnicos".</t>
  </si>
  <si>
    <t>Prorrogar y adicionar el Contrato No. 267 de 2018, cuyo objeto consiste en "Prestar servicios profesionales al Instituto Distrital de Patrimonio Cultural para apoyar las actividades requeridas en el componente de turismo en el marco del Plan Especial de Manejo y Protección -PEMP- del Centro Histórico de Bogotá D.C."</t>
  </si>
  <si>
    <t>FRANCISCO ALBERTO LOPEZ SALGADO</t>
  </si>
  <si>
    <t>Prorrogar y adicionar el Contrato No. 201 de 2018 cuyo objeto consiste en: "Prestar servicios profesionales al Instituto Distrital de Patrimonio Cultural para apoyar las actividades requeridas en el componente de centro inteligente e innovación en el marco del Plan Especial de Manejo y Protección -PEMP- del Centro Histórico de Bogotá D.C."</t>
  </si>
  <si>
    <t>Prorrogar y adicionar el contrato de prestacion de servicios No. 10 de 2018 cuyo objeto consiste en Prestar servicios profesionales al IDPC para apoyar la consolidación  de la propuesta integral del Plan Especial de Manejo y Protección -PEMP del Centro Histórico de Bogotá D.C, en lo relacionado con los levantamientos arquitectonicos del inventario-valoración del patrimonio cultural inmueble.</t>
  </si>
  <si>
    <t>Prorrogar y adicionar el contrato de prestacion de servicios No. 20 de 2018 cuyo objeto consiste en Prestar servicios profesionales al IDPC para apoyar la consolidación  de la propuesta integral del Plan Especial de Manejo y Protección -PEMP del Centro Histórico de Bogotá D.C, en lo relacionado con los levantamientos arquitectonicos del inventario-valoración del patrimonio cultural inmueble.</t>
  </si>
  <si>
    <t>Prestar servicios de apoyo a la gestión al Instituto Distrital de Patrimonio Cultural para apoyar la producción documental requerida en el marco del Plan Especial de Manejo y Protección del Centro Histórico de Bogotá D.C.</t>
  </si>
  <si>
    <t>Prestar servicios profesionales  al Instituto Distrital de Patrimonio Cultural para apoyar la modelación de escenarios que sea requerida en el marco de la formulación del Plan Especial de Manejo y Protección del Centro Histórico de Bogotá D.C.</t>
  </si>
  <si>
    <t xml:space="preserve">Prestar servicios profesionales  al Instituto Distrital de Patrimonio Cultural para apoyar las acciones requeridas en la consolidación de la propuesta integral del Plan Especial de Manejo y Protección del Centro Histórico de Bogotá D.C., particularmente en la espacialización de los proyectos del componente físico-técnico. </t>
  </si>
  <si>
    <t>Prorrogar y adicionar el contrato de prestación de servicios No. 172  de 2018 cuyo objeto consiste en Prestar servicios profesionales al Instituto Distrital de Patrimonio Cultural  en la consolidación de la información del inventario-valoración del patrimonio cultural inmueble en el marco del Plan Especial de Manejo y Protección -PEMP- del Centro Histórico de Bogotá D.C.</t>
  </si>
  <si>
    <t>Proyecto Entidad: 1114. Intervención y conservación de los bienes muebles e inmuebles en sectores de interés cultural del Distrito Capital</t>
  </si>
  <si>
    <t>Subdirector de Intervención</t>
  </si>
  <si>
    <t>Cód.. Control</t>
  </si>
  <si>
    <t>Saldo Apropiación</t>
  </si>
  <si>
    <t>Inicial</t>
  </si>
  <si>
    <t>Adiciòn</t>
  </si>
  <si>
    <t>Reducciòn</t>
  </si>
  <si>
    <t>Prestar servicios profesionales al Instituto Distrital de Patrimonio Cultural para orientar las actividades requeridas en el componente socioeconómico, en el marco de la estructuración de la propuesta integral del  Plan Especial de Manejo y Protección -PEMP- del Centro Histórico de Bogotá D.C.</t>
  </si>
  <si>
    <t>Prestar servicios profesionales al Instituto Distrital de Patrimonio Cultural para realizar las actividades requeridas en el componente socioeconómico, en el marco de la estructuración  de la propuesta integral del Plan Especial de Manejo y Protección -PEMP- del Centro Histórico de Bogotá D.C.</t>
  </si>
  <si>
    <t>Prorrogar y adicionar el contrato de prestación de servicios No. 126  de 2018 cuyo objeto consiste en  Prestar servicios profesionales al Instituto Distrital de Patrimonio Cultural para la consolidación del inventario inmueble de los Bienes de Interés Cultural en el marco del Plan Especial de Manejo y Protección -PEMP- del Centro Histórico de Bogotá D.C.</t>
  </si>
  <si>
    <t>Prorrogar y adicionar el contrato de prestación de servicios No. 116  de 2018 cuyo objeto consiste en  Prestar servicios profesionales al Instituto Distrital de Patrimonio Cultural en la verificación y la articulación de las fichas de apoyo del inventario-valoración del patrimonio cultural inmueble en el marco del Plan Especial de Manejo y Protección -PEMP- del Centro Histórico de Bogotá D.C.</t>
  </si>
  <si>
    <t>Prorrogar y adicionar el contrato de prestación de servicios No. 117  de 2018 cuyo objeto consiste en  Prestar servicios profesionales al Instituto Distrital de Patrimonio Cultural en la verificación y articulación de la información fotográfica de las fichas del inventario-valoración del patrimonio cultural inmueble en el marco del Plan Especial de Manejo y Protección -PEMP- del Centro Histórico de Bogotá D.C.</t>
  </si>
  <si>
    <t>Prorrogar y adicionar el contrato de prestación de servicios No. 048  de 2018 cuyo objeto consiste en Prestar servicios profesionales al Instituto Distrital de Patrimonio Cultural en la verificación y articulación de la información de los levantamientos arquitectónicos requeridos para la elaboración de las fichas del inventario-valoración del patrimonio cultural inmueble en el marco del Plan Especial de Manejo y Protección -PEMP del Centro Histórico de Bogotá D.C.</t>
  </si>
  <si>
    <t>Prorrogar y adicionar el contrato de prestación de servicios No. 275  de 2018 cuyo objeto consiste en Prestar sus servicios profesionales al Instituto Distrital de Patrimonio Cultural en la consolidación de la propuesta integral del Plan Especial de Manejo y Protección -PEMP- del Centro Histórico de Bogotá D.C, en particular en la formulación de los aspectos administrativos y de gobernanza.</t>
  </si>
  <si>
    <t>PREDIS</t>
  </si>
  <si>
    <t>VALOR</t>
  </si>
  <si>
    <t>Proyecto</t>
  </si>
  <si>
    <t>03 20</t>
  </si>
  <si>
    <t>recursos INC no recaudados</t>
  </si>
  <si>
    <t>Total Inversión</t>
  </si>
  <si>
    <t>Total Inversión sin destinaciones especificas</t>
  </si>
  <si>
    <t>Menos INC no recaudado</t>
  </si>
  <si>
    <t>Còdigo Control</t>
  </si>
  <si>
    <t>Programación PMR</t>
  </si>
  <si>
    <t>Realizar 634.250 atenciones a niños, niñas y adolescentes  en el marco del programa Jornada Única  y Tiempo Escolar durante el cuatrienio</t>
  </si>
  <si>
    <t xml:space="preserve">MARGARITA CASTAÑEDA VARGAS </t>
  </si>
  <si>
    <t xml:space="preserve"> MAURICIO URIBE GONZÁLEZ</t>
  </si>
  <si>
    <t xml:space="preserve">  Director General</t>
  </si>
  <si>
    <t>JUAN FERNANDO ACOSTA MIRKOW</t>
  </si>
  <si>
    <t>MARÍA VICTORIA VILLAMIL</t>
  </si>
  <si>
    <t>147-Otros Recursos del balance de destinación específica</t>
  </si>
  <si>
    <r>
      <rPr>
        <b/>
        <sz val="10"/>
        <rFont val="Arial"/>
        <family val="2"/>
      </rPr>
      <t>Proyecto estratégico:</t>
    </r>
    <r>
      <rPr>
        <sz val="10"/>
        <rFont val="Arial"/>
        <family val="2"/>
      </rPr>
      <t xml:space="preserve">  158 Valoración y apropiación social del patrimonio cultural</t>
    </r>
  </si>
  <si>
    <r>
      <rPr>
        <b/>
        <sz val="10"/>
        <rFont val="Arial"/>
        <family val="2"/>
      </rPr>
      <t>PROGRAMA:</t>
    </r>
    <r>
      <rPr>
        <sz val="10"/>
        <rFont val="Arial"/>
        <family val="2"/>
      </rPr>
      <t xml:space="preserve"> 25 Cambio cultural y construcción del tejido social para la vida</t>
    </r>
  </si>
  <si>
    <r>
      <rPr>
        <b/>
        <sz val="10"/>
        <rFont val="Arial"/>
        <family val="2"/>
      </rPr>
      <t>PILAR O EJE:</t>
    </r>
    <r>
      <rPr>
        <sz val="10"/>
        <rFont val="Arial"/>
        <family val="2"/>
      </rPr>
      <t xml:space="preserve"> 03 Construcción de comunidad y cultura ciudadana</t>
    </r>
  </si>
  <si>
    <r>
      <rPr>
        <b/>
        <sz val="10"/>
        <rFont val="Arial"/>
        <family val="2"/>
      </rPr>
      <t>Proyecto estratégico:</t>
    </r>
    <r>
      <rPr>
        <sz val="10"/>
        <rFont val="Arial"/>
        <family val="2"/>
      </rPr>
      <t xml:space="preserve">  124 Formación para la transformación del ser</t>
    </r>
  </si>
  <si>
    <r>
      <rPr>
        <b/>
        <sz val="10"/>
        <rFont val="Arial"/>
        <family val="2"/>
      </rPr>
      <t>PROGRAMA:</t>
    </r>
    <r>
      <rPr>
        <sz val="10"/>
        <rFont val="Arial"/>
        <family val="2"/>
      </rPr>
      <t xml:space="preserve"> 11 Mejores oportunidades para el desarrollo a través de la cultura, la recreación y el deporte</t>
    </r>
  </si>
  <si>
    <r>
      <rPr>
        <b/>
        <sz val="10"/>
        <rFont val="Arial"/>
        <family val="2"/>
      </rPr>
      <t>PILAR O EJE:</t>
    </r>
    <r>
      <rPr>
        <sz val="10"/>
        <rFont val="Arial"/>
        <family val="2"/>
      </rPr>
      <t xml:space="preserve"> 01 Igualdad de calidad de vida</t>
    </r>
  </si>
  <si>
    <t>03-Recursos Administrados 347-Rendimientos Financieros Destinación Específica</t>
  </si>
  <si>
    <t>1400 Bienes de Interés Cultural (BIC) intervenidos</t>
  </si>
  <si>
    <t>01-Recursos del Distrito 270-Recursos del Balance Reaforo Plusvalía</t>
  </si>
  <si>
    <t>NUEVO</t>
  </si>
  <si>
    <t xml:space="preserve">Prestar sus servicios profesionales apoyando las acciones administrativas de la Subdirección de Intervención en coordinación con las demás dependencias de la entidad para el cumplimiento de las metas establecidas. </t>
  </si>
  <si>
    <t>N.A.</t>
  </si>
  <si>
    <t>Saldo Componenete Personal de Apoyo Transversal (Clasificación: 01-01-0525, Fuente: 01-12)</t>
  </si>
  <si>
    <t>CAROLINA FERNÁNDEZ BORDA</t>
  </si>
  <si>
    <t>PASIVOS EXIGIBLES</t>
  </si>
  <si>
    <t>01-Recursos del Distrito 263- Recursos Pasivos Plusvalia</t>
  </si>
  <si>
    <t>Apropiación</t>
  </si>
  <si>
    <t>01-263</t>
  </si>
  <si>
    <t>1-01-0526</t>
  </si>
  <si>
    <t>01-270</t>
  </si>
  <si>
    <t>03-146</t>
  </si>
  <si>
    <t>03-Recursos Administrados 147-Otros Recursos del balance de destinación específica</t>
  </si>
  <si>
    <t>03- Recursos Administrados 146 Recursos del balance de libre distinaciòn</t>
  </si>
  <si>
    <t>03-147</t>
  </si>
  <si>
    <t>META 1</t>
  </si>
  <si>
    <t>META 2</t>
  </si>
  <si>
    <t>META 3</t>
  </si>
  <si>
    <t>1401 Bienes de Interés Cultural (BIC) intervenidos</t>
  </si>
  <si>
    <t>1402 Bienes de Interés Cultural (BIC) intervenidos</t>
  </si>
  <si>
    <t xml:space="preserve">Intervenir 400 Bienes de Interés Cultural  (BIC) del D.C. a través de obras de adecuación, ampliación, conservación, consolidación estructural, rehabilitación y mantenimiento y/o restauración  </t>
  </si>
  <si>
    <t xml:space="preserve">Intervenir400 Bienes de Interés Cultural  (BIC) del D.C. a través de obras de adecuación, ampliación, conservación, consolidación estructural, rehabilitación y mantenimiento y/o restauración  </t>
  </si>
  <si>
    <t>Atender a 2.282 niños/as y adolescentes través de la formación en patrimonio cultural dentro del programa de la jornada única y estrategias de uso del tiempo escolar</t>
  </si>
  <si>
    <t>Capacitar a 4 docentes como formadores de la cátedra de patrimonio, dentro del programa de la jornada única y como estrategias de uso del tiempo escolar</t>
  </si>
  <si>
    <t xml:space="preserve">Lograr 216.615 asistentes a la oferta generada por el Instituto en actividades de patrimonio cultural </t>
  </si>
  <si>
    <t>Apoyar 24 iniciativas de la ciudadanía en temas de patrimonio cultural.</t>
  </si>
  <si>
    <t>Ofrecer 410 actividades que contribuyan a activar el patrimonio cultural</t>
  </si>
  <si>
    <t xml:space="preserve">Subdirectora de Divulgación y Apropiación del Patrimonio </t>
  </si>
  <si>
    <t>Subdirectora de Divulgación y Apropiación del Patrimonio</t>
  </si>
  <si>
    <t>Meta Entidad 2019</t>
  </si>
  <si>
    <t>TOTAL INVERSIÓN 2019</t>
  </si>
  <si>
    <t>PLAN DE ACCIÓN PRESUPUESTO DE INVERSIÓN 2019</t>
  </si>
  <si>
    <t>PLAN DE ACCION PRESUPUESTO DE INVERSION 2019</t>
  </si>
  <si>
    <t>TOTAL INVERSION 2019</t>
  </si>
  <si>
    <t>Formular y adoptar 0,15 del Plan Especial de Manejo y Protección del Centro Histórico</t>
  </si>
  <si>
    <t>Formular y adoptar 1 instrumento de financiamiento para la recuperación y sostenibilidad del patrimonio
cultural.</t>
  </si>
  <si>
    <t>Subdirectora Técnica - Subdirección de Gestión Territorial</t>
  </si>
  <si>
    <t>Subdirector Operativo - Subdirección de Gestión Corporativa</t>
  </si>
  <si>
    <t>Subdirectora Técnica - Subdirección de Protección e Intervención del Patrimonio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</si>
</sst>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 #,##0.00_ ;_ * \-#,##0.00_ ;_ * &quot;-&quot;??_ ;_ @_ "/>
    <numFmt numFmtId="165" formatCode="[$$-240A]\ #,##0"/>
    <numFmt numFmtId="166" formatCode="#,##0_ ;\-#,##0\ "/>
    <numFmt numFmtId="167" formatCode="_ * #,##0_ ;_ * \-#,##0_ ;_ * &quot;-&quot;_ ;_ @_ "/>
    <numFmt numFmtId="168" formatCode="_ * #,##0_ ;_ * \-#,##0_ ;_ * &quot;-&quot;??_ ;_ @_ "/>
    <numFmt numFmtId="169" formatCode="000"/>
    <numFmt numFmtId="170" formatCode="dd/mm/yyyy;@"/>
    <numFmt numFmtId="171" formatCode="0000"/>
    <numFmt numFmtId="172" formatCode="d/mm/yyyy;@"/>
  </numFmts>
  <fonts count="61">
    <font>
      <sz val="10"/>
      <name val="Arial"/>
    </font>
    <font>
      <sz val="10"/>
      <color theme="1"/>
      <name val="Arial"/>
      <family val="2"/>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name val="Arial"/>
      <family val="2"/>
    </font>
    <font>
      <b/>
      <sz val="10"/>
      <name val="Arial"/>
      <family val="2"/>
    </font>
    <font>
      <u/>
      <sz val="10"/>
      <name val="Arial"/>
      <family val="2"/>
    </font>
    <font>
      <b/>
      <sz val="10"/>
      <color indexed="10"/>
      <name val="Arial"/>
      <family val="2"/>
    </font>
    <font>
      <b/>
      <sz val="9"/>
      <name val="Arial"/>
      <family val="2"/>
    </font>
    <font>
      <b/>
      <sz val="10"/>
      <color theme="1"/>
      <name val="Arial"/>
      <family val="2"/>
    </font>
    <font>
      <sz val="10"/>
      <color rgb="FFFF0000"/>
      <name val="Arial"/>
      <family val="2"/>
    </font>
    <font>
      <b/>
      <sz val="10"/>
      <color rgb="FFFF0000"/>
      <name val="Arial"/>
      <family val="2"/>
    </font>
    <font>
      <b/>
      <sz val="9"/>
      <color rgb="FFFF0000"/>
      <name val="Arial"/>
      <family val="2"/>
    </font>
    <font>
      <sz val="10"/>
      <color theme="1"/>
      <name val="Arial"/>
      <family val="2"/>
    </font>
    <font>
      <b/>
      <sz val="9"/>
      <color theme="1"/>
      <name val="Arial"/>
      <family val="2"/>
    </font>
    <font>
      <sz val="9"/>
      <name val="Arial"/>
      <family val="2"/>
    </font>
    <font>
      <b/>
      <sz val="10"/>
      <color theme="1"/>
      <name val="Arial1"/>
    </font>
    <font>
      <sz val="10"/>
      <color rgb="FFFF0000"/>
      <name val="Arial1"/>
    </font>
    <font>
      <b/>
      <sz val="10"/>
      <color indexed="8"/>
      <name val="Arial1"/>
    </font>
    <font>
      <sz val="10"/>
      <color indexed="8"/>
      <name val="Arial1"/>
    </font>
    <font>
      <sz val="10"/>
      <color theme="1"/>
      <name val="Arial1"/>
    </font>
    <font>
      <sz val="9"/>
      <color theme="1"/>
      <name val="Arial"/>
      <family val="2"/>
    </font>
    <font>
      <b/>
      <sz val="8"/>
      <name val="Arial"/>
      <family val="2"/>
    </font>
    <font>
      <sz val="8"/>
      <name val="Arial"/>
      <family val="2"/>
    </font>
    <font>
      <b/>
      <sz val="20"/>
      <name val="Arial"/>
      <family val="2"/>
    </font>
    <font>
      <sz val="11"/>
      <name val="Arial"/>
      <family val="2"/>
    </font>
    <font>
      <b/>
      <sz val="9"/>
      <color theme="1"/>
      <name val="Calibri"/>
      <family val="2"/>
    </font>
    <font>
      <sz val="9"/>
      <color theme="1"/>
      <name val="Calibri"/>
      <family val="2"/>
    </font>
    <font>
      <b/>
      <sz val="11"/>
      <name val="Arial"/>
      <family val="2"/>
    </font>
    <font>
      <b/>
      <sz val="18"/>
      <name val="Arial"/>
      <family val="2"/>
    </font>
    <font>
      <sz val="7"/>
      <name val="Arial"/>
      <family val="2"/>
    </font>
    <font>
      <b/>
      <sz val="10"/>
      <color rgb="FFFF0000"/>
      <name val="Ari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Arial"/>
      <family val="2"/>
    </font>
    <font>
      <b/>
      <sz val="16"/>
      <name val="Arial"/>
      <family val="2"/>
    </font>
    <font>
      <sz val="10"/>
      <name val="Arial1"/>
    </font>
    <font>
      <b/>
      <sz val="16"/>
      <color theme="1"/>
      <name val="Arial"/>
      <family val="2"/>
    </font>
    <font>
      <u/>
      <sz val="9"/>
      <name val="Arial"/>
      <family val="2"/>
    </font>
    <font>
      <b/>
      <sz val="9"/>
      <color indexed="10"/>
      <name val="Arial"/>
      <family val="2"/>
    </font>
    <font>
      <sz val="9"/>
      <color rgb="FFFF0000"/>
      <name val="Arial"/>
      <family val="2"/>
    </font>
    <font>
      <b/>
      <sz val="12"/>
      <name val="Arial"/>
      <family val="2"/>
    </font>
    <font>
      <sz val="11"/>
      <color theme="1"/>
      <name val="Arial"/>
      <family val="2"/>
    </font>
    <font>
      <sz val="11"/>
      <color theme="1"/>
      <name val="Arial1"/>
    </font>
  </fonts>
  <fills count="6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42"/>
        <bgColor indexed="64"/>
      </patternFill>
    </fill>
    <fill>
      <patternFill patternType="solid">
        <fgColor indexed="52"/>
        <bgColor indexed="64"/>
      </patternFill>
    </fill>
    <fill>
      <patternFill patternType="solid">
        <fgColor indexed="51"/>
        <bgColor indexed="64"/>
      </patternFill>
    </fill>
    <fill>
      <patternFill patternType="solid">
        <fgColor indexed="50"/>
        <bgColor indexed="64"/>
      </patternFill>
    </fill>
    <fill>
      <patternFill patternType="solid">
        <fgColor indexed="45"/>
        <bgColor indexed="64"/>
      </patternFill>
    </fill>
    <fill>
      <patternFill patternType="solid">
        <fgColor indexed="9"/>
        <bgColor indexed="64"/>
      </patternFill>
    </fill>
    <fill>
      <patternFill patternType="solid">
        <fgColor indexed="44"/>
        <bgColor indexed="4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rgb="FF00FF0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FFFFFF"/>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9900"/>
        <bgColor indexed="64"/>
      </patternFill>
    </fill>
    <fill>
      <patternFill patternType="solid">
        <fgColor theme="7"/>
        <bgColor indexed="64"/>
      </patternFill>
    </fill>
    <fill>
      <patternFill patternType="solid">
        <fgColor rgb="FFFFC000"/>
        <bgColor indexed="64"/>
      </patternFill>
    </fill>
    <fill>
      <patternFill patternType="solid">
        <fgColor theme="0"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44"/>
      </patternFill>
    </fill>
    <fill>
      <patternFill patternType="solid">
        <fgColor theme="5" tint="0.59999389629810485"/>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medium">
        <color indexed="64"/>
      </left>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8"/>
      </left>
      <right style="hair">
        <color indexed="8"/>
      </right>
      <top style="hair">
        <color indexed="8"/>
      </top>
      <bottom style="hair">
        <color indexed="8"/>
      </bottom>
      <diagonal/>
    </border>
    <border>
      <left style="hair">
        <color indexed="64"/>
      </left>
      <right/>
      <top style="hair">
        <color indexed="64"/>
      </top>
      <bottom style="hair">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auto="1"/>
      </top>
      <bottom/>
      <diagonal/>
    </border>
    <border>
      <left style="thin">
        <color auto="1"/>
      </left>
      <right style="hair">
        <color indexed="64"/>
      </right>
      <top style="hair">
        <color indexed="64"/>
      </top>
      <bottom style="hair">
        <color indexed="64"/>
      </bottom>
      <diagonal/>
    </border>
    <border>
      <left style="thin">
        <color auto="1"/>
      </left>
      <right/>
      <top/>
      <bottom style="thin">
        <color auto="1"/>
      </bottom>
      <diagonal/>
    </border>
    <border>
      <left style="hair">
        <color indexed="64"/>
      </left>
      <right/>
      <top style="hair">
        <color indexed="64"/>
      </top>
      <bottom style="thin">
        <color auto="1"/>
      </bottom>
      <diagonal/>
    </border>
    <border>
      <left style="hair">
        <color indexed="64"/>
      </left>
      <right style="hair">
        <color indexed="64"/>
      </right>
      <top style="hair">
        <color indexed="64"/>
      </top>
      <bottom style="thin">
        <color auto="1"/>
      </bottom>
      <diagonal/>
    </border>
    <border>
      <left style="hair">
        <color indexed="64"/>
      </left>
      <right style="thin">
        <color auto="1"/>
      </right>
      <top style="hair">
        <color indexed="64"/>
      </top>
      <bottom style="thin">
        <color auto="1"/>
      </bottom>
      <diagonal/>
    </border>
    <border>
      <left style="hair">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thin">
        <color auto="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medium">
        <color indexed="64"/>
      </right>
      <top/>
      <bottom style="thin">
        <color indexed="64"/>
      </bottom>
      <diagonal/>
    </border>
    <border>
      <left style="hair">
        <color indexed="64"/>
      </left>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thin">
        <color auto="1"/>
      </bottom>
      <diagonal/>
    </border>
    <border>
      <left style="hair">
        <color indexed="64"/>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hair">
        <color indexed="64"/>
      </right>
      <top/>
      <bottom style="hair">
        <color indexed="64"/>
      </bottom>
      <diagonal/>
    </border>
    <border>
      <left style="medium">
        <color indexed="64"/>
      </left>
      <right/>
      <top/>
      <bottom style="thin">
        <color auto="1"/>
      </bottom>
      <diagonal/>
    </border>
    <border>
      <left/>
      <right style="medium">
        <color indexed="64"/>
      </right>
      <top/>
      <bottom style="medium">
        <color indexed="64"/>
      </bottom>
      <diagonal/>
    </border>
    <border>
      <left style="medium">
        <color auto="1"/>
      </left>
      <right style="hair">
        <color indexed="64"/>
      </right>
      <top style="hair">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s>
  <cellStyleXfs count="47">
    <xf numFmtId="0" fontId="0" fillId="0" borderId="0"/>
    <xf numFmtId="164" fontId="7" fillId="0" borderId="0" applyFont="0" applyFill="0" applyBorder="0" applyAlignment="0" applyProtection="0"/>
    <xf numFmtId="0" fontId="7" fillId="0" borderId="0"/>
    <xf numFmtId="0" fontId="6" fillId="0" borderId="0"/>
    <xf numFmtId="0" fontId="5" fillId="0" borderId="0"/>
    <xf numFmtId="0" fontId="35" fillId="0" borderId="0" applyNumberFormat="0" applyFill="0" applyBorder="0" applyAlignment="0" applyProtection="0"/>
    <xf numFmtId="0" fontId="36" fillId="0" borderId="74" applyNumberFormat="0" applyFill="0" applyAlignment="0" applyProtection="0"/>
    <xf numFmtId="0" fontId="37" fillId="0" borderId="75" applyNumberFormat="0" applyFill="0" applyAlignment="0" applyProtection="0"/>
    <xf numFmtId="0" fontId="38" fillId="0" borderId="76" applyNumberFormat="0" applyFill="0" applyAlignment="0" applyProtection="0"/>
    <xf numFmtId="0" fontId="38" fillId="0" borderId="0" applyNumberFormat="0" applyFill="0" applyBorder="0" applyAlignment="0" applyProtection="0"/>
    <xf numFmtId="0" fontId="39" fillId="33" borderId="0" applyNumberFormat="0" applyBorder="0" applyAlignment="0" applyProtection="0"/>
    <xf numFmtId="0" fontId="40" fillId="34" borderId="0" applyNumberFormat="0" applyBorder="0" applyAlignment="0" applyProtection="0"/>
    <xf numFmtId="0" fontId="41" fillId="35" borderId="0" applyNumberFormat="0" applyBorder="0" applyAlignment="0" applyProtection="0"/>
    <xf numFmtId="0" fontId="42" fillId="36" borderId="77" applyNumberFormat="0" applyAlignment="0" applyProtection="0"/>
    <xf numFmtId="0" fontId="43" fillId="37" borderId="78" applyNumberFormat="0" applyAlignment="0" applyProtection="0"/>
    <xf numFmtId="0" fontId="44" fillId="37" borderId="77" applyNumberFormat="0" applyAlignment="0" applyProtection="0"/>
    <xf numFmtId="0" fontId="45" fillId="0" borderId="79" applyNumberFormat="0" applyFill="0" applyAlignment="0" applyProtection="0"/>
    <xf numFmtId="0" fontId="46" fillId="38" borderId="80"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82" applyNumberFormat="0" applyFill="0" applyAlignment="0" applyProtection="0"/>
    <xf numFmtId="0" fontId="50"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50" fillId="55" borderId="0" applyNumberFormat="0" applyBorder="0" applyAlignment="0" applyProtection="0"/>
    <xf numFmtId="0" fontId="50" fillId="56"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50" fillId="59" borderId="0" applyNumberFormat="0" applyBorder="0" applyAlignment="0" applyProtection="0"/>
    <xf numFmtId="0" fontId="50" fillId="60"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50" fillId="63" borderId="0" applyNumberFormat="0" applyBorder="0" applyAlignment="0" applyProtection="0"/>
    <xf numFmtId="0" fontId="3" fillId="0" borderId="0"/>
    <xf numFmtId="0" fontId="3" fillId="39" borderId="81" applyNumberFormat="0" applyFont="0" applyAlignment="0" applyProtection="0"/>
  </cellStyleXfs>
  <cellXfs count="1616">
    <xf numFmtId="0" fontId="0" fillId="0" borderId="0" xfId="0"/>
    <xf numFmtId="0" fontId="7" fillId="2" borderId="1" xfId="0" applyFont="1" applyFill="1" applyBorder="1" applyAlignment="1">
      <alignment vertical="center" wrapText="1"/>
    </xf>
    <xf numFmtId="3" fontId="8" fillId="0" borderId="3" xfId="0" applyNumberFormat="1" applyFont="1" applyBorder="1" applyAlignment="1">
      <alignment vertical="center" wrapText="1"/>
    </xf>
    <xf numFmtId="3" fontId="8" fillId="0" borderId="5" xfId="0" applyNumberFormat="1" applyFont="1" applyBorder="1" applyAlignment="1">
      <alignment vertical="center" wrapText="1"/>
    </xf>
    <xf numFmtId="0" fontId="8"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3" fontId="11" fillId="5" borderId="1" xfId="0" applyNumberFormat="1" applyFont="1" applyFill="1" applyBorder="1" applyAlignment="1">
      <alignment horizontal="center" vertical="center" wrapText="1"/>
    </xf>
    <xf numFmtId="0" fontId="13" fillId="0" borderId="0" xfId="0" applyFont="1" applyFill="1"/>
    <xf numFmtId="3" fontId="11" fillId="0" borderId="7" xfId="0" applyNumberFormat="1" applyFont="1" applyFill="1" applyBorder="1" applyAlignment="1">
      <alignment horizontal="center" vertical="center" wrapText="1"/>
    </xf>
    <xf numFmtId="0" fontId="0" fillId="0" borderId="0" xfId="0" applyFill="1"/>
    <xf numFmtId="0" fontId="8" fillId="4" borderId="7" xfId="0" applyFont="1" applyFill="1" applyBorder="1" applyAlignment="1">
      <alignment horizontal="left" vertical="center" wrapText="1"/>
    </xf>
    <xf numFmtId="165" fontId="8" fillId="4" borderId="7" xfId="0" applyNumberFormat="1" applyFont="1" applyFill="1" applyBorder="1" applyAlignment="1">
      <alignment horizontal="center" vertical="center" wrapText="1"/>
    </xf>
    <xf numFmtId="0" fontId="8" fillId="4" borderId="7" xfId="0" applyFont="1" applyFill="1" applyBorder="1" applyAlignment="1">
      <alignment horizontal="justify" vertical="center" wrapText="1"/>
    </xf>
    <xf numFmtId="3" fontId="20" fillId="7" borderId="7" xfId="0" applyNumberFormat="1" applyFont="1" applyFill="1" applyBorder="1" applyAlignment="1">
      <alignment horizontal="left" vertical="center" wrapText="1"/>
    </xf>
    <xf numFmtId="0" fontId="8" fillId="4" borderId="7" xfId="0" applyFont="1" applyFill="1" applyBorder="1" applyAlignment="1">
      <alignment horizontal="center" vertical="center" wrapText="1"/>
    </xf>
    <xf numFmtId="3" fontId="11" fillId="4" borderId="7" xfId="0" applyNumberFormat="1" applyFont="1" applyFill="1" applyBorder="1" applyAlignment="1">
      <alignment horizontal="center" vertical="center" wrapText="1"/>
    </xf>
    <xf numFmtId="167" fontId="8" fillId="9" borderId="8" xfId="1" applyNumberFormat="1" applyFont="1" applyFill="1" applyBorder="1" applyAlignment="1">
      <alignment horizontal="center" wrapText="1"/>
    </xf>
    <xf numFmtId="167" fontId="8" fillId="9" borderId="9" xfId="1" applyNumberFormat="1" applyFont="1" applyFill="1" applyBorder="1" applyAlignment="1">
      <alignment horizontal="center" wrapText="1"/>
    </xf>
    <xf numFmtId="167" fontId="8" fillId="9" borderId="10" xfId="1" applyNumberFormat="1" applyFont="1" applyFill="1" applyBorder="1" applyAlignment="1">
      <alignment horizontal="center" wrapText="1"/>
    </xf>
    <xf numFmtId="167" fontId="11" fillId="9" borderId="8" xfId="1" applyNumberFormat="1" applyFont="1" applyFill="1" applyBorder="1" applyAlignment="1">
      <alignment horizontal="center" wrapText="1"/>
    </xf>
    <xf numFmtId="0" fontId="8" fillId="0" borderId="12" xfId="0" applyFont="1" applyBorder="1" applyAlignment="1">
      <alignment wrapText="1"/>
    </xf>
    <xf numFmtId="165" fontId="8" fillId="0" borderId="0" xfId="1" applyNumberFormat="1" applyFont="1" applyBorder="1" applyAlignment="1">
      <alignment horizontal="center" wrapText="1"/>
    </xf>
    <xf numFmtId="167" fontId="8" fillId="0" borderId="0" xfId="1" applyNumberFormat="1" applyFont="1" applyBorder="1" applyAlignment="1">
      <alignment horizontal="center" wrapText="1"/>
    </xf>
    <xf numFmtId="167" fontId="25" fillId="0" borderId="0" xfId="1" applyNumberFormat="1" applyFont="1" applyBorder="1" applyAlignment="1">
      <alignment horizontal="center" wrapText="1"/>
    </xf>
    <xf numFmtId="0" fontId="8" fillId="10" borderId="13" xfId="0" applyFont="1" applyFill="1" applyBorder="1" applyAlignment="1">
      <alignment vertical="center" wrapText="1"/>
    </xf>
    <xf numFmtId="165" fontId="8" fillId="10" borderId="7" xfId="1" applyNumberFormat="1" applyFont="1" applyFill="1" applyBorder="1" applyAlignment="1">
      <alignment horizontal="center" vertical="center" wrapText="1"/>
    </xf>
    <xf numFmtId="3" fontId="11" fillId="5" borderId="15" xfId="0" applyNumberFormat="1" applyFont="1" applyFill="1" applyBorder="1" applyAlignment="1">
      <alignment horizontal="center" vertical="center" wrapText="1"/>
    </xf>
    <xf numFmtId="0" fontId="25" fillId="11" borderId="13" xfId="0" applyFont="1" applyFill="1" applyBorder="1" applyAlignment="1">
      <alignment horizontal="center" vertical="center" wrapText="1"/>
    </xf>
    <xf numFmtId="165" fontId="8" fillId="0" borderId="7" xfId="1" applyNumberFormat="1" applyFont="1" applyBorder="1" applyAlignment="1">
      <alignment horizontal="center" vertical="center" wrapText="1"/>
    </xf>
    <xf numFmtId="167" fontId="25" fillId="11" borderId="7" xfId="0" applyNumberFormat="1" applyFont="1" applyFill="1" applyBorder="1" applyAlignment="1">
      <alignment horizontal="center" vertical="center" wrapText="1"/>
    </xf>
    <xf numFmtId="0" fontId="26" fillId="0" borderId="0" xfId="0" applyFont="1"/>
    <xf numFmtId="165" fontId="0" fillId="0" borderId="0" xfId="0" applyNumberFormat="1"/>
    <xf numFmtId="0" fontId="7" fillId="0" borderId="0" xfId="0" applyFont="1"/>
    <xf numFmtId="0" fontId="25" fillId="0" borderId="0" xfId="0" applyFont="1" applyAlignment="1">
      <alignment horizontal="right" wrapText="1"/>
    </xf>
    <xf numFmtId="165" fontId="25" fillId="0" borderId="0" xfId="0" applyNumberFormat="1" applyFont="1" applyAlignment="1">
      <alignment horizontal="center" wrapText="1"/>
    </xf>
    <xf numFmtId="0" fontId="25" fillId="0" borderId="0" xfId="0" applyFont="1" applyAlignment="1">
      <alignment horizontal="right"/>
    </xf>
    <xf numFmtId="0" fontId="25" fillId="0" borderId="0" xfId="0" applyFont="1" applyAlignment="1">
      <alignment horizontal="left"/>
    </xf>
    <xf numFmtId="0" fontId="26" fillId="0" borderId="0" xfId="0" applyFont="1" applyAlignment="1">
      <alignment wrapText="1"/>
    </xf>
    <xf numFmtId="165" fontId="26" fillId="0" borderId="0" xfId="0" applyNumberFormat="1" applyFont="1"/>
    <xf numFmtId="168" fontId="26" fillId="0" borderId="0" xfId="1" applyNumberFormat="1" applyFont="1"/>
    <xf numFmtId="0" fontId="26" fillId="0" borderId="0" xfId="0" applyFont="1" applyAlignment="1">
      <alignment horizontal="left"/>
    </xf>
    <xf numFmtId="168" fontId="0" fillId="0" borderId="0" xfId="1" applyNumberFormat="1" applyFont="1"/>
    <xf numFmtId="0" fontId="27" fillId="5" borderId="16"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0" fillId="5" borderId="16" xfId="0" applyFill="1" applyBorder="1" applyAlignment="1">
      <alignment horizontal="center"/>
    </xf>
    <xf numFmtId="0" fontId="0" fillId="5" borderId="0" xfId="0" applyFill="1" applyBorder="1"/>
    <xf numFmtId="0" fontId="25" fillId="0" borderId="12" xfId="0" applyFont="1" applyBorder="1" applyAlignment="1">
      <alignment vertical="center"/>
    </xf>
    <xf numFmtId="0" fontId="7" fillId="4" borderId="0" xfId="0" applyFont="1" applyFill="1" applyBorder="1" applyAlignment="1">
      <alignment horizontal="left" wrapText="1"/>
    </xf>
    <xf numFmtId="0" fontId="10" fillId="4" borderId="13" xfId="0" applyFont="1" applyFill="1" applyBorder="1" applyAlignment="1">
      <alignment vertical="center"/>
    </xf>
    <xf numFmtId="0" fontId="0" fillId="5" borderId="18" xfId="0" applyFill="1" applyBorder="1" applyAlignment="1">
      <alignment horizontal="center"/>
    </xf>
    <xf numFmtId="0" fontId="0" fillId="5" borderId="19" xfId="0" applyFill="1" applyBorder="1"/>
    <xf numFmtId="0" fontId="8" fillId="4" borderId="21"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2" xfId="0" applyFill="1" applyBorder="1" applyAlignment="1"/>
    <xf numFmtId="0" fontId="8" fillId="4" borderId="22" xfId="0" applyFont="1" applyFill="1" applyBorder="1" applyAlignment="1">
      <alignment horizontal="center" vertical="center" wrapText="1"/>
    </xf>
    <xf numFmtId="165" fontId="8" fillId="4" borderId="14"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0" fontId="11" fillId="0" borderId="7" xfId="0" applyFont="1" applyFill="1" applyBorder="1" applyAlignment="1">
      <alignment horizontal="center" vertical="center" wrapText="1"/>
    </xf>
    <xf numFmtId="165" fontId="17" fillId="0" borderId="7" xfId="0" applyNumberFormat="1" applyFont="1" applyFill="1" applyBorder="1" applyAlignment="1">
      <alignment horizontal="center" vertical="center" wrapText="1"/>
    </xf>
    <xf numFmtId="165" fontId="8" fillId="9" borderId="7" xfId="0" applyNumberFormat="1" applyFont="1" applyFill="1" applyBorder="1" applyAlignment="1">
      <alignment horizontal="center" vertical="center" wrapText="1"/>
    </xf>
    <xf numFmtId="0" fontId="7" fillId="9" borderId="7" xfId="0" applyFont="1" applyFill="1" applyBorder="1" applyAlignment="1">
      <alignment horizontal="justify" vertical="center" wrapText="1"/>
    </xf>
    <xf numFmtId="0" fontId="7" fillId="9" borderId="23" xfId="0" applyFont="1" applyFill="1" applyBorder="1" applyAlignment="1">
      <alignment horizontal="justify" vertical="center" wrapText="1"/>
    </xf>
    <xf numFmtId="0" fontId="8" fillId="9" borderId="3" xfId="0" applyFont="1" applyFill="1" applyBorder="1" applyAlignment="1">
      <alignment horizontal="center" vertical="center" wrapText="1"/>
    </xf>
    <xf numFmtId="0" fontId="11" fillId="9" borderId="7" xfId="0" applyFont="1" applyFill="1" applyBorder="1" applyAlignment="1">
      <alignment horizontal="center" vertical="center" wrapText="1"/>
    </xf>
    <xf numFmtId="3" fontId="11" fillId="9" borderId="7" xfId="0" applyNumberFormat="1" applyFont="1" applyFill="1" applyBorder="1" applyAlignment="1">
      <alignment horizontal="center" vertical="center" wrapText="1"/>
    </xf>
    <xf numFmtId="0" fontId="8" fillId="4" borderId="3"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8" fillId="9" borderId="7" xfId="0" applyFont="1" applyFill="1" applyBorder="1" applyAlignment="1">
      <alignment horizontal="justify" vertical="center" wrapText="1"/>
    </xf>
    <xf numFmtId="0" fontId="8" fillId="9" borderId="23" xfId="0" applyFont="1" applyFill="1" applyBorder="1" applyAlignment="1">
      <alignment horizontal="justify" vertical="center" wrapText="1"/>
    </xf>
    <xf numFmtId="0" fontId="8" fillId="4" borderId="1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0" fillId="0" borderId="12" xfId="0" applyBorder="1"/>
    <xf numFmtId="165" fontId="0" fillId="0" borderId="0" xfId="0" applyNumberFormat="1" applyBorder="1"/>
    <xf numFmtId="0" fontId="0" fillId="0" borderId="0" xfId="0" applyBorder="1"/>
    <xf numFmtId="0" fontId="0" fillId="0" borderId="0" xfId="0" applyBorder="1" applyAlignment="1">
      <alignment horizontal="center"/>
    </xf>
    <xf numFmtId="0" fontId="7" fillId="0" borderId="12" xfId="0" applyFont="1" applyBorder="1" applyAlignment="1">
      <alignment horizontal="right"/>
    </xf>
    <xf numFmtId="165" fontId="7" fillId="0" borderId="0" xfId="0" applyNumberFormat="1" applyFont="1" applyBorder="1" applyAlignment="1">
      <alignment horizontal="right"/>
    </xf>
    <xf numFmtId="0" fontId="7" fillId="0" borderId="25" xfId="0" applyFont="1" applyBorder="1"/>
    <xf numFmtId="168" fontId="26" fillId="0" borderId="25" xfId="0" applyNumberFormat="1" applyFont="1" applyBorder="1" applyAlignment="1">
      <alignment wrapText="1"/>
    </xf>
    <xf numFmtId="0" fontId="26" fillId="0" borderId="25" xfId="0" applyFont="1" applyBorder="1" applyAlignment="1">
      <alignment wrapText="1"/>
    </xf>
    <xf numFmtId="0" fontId="26" fillId="0" borderId="25" xfId="0" applyFont="1" applyBorder="1" applyAlignment="1">
      <alignment horizontal="center"/>
    </xf>
    <xf numFmtId="0" fontId="0" fillId="0" borderId="25" xfId="0" applyBorder="1"/>
    <xf numFmtId="0" fontId="0" fillId="0" borderId="0" xfId="0" applyAlignment="1">
      <alignment horizontal="center"/>
    </xf>
    <xf numFmtId="0" fontId="7" fillId="4" borderId="17" xfId="0" applyFont="1" applyFill="1" applyBorder="1" applyAlignment="1">
      <alignment horizontal="left" wrapText="1"/>
    </xf>
    <xf numFmtId="167" fontId="0" fillId="5" borderId="2" xfId="0" applyNumberFormat="1" applyFill="1" applyBorder="1" applyAlignment="1">
      <alignment horizontal="center" vertical="center" wrapText="1"/>
    </xf>
    <xf numFmtId="3" fontId="17" fillId="0" borderId="7" xfId="0" applyNumberFormat="1" applyFont="1" applyFill="1" applyBorder="1" applyAlignment="1">
      <alignment horizontal="center" vertical="center" wrapText="1"/>
    </xf>
    <xf numFmtId="0" fontId="12" fillId="4" borderId="7" xfId="0" applyFont="1" applyFill="1" applyBorder="1" applyAlignment="1">
      <alignment horizontal="justify" vertical="center" wrapText="1"/>
    </xf>
    <xf numFmtId="0" fontId="12" fillId="4" borderId="23" xfId="0" applyFont="1" applyFill="1" applyBorder="1" applyAlignment="1">
      <alignment horizontal="justify" vertical="center" wrapText="1"/>
    </xf>
    <xf numFmtId="0" fontId="17" fillId="4" borderId="7" xfId="0" applyFont="1" applyFill="1" applyBorder="1" applyAlignment="1">
      <alignment horizontal="center" vertical="center" wrapText="1"/>
    </xf>
    <xf numFmtId="165" fontId="8" fillId="0" borderId="0" xfId="0" applyNumberFormat="1"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8" fillId="0" borderId="7" xfId="1" applyNumberFormat="1" applyFont="1" applyBorder="1" applyAlignment="1">
      <alignment horizontal="center" vertical="center" wrapText="1"/>
    </xf>
    <xf numFmtId="166" fontId="8" fillId="9" borderId="8" xfId="1" applyNumberFormat="1" applyFont="1" applyFill="1" applyBorder="1" applyAlignment="1">
      <alignment horizontal="center" wrapText="1"/>
    </xf>
    <xf numFmtId="166" fontId="8" fillId="0" borderId="0" xfId="1" applyNumberFormat="1" applyFont="1" applyBorder="1" applyAlignment="1">
      <alignment horizontal="center" wrapText="1"/>
    </xf>
    <xf numFmtId="0" fontId="25" fillId="0" borderId="0" xfId="0" applyFont="1" applyAlignment="1">
      <alignment horizontal="center" wrapText="1"/>
    </xf>
    <xf numFmtId="167" fontId="26" fillId="0" borderId="0" xfId="0" applyNumberFormat="1" applyFont="1"/>
    <xf numFmtId="0" fontId="7" fillId="6" borderId="7" xfId="0" applyFont="1" applyFill="1" applyBorder="1" applyAlignment="1">
      <alignment horizontal="left" vertical="center"/>
    </xf>
    <xf numFmtId="0" fontId="16" fillId="6" borderId="7" xfId="0" applyFont="1" applyFill="1" applyBorder="1" applyAlignment="1">
      <alignment horizontal="left" vertical="center"/>
    </xf>
    <xf numFmtId="3" fontId="23" fillId="7" borderId="7" xfId="0" applyNumberFormat="1" applyFont="1" applyFill="1" applyBorder="1" applyAlignment="1">
      <alignment horizontal="left" vertical="center"/>
    </xf>
    <xf numFmtId="0" fontId="16" fillId="8" borderId="7" xfId="0" applyFont="1" applyFill="1" applyBorder="1" applyAlignment="1">
      <alignment horizontal="left" vertical="center"/>
    </xf>
    <xf numFmtId="0" fontId="7" fillId="6" borderId="23" xfId="0" applyFont="1" applyFill="1" applyBorder="1" applyAlignment="1">
      <alignment horizontal="left" vertical="center"/>
    </xf>
    <xf numFmtId="0" fontId="7" fillId="6" borderId="13" xfId="0" applyFont="1" applyFill="1" applyBorder="1" applyAlignment="1">
      <alignment horizontal="left" vertical="center"/>
    </xf>
    <xf numFmtId="0" fontId="16" fillId="6" borderId="23" xfId="0" applyFont="1" applyFill="1" applyBorder="1" applyAlignment="1">
      <alignment horizontal="left" vertical="center"/>
    </xf>
    <xf numFmtId="0" fontId="7" fillId="9" borderId="7" xfId="0" applyFont="1" applyFill="1" applyBorder="1" applyAlignment="1">
      <alignment horizontal="left" vertical="center"/>
    </xf>
    <xf numFmtId="0" fontId="7" fillId="9" borderId="23" xfId="0" applyFont="1" applyFill="1" applyBorder="1" applyAlignment="1">
      <alignment horizontal="left" vertical="center"/>
    </xf>
    <xf numFmtId="0" fontId="8" fillId="4" borderId="7" xfId="0" applyFont="1" applyFill="1" applyBorder="1" applyAlignment="1">
      <alignment horizontal="left" vertical="center"/>
    </xf>
    <xf numFmtId="0" fontId="8" fillId="4" borderId="23" xfId="0" applyFont="1" applyFill="1" applyBorder="1" applyAlignment="1">
      <alignment horizontal="left" vertical="center"/>
    </xf>
    <xf numFmtId="0" fontId="7" fillId="8" borderId="7" xfId="0" applyFont="1" applyFill="1" applyBorder="1" applyAlignment="1">
      <alignment horizontal="left" vertical="center"/>
    </xf>
    <xf numFmtId="0" fontId="7" fillId="8" borderId="23" xfId="0" applyFont="1" applyFill="1" applyBorder="1" applyAlignment="1">
      <alignment horizontal="left" vertical="center"/>
    </xf>
    <xf numFmtId="0" fontId="7" fillId="8" borderId="13" xfId="0" applyFont="1" applyFill="1" applyBorder="1" applyAlignment="1">
      <alignment horizontal="left" vertical="center"/>
    </xf>
    <xf numFmtId="0" fontId="16" fillId="8" borderId="23" xfId="0" applyFont="1" applyFill="1" applyBorder="1" applyAlignment="1">
      <alignment horizontal="left" vertical="center"/>
    </xf>
    <xf numFmtId="0" fontId="7" fillId="12" borderId="7" xfId="0" applyFont="1" applyFill="1" applyBorder="1" applyAlignment="1">
      <alignment horizontal="left" vertical="center"/>
    </xf>
    <xf numFmtId="0" fontId="7" fillId="12" borderId="13" xfId="0" applyFont="1" applyFill="1" applyBorder="1" applyAlignment="1">
      <alignment horizontal="left" vertical="center"/>
    </xf>
    <xf numFmtId="0" fontId="16" fillId="12" borderId="7" xfId="0" applyFont="1" applyFill="1" applyBorder="1" applyAlignment="1">
      <alignment horizontal="left" vertical="center"/>
    </xf>
    <xf numFmtId="0" fontId="16" fillId="12" borderId="23" xfId="0" applyFont="1" applyFill="1" applyBorder="1" applyAlignment="1">
      <alignment horizontal="left" vertical="center"/>
    </xf>
    <xf numFmtId="0" fontId="8" fillId="9" borderId="7" xfId="0" applyFont="1" applyFill="1" applyBorder="1" applyAlignment="1">
      <alignment horizontal="left" vertical="center"/>
    </xf>
    <xf numFmtId="0" fontId="8" fillId="9" borderId="23" xfId="0" applyFont="1" applyFill="1" applyBorder="1" applyAlignment="1">
      <alignment horizontal="left" vertical="center"/>
    </xf>
    <xf numFmtId="0" fontId="7" fillId="10" borderId="7" xfId="0" applyFont="1" applyFill="1" applyBorder="1" applyAlignment="1">
      <alignment horizontal="left" vertical="center"/>
    </xf>
    <xf numFmtId="0" fontId="7" fillId="10" borderId="23" xfId="0" applyFont="1" applyFill="1" applyBorder="1" applyAlignment="1">
      <alignment horizontal="left" vertical="center"/>
    </xf>
    <xf numFmtId="0" fontId="16" fillId="13" borderId="7" xfId="0" applyFont="1" applyFill="1" applyBorder="1" applyAlignment="1">
      <alignment horizontal="left" vertical="center"/>
    </xf>
    <xf numFmtId="0" fontId="16" fillId="13" borderId="23" xfId="0" applyFont="1" applyFill="1" applyBorder="1" applyAlignment="1">
      <alignment horizontal="left" vertical="center"/>
    </xf>
    <xf numFmtId="0" fontId="16" fillId="14" borderId="7" xfId="0" applyFont="1" applyFill="1" applyBorder="1" applyAlignment="1">
      <alignment horizontal="left" vertical="center"/>
    </xf>
    <xf numFmtId="0" fontId="16" fillId="14" borderId="23" xfId="0" applyFont="1" applyFill="1" applyBorder="1" applyAlignment="1">
      <alignment horizontal="left" vertical="center"/>
    </xf>
    <xf numFmtId="3" fontId="23" fillId="7" borderId="3" xfId="0" applyNumberFormat="1" applyFont="1" applyFill="1" applyBorder="1" applyAlignment="1">
      <alignment horizontal="left" vertical="center"/>
    </xf>
    <xf numFmtId="0" fontId="16" fillId="15" borderId="7" xfId="0" applyFont="1" applyFill="1" applyBorder="1" applyAlignment="1">
      <alignment horizontal="left" vertical="center"/>
    </xf>
    <xf numFmtId="3" fontId="30" fillId="13" borderId="7" xfId="2" applyNumberFormat="1" applyFont="1" applyFill="1" applyBorder="1" applyAlignment="1">
      <alignment horizontal="left" vertical="center"/>
    </xf>
    <xf numFmtId="3" fontId="30" fillId="13" borderId="14" xfId="2" applyNumberFormat="1" applyFont="1" applyFill="1" applyBorder="1" applyAlignment="1">
      <alignment horizontal="left" vertical="center"/>
    </xf>
    <xf numFmtId="3" fontId="30" fillId="13" borderId="27" xfId="2" applyNumberFormat="1" applyFont="1" applyFill="1" applyBorder="1" applyAlignment="1">
      <alignment horizontal="left" vertical="center"/>
    </xf>
    <xf numFmtId="0" fontId="7" fillId="0" borderId="7" xfId="0" applyFont="1" applyFill="1" applyBorder="1" applyAlignment="1">
      <alignment horizontal="center" vertical="center" wrapText="1"/>
    </xf>
    <xf numFmtId="1" fontId="11" fillId="5" borderId="1" xfId="0" applyNumberFormat="1" applyFont="1" applyFill="1" applyBorder="1" applyAlignment="1">
      <alignment horizontal="center" vertical="center" wrapText="1"/>
    </xf>
    <xf numFmtId="1" fontId="11" fillId="0" borderId="7" xfId="0" applyNumberFormat="1" applyFont="1" applyFill="1" applyBorder="1" applyAlignment="1">
      <alignment horizontal="center" vertical="center" wrapText="1"/>
    </xf>
    <xf numFmtId="1" fontId="18" fillId="0" borderId="7" xfId="0" applyNumberFormat="1" applyFont="1" applyFill="1" applyBorder="1" applyAlignment="1">
      <alignment horizontal="center" vertical="center" wrapText="1"/>
    </xf>
    <xf numFmtId="1" fontId="18" fillId="0" borderId="7" xfId="1" applyNumberFormat="1" applyFont="1" applyFill="1" applyBorder="1" applyAlignment="1">
      <alignment horizontal="center" vertical="center" wrapText="1"/>
    </xf>
    <xf numFmtId="1" fontId="11" fillId="4" borderId="7" xfId="0" applyNumberFormat="1" applyFont="1" applyFill="1" applyBorder="1" applyAlignment="1">
      <alignment horizontal="center" vertical="center" wrapText="1"/>
    </xf>
    <xf numFmtId="1" fontId="11" fillId="9" borderId="11" xfId="1" applyNumberFormat="1" applyFont="1" applyFill="1" applyBorder="1" applyAlignment="1">
      <alignment horizontal="center" wrapText="1"/>
    </xf>
    <xf numFmtId="1" fontId="25" fillId="0" borderId="0" xfId="1" applyNumberFormat="1" applyFont="1" applyBorder="1" applyAlignment="1">
      <alignment horizontal="center" wrapText="1"/>
    </xf>
    <xf numFmtId="1" fontId="0" fillId="0" borderId="0" xfId="0" applyNumberFormat="1"/>
    <xf numFmtId="3" fontId="18" fillId="0" borderId="7" xfId="0" applyNumberFormat="1" applyFont="1" applyFill="1" applyBorder="1" applyAlignment="1">
      <alignment horizontal="center" vertical="center" wrapText="1"/>
    </xf>
    <xf numFmtId="1" fontId="8" fillId="5" borderId="1" xfId="0" applyNumberFormat="1" applyFont="1" applyFill="1" applyBorder="1" applyAlignment="1">
      <alignment horizontal="center" vertical="center" wrapText="1"/>
    </xf>
    <xf numFmtId="1" fontId="7" fillId="0" borderId="7" xfId="0" applyNumberFormat="1" applyFont="1" applyFill="1" applyBorder="1" applyAlignment="1">
      <alignment horizontal="center" vertical="center" wrapText="1"/>
    </xf>
    <xf numFmtId="3" fontId="18" fillId="0" borderId="7" xfId="0" applyNumberFormat="1" applyFont="1" applyFill="1" applyBorder="1" applyAlignment="1">
      <alignment vertical="center" wrapText="1"/>
    </xf>
    <xf numFmtId="3" fontId="18" fillId="0" borderId="7" xfId="1" applyNumberFormat="1" applyFont="1" applyFill="1" applyBorder="1" applyAlignment="1">
      <alignment horizontal="center" vertical="center" wrapText="1"/>
    </xf>
    <xf numFmtId="3" fontId="11" fillId="9" borderId="8" xfId="1" applyNumberFormat="1" applyFont="1" applyFill="1" applyBorder="1" applyAlignment="1">
      <alignment horizontal="center" wrapText="1"/>
    </xf>
    <xf numFmtId="3" fontId="25" fillId="0" borderId="0" xfId="1" applyNumberFormat="1" applyFont="1" applyBorder="1" applyAlignment="1">
      <alignment horizontal="center" wrapText="1"/>
    </xf>
    <xf numFmtId="3" fontId="11" fillId="5" borderId="14" xfId="0" applyNumberFormat="1" applyFont="1" applyFill="1" applyBorder="1" applyAlignment="1">
      <alignment horizontal="center" vertical="center" wrapText="1"/>
    </xf>
    <xf numFmtId="3" fontId="25" fillId="11" borderId="7" xfId="0" applyNumberFormat="1" applyFont="1" applyFill="1" applyBorder="1" applyAlignment="1">
      <alignment horizontal="center" vertical="center" wrapText="1"/>
    </xf>
    <xf numFmtId="3" fontId="0" fillId="0" borderId="0" xfId="0" applyNumberFormat="1"/>
    <xf numFmtId="3" fontId="11" fillId="4" borderId="7" xfId="1" applyNumberFormat="1" applyFont="1" applyFill="1" applyBorder="1" applyAlignment="1">
      <alignment horizontal="center" vertical="center" wrapText="1"/>
    </xf>
    <xf numFmtId="3" fontId="0" fillId="0" borderId="0" xfId="0" applyNumberFormat="1" applyAlignment="1">
      <alignment horizontal="center" vertical="center"/>
    </xf>
    <xf numFmtId="1" fontId="11" fillId="4" borderId="7" xfId="1" applyNumberFormat="1" applyFont="1" applyFill="1" applyBorder="1" applyAlignment="1">
      <alignment horizontal="center" vertical="center" wrapText="1"/>
    </xf>
    <xf numFmtId="0" fontId="8" fillId="0" borderId="0" xfId="0" applyFont="1" applyFill="1"/>
    <xf numFmtId="3" fontId="7" fillId="2" borderId="1" xfId="0" applyNumberFormat="1" applyFont="1" applyFill="1" applyBorder="1" applyAlignment="1">
      <alignment vertical="center" wrapText="1"/>
    </xf>
    <xf numFmtId="3" fontId="8" fillId="4" borderId="1" xfId="0" applyNumberFormat="1" applyFont="1" applyFill="1" applyBorder="1" applyAlignment="1">
      <alignment horizontal="center" vertical="center" wrapText="1"/>
    </xf>
    <xf numFmtId="3" fontId="12" fillId="0" borderId="6" xfId="0" applyNumberFormat="1" applyFont="1" applyFill="1" applyBorder="1" applyAlignment="1">
      <alignment horizontal="center" vertical="center" wrapText="1"/>
    </xf>
    <xf numFmtId="3" fontId="8" fillId="4" borderId="7" xfId="0" applyNumberFormat="1" applyFont="1" applyFill="1" applyBorder="1" applyAlignment="1">
      <alignment horizontal="center" vertical="center" wrapText="1"/>
    </xf>
    <xf numFmtId="3" fontId="12" fillId="0" borderId="7" xfId="0" applyNumberFormat="1" applyFont="1" applyFill="1" applyBorder="1" applyAlignment="1">
      <alignment horizontal="center" vertical="center" wrapText="1"/>
    </xf>
    <xf numFmtId="3" fontId="16" fillId="0" borderId="7" xfId="0" applyNumberFormat="1" applyFont="1" applyFill="1" applyBorder="1" applyAlignment="1">
      <alignment horizontal="center" vertical="center" wrapText="1"/>
    </xf>
    <xf numFmtId="3" fontId="8" fillId="9" borderId="8" xfId="1" applyNumberFormat="1" applyFont="1" applyFill="1" applyBorder="1" applyAlignment="1">
      <alignment horizontal="center" wrapText="1"/>
    </xf>
    <xf numFmtId="3" fontId="8" fillId="0" borderId="0" xfId="1" applyNumberFormat="1" applyFont="1" applyBorder="1" applyAlignment="1">
      <alignment horizontal="center" wrapText="1"/>
    </xf>
    <xf numFmtId="3" fontId="8" fillId="10" borderId="7" xfId="1" applyNumberFormat="1" applyFont="1" applyFill="1" applyBorder="1" applyAlignment="1">
      <alignment horizontal="center" vertical="center" wrapText="1"/>
    </xf>
    <xf numFmtId="3" fontId="25" fillId="0" borderId="0" xfId="0" applyNumberFormat="1" applyFont="1" applyAlignment="1">
      <alignment horizontal="center" wrapText="1"/>
    </xf>
    <xf numFmtId="3" fontId="26" fillId="0" borderId="0" xfId="0" applyNumberFormat="1" applyFont="1"/>
    <xf numFmtId="0" fontId="0" fillId="0" borderId="0" xfId="0" applyAlignment="1">
      <alignment vertical="center"/>
    </xf>
    <xf numFmtId="0" fontId="0" fillId="0" borderId="0" xfId="0" applyFill="1" applyAlignment="1">
      <alignment vertical="center"/>
    </xf>
    <xf numFmtId="3" fontId="7" fillId="0" borderId="7" xfId="0" applyNumberFormat="1" applyFont="1" applyFill="1" applyBorder="1" applyAlignment="1">
      <alignment horizontal="center" vertical="center" wrapText="1"/>
    </xf>
    <xf numFmtId="0" fontId="8" fillId="0" borderId="0" xfId="0" applyFont="1"/>
    <xf numFmtId="167" fontId="25" fillId="11" borderId="7" xfId="0" applyNumberFormat="1" applyFont="1" applyFill="1" applyBorder="1" applyAlignment="1">
      <alignment vertical="center" wrapText="1"/>
    </xf>
    <xf numFmtId="0" fontId="7" fillId="0" borderId="0" xfId="0" applyFont="1" applyAlignment="1">
      <alignment horizontal="center"/>
    </xf>
    <xf numFmtId="1" fontId="7" fillId="0" borderId="0" xfId="0" applyNumberFormat="1" applyFont="1" applyAlignment="1">
      <alignment horizontal="center"/>
    </xf>
    <xf numFmtId="1" fontId="7" fillId="4" borderId="7" xfId="0" applyNumberFormat="1" applyFont="1" applyFill="1" applyBorder="1" applyAlignment="1">
      <alignment horizontal="center" vertical="center" wrapText="1"/>
    </xf>
    <xf numFmtId="1" fontId="7" fillId="9" borderId="9" xfId="1" applyNumberFormat="1" applyFont="1" applyFill="1" applyBorder="1" applyAlignment="1">
      <alignment horizontal="center" wrapText="1"/>
    </xf>
    <xf numFmtId="1" fontId="7" fillId="0" borderId="0" xfId="1" applyNumberFormat="1" applyFont="1" applyBorder="1" applyAlignment="1">
      <alignment horizontal="center" wrapText="1"/>
    </xf>
    <xf numFmtId="3" fontId="11" fillId="0" borderId="7" xfId="1" applyNumberFormat="1" applyFont="1" applyFill="1" applyBorder="1" applyAlignment="1">
      <alignment horizontal="center" vertical="center" wrapText="1"/>
    </xf>
    <xf numFmtId="1" fontId="11" fillId="0" borderId="7" xfId="1" applyNumberFormat="1" applyFont="1" applyFill="1" applyBorder="1" applyAlignment="1">
      <alignment horizontal="center" vertical="center" wrapText="1"/>
    </xf>
    <xf numFmtId="169" fontId="0" fillId="0" borderId="0" xfId="0" applyNumberFormat="1" applyAlignment="1">
      <alignment horizontal="center" vertical="center"/>
    </xf>
    <xf numFmtId="3" fontId="11" fillId="0" borderId="29" xfId="0" applyNumberFormat="1" applyFont="1" applyFill="1" applyBorder="1" applyAlignment="1">
      <alignment horizontal="center" vertical="center" wrapText="1"/>
    </xf>
    <xf numFmtId="3" fontId="18" fillId="0" borderId="29" xfId="0" applyNumberFormat="1" applyFont="1" applyFill="1" applyBorder="1" applyAlignment="1">
      <alignment horizontal="center" vertical="center" wrapText="1"/>
    </xf>
    <xf numFmtId="3" fontId="11" fillId="4" borderId="29" xfId="1" applyNumberFormat="1" applyFont="1" applyFill="1" applyBorder="1" applyAlignment="1">
      <alignment horizontal="center" vertical="center" wrapText="1"/>
    </xf>
    <xf numFmtId="3" fontId="18" fillId="0" borderId="29" xfId="1" applyNumberFormat="1" applyFont="1" applyFill="1" applyBorder="1" applyAlignment="1">
      <alignment horizontal="center" vertical="center" wrapText="1"/>
    </xf>
    <xf numFmtId="3" fontId="11" fillId="0" borderId="29" xfId="1" applyNumberFormat="1" applyFont="1" applyFill="1" applyBorder="1" applyAlignment="1">
      <alignment horizontal="center" vertical="center" wrapText="1"/>
    </xf>
    <xf numFmtId="3" fontId="11" fillId="4" borderId="29" xfId="0" applyNumberFormat="1" applyFont="1" applyFill="1" applyBorder="1" applyAlignment="1">
      <alignment horizontal="center" vertical="center" wrapText="1"/>
    </xf>
    <xf numFmtId="3" fontId="16" fillId="0" borderId="7" xfId="0" applyNumberFormat="1" applyFont="1" applyFill="1" applyBorder="1" applyAlignment="1">
      <alignment horizontal="center" vertical="center"/>
    </xf>
    <xf numFmtId="3" fontId="8"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1" fontId="7" fillId="0" borderId="17" xfId="0" applyNumberFormat="1" applyFont="1" applyFill="1" applyBorder="1" applyAlignment="1">
      <alignment horizontal="center" vertical="center" wrapText="1"/>
    </xf>
    <xf numFmtId="3" fontId="11" fillId="0" borderId="15" xfId="0" applyNumberFormat="1" applyFont="1" applyFill="1" applyBorder="1" applyAlignment="1">
      <alignment horizontal="center" vertical="center" wrapText="1"/>
    </xf>
    <xf numFmtId="1" fontId="11" fillId="0" borderId="16" xfId="0" applyNumberFormat="1" applyFont="1" applyFill="1" applyBorder="1" applyAlignment="1">
      <alignment horizontal="center" vertical="center" wrapText="1"/>
    </xf>
    <xf numFmtId="3" fontId="11" fillId="0" borderId="16" xfId="0" applyNumberFormat="1" applyFont="1" applyFill="1" applyBorder="1" applyAlignment="1">
      <alignment horizontal="center" vertical="center" wrapText="1"/>
    </xf>
    <xf numFmtId="3" fontId="13" fillId="0" borderId="7" xfId="0" applyNumberFormat="1" applyFont="1" applyFill="1" applyBorder="1" applyAlignment="1">
      <alignment horizontal="center" vertical="center"/>
    </xf>
    <xf numFmtId="3" fontId="0" fillId="0" borderId="7" xfId="0" applyNumberFormat="1" applyFill="1" applyBorder="1" applyAlignment="1">
      <alignment horizontal="center" vertical="center"/>
    </xf>
    <xf numFmtId="3" fontId="7" fillId="0" borderId="7" xfId="0" applyNumberFormat="1" applyFont="1" applyFill="1" applyBorder="1" applyAlignment="1">
      <alignment horizontal="center" vertical="center"/>
    </xf>
    <xf numFmtId="167" fontId="8" fillId="0" borderId="0" xfId="1" applyNumberFormat="1" applyFont="1" applyFill="1" applyBorder="1" applyAlignment="1">
      <alignment horizontal="center" wrapText="1"/>
    </xf>
    <xf numFmtId="1" fontId="7"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167" fontId="25" fillId="0" borderId="0" xfId="0" applyNumberFormat="1" applyFont="1" applyFill="1" applyBorder="1" applyAlignment="1">
      <alignment horizontal="center" vertical="center" wrapText="1"/>
    </xf>
    <xf numFmtId="1" fontId="26" fillId="0" borderId="0" xfId="0" applyNumberFormat="1" applyFont="1" applyFill="1" applyBorder="1" applyAlignment="1">
      <alignment horizontal="center" vertical="center" wrapText="1"/>
    </xf>
    <xf numFmtId="165" fontId="12" fillId="20" borderId="7" xfId="0" applyNumberFormat="1" applyFont="1" applyFill="1" applyBorder="1" applyAlignment="1">
      <alignment horizontal="center" vertical="center" wrapText="1"/>
    </xf>
    <xf numFmtId="0" fontId="8" fillId="9" borderId="13" xfId="0" applyFont="1" applyFill="1" applyBorder="1" applyAlignment="1">
      <alignment horizontal="right" vertical="center" wrapText="1"/>
    </xf>
    <xf numFmtId="0" fontId="7" fillId="0" borderId="3" xfId="0" applyFont="1" applyFill="1" applyBorder="1" applyAlignment="1">
      <alignment horizontal="center" vertical="center" wrapText="1"/>
    </xf>
    <xf numFmtId="165" fontId="7" fillId="0" borderId="7" xfId="0" applyNumberFormat="1" applyFont="1" applyFill="1" applyBorder="1" applyAlignment="1">
      <alignment horizontal="center" vertical="center" wrapText="1"/>
    </xf>
    <xf numFmtId="0" fontId="18" fillId="0" borderId="7" xfId="0" applyFont="1" applyFill="1" applyBorder="1" applyAlignment="1">
      <alignment horizontal="center" vertical="center" wrapText="1"/>
    </xf>
    <xf numFmtId="165" fontId="17" fillId="0" borderId="29" xfId="0" applyNumberFormat="1" applyFont="1" applyFill="1" applyBorder="1" applyAlignment="1">
      <alignment horizontal="center" vertical="center" wrapText="1"/>
    </xf>
    <xf numFmtId="3" fontId="11" fillId="9" borderId="29" xfId="0" applyNumberFormat="1" applyFont="1" applyFill="1" applyBorder="1" applyAlignment="1">
      <alignment horizontal="center" vertical="center" wrapText="1"/>
    </xf>
    <xf numFmtId="169" fontId="0" fillId="0" borderId="7" xfId="0" applyNumberFormat="1" applyFill="1" applyBorder="1" applyAlignment="1">
      <alignment horizontal="center"/>
    </xf>
    <xf numFmtId="3" fontId="0" fillId="0" borderId="7" xfId="0" applyNumberFormat="1" applyFill="1" applyBorder="1" applyAlignment="1">
      <alignment horizontal="center"/>
    </xf>
    <xf numFmtId="3" fontId="0" fillId="0" borderId="0" xfId="0" applyNumberFormat="1" applyAlignment="1">
      <alignment horizontal="center"/>
    </xf>
    <xf numFmtId="3" fontId="7" fillId="0" borderId="0" xfId="0" applyNumberFormat="1" applyFont="1" applyAlignment="1">
      <alignment horizontal="center"/>
    </xf>
    <xf numFmtId="3" fontId="7" fillId="0" borderId="7" xfId="0" applyNumberFormat="1" applyFont="1" applyFill="1" applyBorder="1" applyAlignment="1">
      <alignment horizontal="center"/>
    </xf>
    <xf numFmtId="0" fontId="8" fillId="9" borderId="13" xfId="0" applyFont="1" applyFill="1" applyBorder="1" applyAlignment="1">
      <alignment horizontal="right" vertical="center"/>
    </xf>
    <xf numFmtId="0" fontId="8" fillId="4" borderId="13" xfId="0" applyFont="1" applyFill="1" applyBorder="1" applyAlignment="1">
      <alignment horizontal="right" vertical="center"/>
    </xf>
    <xf numFmtId="165" fontId="7" fillId="0" borderId="7" xfId="0" applyNumberFormat="1" applyFont="1" applyFill="1" applyBorder="1" applyAlignment="1">
      <alignment horizontal="center" vertical="center"/>
    </xf>
    <xf numFmtId="165" fontId="8" fillId="4" borderId="7" xfId="0" applyNumberFormat="1" applyFont="1" applyFill="1" applyBorder="1" applyAlignment="1">
      <alignment horizontal="center" vertical="center"/>
    </xf>
    <xf numFmtId="165" fontId="8" fillId="21" borderId="7" xfId="0" applyNumberFormat="1" applyFont="1" applyFill="1" applyBorder="1" applyAlignment="1">
      <alignment horizontal="center" vertical="center" wrapText="1"/>
    </xf>
    <xf numFmtId="165" fontId="8" fillId="21" borderId="7" xfId="0" applyNumberFormat="1" applyFont="1" applyFill="1" applyBorder="1" applyAlignment="1">
      <alignment horizontal="center" vertical="center"/>
    </xf>
    <xf numFmtId="165" fontId="8" fillId="9" borderId="7" xfId="0" applyNumberFormat="1" applyFont="1" applyFill="1" applyBorder="1" applyAlignment="1">
      <alignment horizontal="center" vertical="center"/>
    </xf>
    <xf numFmtId="165" fontId="12" fillId="20" borderId="7" xfId="0" applyNumberFormat="1" applyFont="1" applyFill="1" applyBorder="1" applyAlignment="1">
      <alignment horizontal="center" vertical="center"/>
    </xf>
    <xf numFmtId="0" fontId="7" fillId="0" borderId="0" xfId="0" applyFont="1" applyFill="1"/>
    <xf numFmtId="169" fontId="0" fillId="0" borderId="0" xfId="0" applyNumberFormat="1" applyFill="1" applyAlignment="1">
      <alignment horizontal="center"/>
    </xf>
    <xf numFmtId="169" fontId="0" fillId="0" borderId="0" xfId="0" applyNumberFormat="1" applyAlignment="1">
      <alignment horizontal="center"/>
    </xf>
    <xf numFmtId="169" fontId="0" fillId="0" borderId="7" xfId="0" applyNumberFormat="1" applyFill="1" applyBorder="1" applyAlignment="1">
      <alignment horizontal="center" vertical="center"/>
    </xf>
    <xf numFmtId="0" fontId="8" fillId="0" borderId="12" xfId="0" applyFont="1" applyFill="1" applyBorder="1" applyAlignment="1">
      <alignment horizontal="center" vertical="center" wrapText="1"/>
    </xf>
    <xf numFmtId="165" fontId="8" fillId="0" borderId="15" xfId="0" applyNumberFormat="1" applyFont="1" applyFill="1" applyBorder="1" applyAlignment="1">
      <alignment horizontal="center" vertical="center" wrapText="1"/>
    </xf>
    <xf numFmtId="0" fontId="8" fillId="0" borderId="3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28" fillId="0" borderId="0" xfId="0" applyFont="1" applyAlignment="1">
      <alignment horizontal="center" vertical="center"/>
    </xf>
    <xf numFmtId="1" fontId="8" fillId="0" borderId="0" xfId="1" applyNumberFormat="1" applyFont="1" applyBorder="1" applyAlignment="1">
      <alignment horizontal="center" vertical="center" wrapText="1"/>
    </xf>
    <xf numFmtId="165" fontId="11" fillId="0" borderId="0" xfId="0" applyNumberFormat="1" applyFont="1" applyFill="1" applyBorder="1" applyAlignment="1">
      <alignment horizontal="center" vertical="center" wrapText="1"/>
    </xf>
    <xf numFmtId="167" fontId="11" fillId="0" borderId="0" xfId="0" applyNumberFormat="1" applyFont="1" applyFill="1" applyBorder="1" applyAlignment="1">
      <alignment horizontal="center" vertical="center" wrapText="1"/>
    </xf>
    <xf numFmtId="0" fontId="7" fillId="2" borderId="33" xfId="0" applyFont="1" applyFill="1" applyBorder="1" applyAlignment="1">
      <alignment vertical="center" wrapText="1"/>
    </xf>
    <xf numFmtId="3" fontId="8" fillId="0" borderId="0" xfId="0" applyNumberFormat="1" applyFont="1" applyBorder="1" applyAlignment="1">
      <alignment horizontal="center"/>
    </xf>
    <xf numFmtId="3" fontId="11" fillId="9" borderId="35" xfId="0" applyNumberFormat="1" applyFont="1" applyFill="1" applyBorder="1" applyAlignment="1">
      <alignment horizontal="center" vertical="center" wrapText="1"/>
    </xf>
    <xf numFmtId="3" fontId="11" fillId="4" borderId="35" xfId="0" applyNumberFormat="1" applyFont="1" applyFill="1" applyBorder="1" applyAlignment="1">
      <alignment horizontal="center" vertical="center" wrapText="1"/>
    </xf>
    <xf numFmtId="3" fontId="0" fillId="0" borderId="35" xfId="0" applyNumberFormat="1" applyFill="1" applyBorder="1" applyAlignment="1">
      <alignment horizontal="center" vertical="center"/>
    </xf>
    <xf numFmtId="3" fontId="11" fillId="0" borderId="35" xfId="0" applyNumberFormat="1" applyFont="1" applyFill="1" applyBorder="1" applyAlignment="1">
      <alignment horizontal="center" vertical="center" wrapText="1"/>
    </xf>
    <xf numFmtId="0" fontId="31" fillId="9" borderId="24" xfId="0" applyFont="1" applyFill="1" applyBorder="1" applyAlignment="1">
      <alignment horizontal="center" vertical="center" wrapText="1"/>
    </xf>
    <xf numFmtId="165" fontId="31" fillId="9" borderId="36" xfId="1" applyNumberFormat="1" applyFont="1" applyFill="1" applyBorder="1" applyAlignment="1">
      <alignment horizontal="center" vertical="center" wrapText="1"/>
    </xf>
    <xf numFmtId="167" fontId="31" fillId="9" borderId="36" xfId="1" applyNumberFormat="1" applyFont="1" applyFill="1" applyBorder="1" applyAlignment="1">
      <alignment horizontal="center" vertical="center" wrapText="1"/>
    </xf>
    <xf numFmtId="167" fontId="31" fillId="9" borderId="37" xfId="1" applyNumberFormat="1" applyFont="1" applyFill="1" applyBorder="1" applyAlignment="1">
      <alignment horizontal="center" vertical="center" wrapText="1"/>
    </xf>
    <xf numFmtId="167" fontId="31" fillId="9" borderId="38" xfId="1" applyNumberFormat="1" applyFont="1" applyFill="1" applyBorder="1" applyAlignment="1">
      <alignment horizontal="center" vertical="center" wrapText="1"/>
    </xf>
    <xf numFmtId="167" fontId="31" fillId="9" borderId="39" xfId="1" applyNumberFormat="1" applyFont="1" applyFill="1" applyBorder="1" applyAlignment="1">
      <alignment horizontal="center" vertical="center" wrapText="1"/>
    </xf>
    <xf numFmtId="167" fontId="31" fillId="9" borderId="40" xfId="1" applyNumberFormat="1" applyFont="1" applyFill="1" applyBorder="1" applyAlignment="1">
      <alignment horizontal="center" vertical="center" wrapText="1"/>
    </xf>
    <xf numFmtId="0" fontId="16" fillId="8" borderId="47" xfId="0" applyFont="1" applyFill="1" applyBorder="1" applyAlignment="1">
      <alignment horizontal="left" vertical="center"/>
    </xf>
    <xf numFmtId="0" fontId="8" fillId="9" borderId="48" xfId="0" applyFont="1" applyFill="1" applyBorder="1" applyAlignment="1">
      <alignment wrapText="1"/>
    </xf>
    <xf numFmtId="3" fontId="8" fillId="19" borderId="50" xfId="0" applyNumberFormat="1" applyFont="1" applyFill="1" applyBorder="1" applyAlignment="1">
      <alignment horizontal="center" vertical="center"/>
    </xf>
    <xf numFmtId="0" fontId="0" fillId="5" borderId="4" xfId="0" applyFill="1" applyBorder="1" applyAlignment="1">
      <alignment horizontal="center" vertical="center" wrapText="1"/>
    </xf>
    <xf numFmtId="0" fontId="0" fillId="5" borderId="4" xfId="0" applyFill="1" applyBorder="1" applyAlignment="1"/>
    <xf numFmtId="3" fontId="17" fillId="4" borderId="29" xfId="0" applyNumberFormat="1" applyFont="1" applyFill="1" applyBorder="1" applyAlignment="1">
      <alignment horizontal="center" vertical="center" wrapText="1"/>
    </xf>
    <xf numFmtId="0" fontId="8" fillId="4" borderId="54" xfId="0" applyFont="1" applyFill="1" applyBorder="1" applyAlignment="1">
      <alignment horizontal="center" vertical="center" wrapText="1"/>
    </xf>
    <xf numFmtId="0" fontId="12" fillId="8" borderId="47" xfId="0" applyFont="1" applyFill="1" applyBorder="1" applyAlignment="1">
      <alignment horizontal="left" vertical="center"/>
    </xf>
    <xf numFmtId="0" fontId="8" fillId="9" borderId="50" xfId="0" applyFont="1" applyFill="1" applyBorder="1" applyAlignment="1">
      <alignment horizontal="justify" vertical="center" wrapText="1"/>
    </xf>
    <xf numFmtId="0" fontId="8" fillId="9" borderId="51" xfId="0" applyFont="1" applyFill="1" applyBorder="1" applyAlignment="1">
      <alignment horizontal="justify" vertical="center" wrapText="1"/>
    </xf>
    <xf numFmtId="0" fontId="11" fillId="9" borderId="50" xfId="0" applyFont="1" applyFill="1" applyBorder="1" applyAlignment="1">
      <alignment horizontal="center" vertical="center" wrapText="1"/>
    </xf>
    <xf numFmtId="3" fontId="11" fillId="9" borderId="49" xfId="0" applyNumberFormat="1" applyFont="1" applyFill="1" applyBorder="1" applyAlignment="1">
      <alignment horizontal="center" vertical="center" wrapText="1"/>
    </xf>
    <xf numFmtId="165" fontId="16" fillId="0" borderId="7" xfId="0" applyNumberFormat="1" applyFont="1" applyFill="1" applyBorder="1" applyAlignment="1">
      <alignment horizontal="center" vertical="center"/>
    </xf>
    <xf numFmtId="0" fontId="8" fillId="9" borderId="47" xfId="0" applyFont="1" applyFill="1" applyBorder="1" applyAlignment="1">
      <alignment horizontal="right" vertical="center"/>
    </xf>
    <xf numFmtId="0" fontId="24" fillId="0" borderId="7" xfId="0" applyFont="1" applyFill="1" applyBorder="1" applyAlignment="1">
      <alignment horizontal="center" vertical="center" wrapText="1"/>
    </xf>
    <xf numFmtId="3" fontId="24" fillId="0" borderId="29" xfId="0" applyNumberFormat="1" applyFont="1" applyFill="1" applyBorder="1" applyAlignment="1">
      <alignment horizontal="center" vertical="center" wrapText="1"/>
    </xf>
    <xf numFmtId="3" fontId="24" fillId="0" borderId="7" xfId="0" applyNumberFormat="1" applyFont="1" applyFill="1" applyBorder="1" applyAlignment="1">
      <alignment horizontal="center" vertical="center" wrapText="1"/>
    </xf>
    <xf numFmtId="3" fontId="0" fillId="5" borderId="0" xfId="0" applyNumberFormat="1" applyFill="1" applyBorder="1" applyAlignment="1">
      <alignment horizontal="center" vertical="center"/>
    </xf>
    <xf numFmtId="3" fontId="0" fillId="5" borderId="45" xfId="0" applyNumberFormat="1" applyFill="1" applyBorder="1" applyAlignment="1">
      <alignment horizontal="center" vertical="center"/>
    </xf>
    <xf numFmtId="3" fontId="0" fillId="5" borderId="19" xfId="0" applyNumberFormat="1" applyFill="1" applyBorder="1" applyAlignment="1">
      <alignment horizontal="center" vertical="center"/>
    </xf>
    <xf numFmtId="3" fontId="0" fillId="5" borderId="2" xfId="0" applyNumberFormat="1" applyFill="1" applyBorder="1" applyAlignment="1">
      <alignment horizontal="center" vertical="center"/>
    </xf>
    <xf numFmtId="3" fontId="0" fillId="5" borderId="57" xfId="0" applyNumberFormat="1" applyFill="1" applyBorder="1" applyAlignment="1">
      <alignment horizontal="center" vertical="center"/>
    </xf>
    <xf numFmtId="0" fontId="8" fillId="4" borderId="47" xfId="0" applyFont="1" applyFill="1" applyBorder="1" applyAlignment="1">
      <alignment horizontal="right" vertical="center"/>
    </xf>
    <xf numFmtId="165" fontId="16" fillId="0" borderId="7" xfId="0" applyNumberFormat="1" applyFont="1" applyFill="1" applyBorder="1" applyAlignment="1">
      <alignment horizontal="center" vertical="center" wrapText="1"/>
    </xf>
    <xf numFmtId="169" fontId="0" fillId="5" borderId="16" xfId="0" applyNumberFormat="1" applyFill="1" applyBorder="1" applyAlignment="1">
      <alignment horizontal="center"/>
    </xf>
    <xf numFmtId="169" fontId="0" fillId="5" borderId="18" xfId="0" applyNumberFormat="1" applyFill="1" applyBorder="1" applyAlignment="1">
      <alignment horizontal="center"/>
    </xf>
    <xf numFmtId="169" fontId="0" fillId="5" borderId="2" xfId="0" applyNumberFormat="1" applyFill="1" applyBorder="1" applyAlignment="1">
      <alignment horizontal="center" vertical="center" wrapText="1"/>
    </xf>
    <xf numFmtId="169" fontId="8" fillId="5" borderId="1" xfId="0" applyNumberFormat="1" applyFont="1" applyFill="1" applyBorder="1" applyAlignment="1">
      <alignment horizontal="center" vertical="center" wrapText="1"/>
    </xf>
    <xf numFmtId="169" fontId="16" fillId="0" borderId="3" xfId="0" applyNumberFormat="1" applyFont="1" applyFill="1" applyBorder="1" applyAlignment="1">
      <alignment horizontal="center" vertical="center" wrapText="1"/>
    </xf>
    <xf numFmtId="169" fontId="8" fillId="9" borderId="3" xfId="0" applyNumberFormat="1" applyFont="1" applyFill="1" applyBorder="1" applyAlignment="1">
      <alignment horizontal="center" vertical="center" wrapText="1"/>
    </xf>
    <xf numFmtId="169" fontId="7" fillId="0" borderId="3" xfId="0" applyNumberFormat="1" applyFont="1" applyFill="1" applyBorder="1" applyAlignment="1">
      <alignment horizontal="center" vertical="center" wrapText="1"/>
    </xf>
    <xf numFmtId="169" fontId="8" fillId="4" borderId="3" xfId="0" applyNumberFormat="1" applyFont="1" applyFill="1" applyBorder="1" applyAlignment="1">
      <alignment horizontal="center" vertical="center" wrapText="1"/>
    </xf>
    <xf numFmtId="169" fontId="12" fillId="4" borderId="3" xfId="0" applyNumberFormat="1" applyFont="1" applyFill="1" applyBorder="1" applyAlignment="1">
      <alignment horizontal="center" vertical="center" wrapText="1"/>
    </xf>
    <xf numFmtId="169" fontId="8" fillId="9" borderId="55"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9" fontId="8" fillId="0" borderId="0" xfId="1" applyNumberFormat="1" applyFont="1" applyBorder="1" applyAlignment="1">
      <alignment horizontal="center" wrapText="1"/>
    </xf>
    <xf numFmtId="169" fontId="0" fillId="5" borderId="0" xfId="0" applyNumberFormat="1" applyFill="1" applyBorder="1" applyAlignment="1">
      <alignment horizontal="center"/>
    </xf>
    <xf numFmtId="169" fontId="0" fillId="5" borderId="19" xfId="0" applyNumberFormat="1" applyFill="1" applyBorder="1" applyAlignment="1">
      <alignment horizontal="center"/>
    </xf>
    <xf numFmtId="169" fontId="0" fillId="5" borderId="2" xfId="0" applyNumberFormat="1" applyFill="1" applyBorder="1" applyAlignment="1">
      <alignment horizontal="center"/>
    </xf>
    <xf numFmtId="0" fontId="16" fillId="24" borderId="7" xfId="0" applyFont="1" applyFill="1" applyBorder="1" applyAlignment="1">
      <alignment horizontal="left" vertical="center"/>
    </xf>
    <xf numFmtId="0" fontId="16" fillId="24" borderId="23" xfId="0" applyFont="1" applyFill="1" applyBorder="1" applyAlignment="1">
      <alignment horizontal="left" vertical="center"/>
    </xf>
    <xf numFmtId="0" fontId="12" fillId="0" borderId="14" xfId="0" applyFont="1" applyFill="1" applyBorder="1" applyAlignment="1">
      <alignment horizontal="justify" vertical="center" wrapText="1"/>
    </xf>
    <xf numFmtId="0" fontId="12" fillId="0" borderId="27" xfId="0" applyFont="1" applyFill="1" applyBorder="1" applyAlignment="1">
      <alignment horizontal="justify" vertical="center" wrapText="1"/>
    </xf>
    <xf numFmtId="169" fontId="12" fillId="0" borderId="5" xfId="0" applyNumberFormat="1" applyFont="1" applyFill="1" applyBorder="1" applyAlignment="1">
      <alignment horizontal="center" vertical="center" wrapText="1"/>
    </xf>
    <xf numFmtId="0" fontId="17" fillId="0" borderId="14" xfId="0" applyFont="1" applyFill="1" applyBorder="1" applyAlignment="1">
      <alignment horizontal="center" vertical="center" wrapText="1"/>
    </xf>
    <xf numFmtId="3" fontId="17" fillId="0" borderId="26" xfId="0" applyNumberFormat="1" applyFont="1" applyFill="1" applyBorder="1" applyAlignment="1">
      <alignment horizontal="center" vertical="center" wrapText="1"/>
    </xf>
    <xf numFmtId="165" fontId="24" fillId="0" borderId="29" xfId="0" applyNumberFormat="1" applyFont="1" applyFill="1" applyBorder="1" applyAlignment="1">
      <alignment horizontal="center" vertical="center" wrapText="1"/>
    </xf>
    <xf numFmtId="3" fontId="0" fillId="0" borderId="0" xfId="0" applyNumberFormat="1" applyFill="1" applyBorder="1" applyAlignment="1">
      <alignment horizontal="center" vertical="center"/>
    </xf>
    <xf numFmtId="169" fontId="0" fillId="0" borderId="0" xfId="0" applyNumberFormat="1" applyFill="1" applyBorder="1" applyAlignment="1">
      <alignment horizontal="center"/>
    </xf>
    <xf numFmtId="3" fontId="0" fillId="0" borderId="0" xfId="0" applyNumberFormat="1" applyBorder="1" applyAlignment="1">
      <alignment horizontal="center" vertical="center"/>
    </xf>
    <xf numFmtId="169" fontId="0" fillId="0" borderId="0" xfId="0" applyNumberFormat="1" applyBorder="1" applyAlignment="1">
      <alignment horizontal="center"/>
    </xf>
    <xf numFmtId="3" fontId="8" fillId="0" borderId="0" xfId="1" applyNumberFormat="1" applyFont="1" applyFill="1" applyBorder="1" applyAlignment="1">
      <alignment horizontal="center" vertical="center" wrapText="1"/>
    </xf>
    <xf numFmtId="169" fontId="8" fillId="0" borderId="0" xfId="1" applyNumberFormat="1" applyFont="1" applyFill="1" applyBorder="1" applyAlignment="1">
      <alignment horizontal="center" vertical="center" wrapText="1"/>
    </xf>
    <xf numFmtId="3" fontId="11" fillId="5" borderId="31" xfId="0" applyNumberFormat="1" applyFont="1" applyFill="1" applyBorder="1" applyAlignment="1">
      <alignment horizontal="center" vertical="center" wrapText="1"/>
    </xf>
    <xf numFmtId="3" fontId="7" fillId="0" borderId="3" xfId="0" applyNumberFormat="1" applyFont="1" applyFill="1" applyBorder="1" applyAlignment="1">
      <alignment horizontal="center"/>
    </xf>
    <xf numFmtId="3" fontId="11" fillId="9" borderId="2" xfId="0" applyNumberFormat="1" applyFont="1" applyFill="1" applyBorder="1" applyAlignment="1">
      <alignment horizontal="center" vertical="center" wrapText="1"/>
    </xf>
    <xf numFmtId="3" fontId="11" fillId="4" borderId="2"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xf>
    <xf numFmtId="3" fontId="11" fillId="0" borderId="2" xfId="0" applyNumberFormat="1" applyFont="1" applyFill="1" applyBorder="1" applyAlignment="1">
      <alignment horizontal="center" vertical="center" wrapText="1"/>
    </xf>
    <xf numFmtId="169" fontId="11" fillId="5" borderId="59" xfId="0" applyNumberFormat="1" applyFont="1" applyFill="1" applyBorder="1" applyAlignment="1">
      <alignment horizontal="center" vertical="center" wrapText="1"/>
    </xf>
    <xf numFmtId="169" fontId="0" fillId="0" borderId="35" xfId="0" applyNumberFormat="1" applyFill="1" applyBorder="1" applyAlignment="1">
      <alignment horizontal="center"/>
    </xf>
    <xf numFmtId="169" fontId="13" fillId="0" borderId="35" xfId="0" applyNumberFormat="1" applyFont="1" applyFill="1" applyBorder="1" applyAlignment="1">
      <alignment horizontal="center"/>
    </xf>
    <xf numFmtId="169" fontId="0" fillId="0" borderId="35" xfId="0" applyNumberFormat="1" applyFill="1" applyBorder="1" applyAlignment="1">
      <alignment horizontal="center" vertical="center"/>
    </xf>
    <xf numFmtId="169" fontId="7" fillId="0" borderId="35" xfId="0" applyNumberFormat="1" applyFont="1" applyFill="1" applyBorder="1" applyAlignment="1">
      <alignment horizontal="center" vertical="center"/>
    </xf>
    <xf numFmtId="169" fontId="26" fillId="0" borderId="35" xfId="0" applyNumberFormat="1" applyFont="1" applyFill="1" applyBorder="1" applyAlignment="1">
      <alignment horizontal="center" vertical="center"/>
    </xf>
    <xf numFmtId="3" fontId="0" fillId="0" borderId="3" xfId="0" applyNumberFormat="1" applyFill="1" applyBorder="1" applyAlignment="1">
      <alignment horizontal="center" vertical="center"/>
    </xf>
    <xf numFmtId="3" fontId="13" fillId="0" borderId="3" xfId="0" applyNumberFormat="1" applyFont="1" applyFill="1" applyBorder="1" applyAlignment="1">
      <alignment horizontal="center" vertical="center"/>
    </xf>
    <xf numFmtId="3" fontId="0" fillId="0" borderId="5" xfId="0" applyNumberFormat="1" applyFill="1" applyBorder="1" applyAlignment="1">
      <alignment horizontal="center" vertical="center"/>
    </xf>
    <xf numFmtId="169" fontId="11" fillId="9" borderId="35" xfId="0" applyNumberFormat="1" applyFont="1" applyFill="1" applyBorder="1" applyAlignment="1">
      <alignment horizontal="center" vertical="center" wrapText="1"/>
    </xf>
    <xf numFmtId="169" fontId="11" fillId="4" borderId="35" xfId="0" applyNumberFormat="1" applyFont="1" applyFill="1" applyBorder="1" applyAlignment="1">
      <alignment horizontal="center" vertical="center" wrapText="1"/>
    </xf>
    <xf numFmtId="169" fontId="16" fillId="0" borderId="35" xfId="0" applyNumberFormat="1" applyFont="1" applyFill="1" applyBorder="1" applyAlignment="1">
      <alignment horizontal="center"/>
    </xf>
    <xf numFmtId="3" fontId="17" fillId="4" borderId="35" xfId="0" applyNumberFormat="1" applyFont="1" applyFill="1" applyBorder="1" applyAlignment="1">
      <alignment horizontal="center" vertical="center" wrapText="1"/>
    </xf>
    <xf numFmtId="169" fontId="0" fillId="0" borderId="60" xfId="0" applyNumberFormat="1" applyFill="1" applyBorder="1" applyAlignment="1">
      <alignment horizontal="center"/>
    </xf>
    <xf numFmtId="3" fontId="11" fillId="9" borderId="61" xfId="0" applyNumberFormat="1" applyFont="1" applyFill="1" applyBorder="1" applyAlignment="1">
      <alignment horizontal="center" vertical="center" wrapText="1"/>
    </xf>
    <xf numFmtId="3" fontId="8" fillId="18" borderId="3" xfId="0" applyNumberFormat="1" applyFont="1" applyFill="1" applyBorder="1" applyAlignment="1">
      <alignment horizontal="center" vertical="center"/>
    </xf>
    <xf numFmtId="3" fontId="11" fillId="4" borderId="3" xfId="1" applyNumberFormat="1" applyFont="1" applyFill="1" applyBorder="1" applyAlignment="1">
      <alignment horizontal="center" vertical="center" wrapText="1"/>
    </xf>
    <xf numFmtId="3" fontId="16" fillId="0" borderId="3" xfId="0" applyNumberFormat="1" applyFont="1" applyFill="1" applyBorder="1" applyAlignment="1">
      <alignment horizontal="center" vertical="center"/>
    </xf>
    <xf numFmtId="3" fontId="11" fillId="4" borderId="3" xfId="0" applyNumberFormat="1" applyFont="1" applyFill="1" applyBorder="1" applyAlignment="1">
      <alignment horizontal="center" vertical="center" wrapText="1"/>
    </xf>
    <xf numFmtId="3" fontId="11" fillId="0" borderId="3" xfId="0" applyNumberFormat="1" applyFont="1" applyFill="1" applyBorder="1" applyAlignment="1">
      <alignment horizontal="center" vertical="center" wrapText="1"/>
    </xf>
    <xf numFmtId="3" fontId="8" fillId="19" borderId="55" xfId="0" applyNumberFormat="1" applyFont="1" applyFill="1" applyBorder="1" applyAlignment="1">
      <alignment horizontal="center" vertical="center"/>
    </xf>
    <xf numFmtId="3" fontId="11" fillId="5" borderId="59" xfId="0" applyNumberFormat="1" applyFont="1" applyFill="1" applyBorder="1" applyAlignment="1">
      <alignment horizontal="center" vertical="center" wrapText="1"/>
    </xf>
    <xf numFmtId="0" fontId="0" fillId="0" borderId="35" xfId="0" applyFill="1" applyBorder="1" applyAlignment="1">
      <alignment horizontal="center" vertical="center"/>
    </xf>
    <xf numFmtId="168" fontId="11" fillId="4" borderId="35" xfId="1" applyNumberFormat="1" applyFont="1" applyFill="1" applyBorder="1" applyAlignment="1">
      <alignment horizontal="center" vertical="center" wrapText="1"/>
    </xf>
    <xf numFmtId="168" fontId="18" fillId="0" borderId="35" xfId="1" applyNumberFormat="1" applyFont="1" applyFill="1" applyBorder="1" applyAlignment="1">
      <alignment horizontal="center" vertical="center" wrapText="1"/>
    </xf>
    <xf numFmtId="168" fontId="11" fillId="0" borderId="35" xfId="1" applyNumberFormat="1" applyFont="1" applyFill="1" applyBorder="1" applyAlignment="1">
      <alignment horizontal="center" vertical="center" wrapText="1"/>
    </xf>
    <xf numFmtId="167" fontId="11" fillId="9" borderId="61" xfId="1" applyNumberFormat="1" applyFont="1" applyFill="1" applyBorder="1" applyAlignment="1">
      <alignment horizontal="center" wrapText="1"/>
    </xf>
    <xf numFmtId="3" fontId="11" fillId="5" borderId="7" xfId="0" applyNumberFormat="1" applyFont="1" applyFill="1" applyBorder="1" applyAlignment="1">
      <alignment horizontal="center" vertical="center" wrapText="1"/>
    </xf>
    <xf numFmtId="1" fontId="11" fillId="5" borderId="62" xfId="0" applyNumberFormat="1" applyFont="1" applyFill="1" applyBorder="1" applyAlignment="1">
      <alignment horizontal="center" vertical="center" wrapText="1"/>
    </xf>
    <xf numFmtId="169" fontId="11" fillId="5" borderId="63" xfId="0" applyNumberFormat="1" applyFont="1" applyFill="1" applyBorder="1" applyAlignment="1">
      <alignment horizontal="center" vertical="center" wrapText="1"/>
    </xf>
    <xf numFmtId="0" fontId="13" fillId="0" borderId="7" xfId="0" applyFont="1" applyFill="1" applyBorder="1"/>
    <xf numFmtId="0" fontId="0" fillId="0" borderId="7" xfId="0" applyFill="1" applyBorder="1"/>
    <xf numFmtId="169" fontId="8" fillId="9" borderId="9" xfId="1" applyNumberFormat="1" applyFont="1" applyFill="1" applyBorder="1" applyAlignment="1">
      <alignment horizontal="center" wrapText="1"/>
    </xf>
    <xf numFmtId="169" fontId="0" fillId="0" borderId="25" xfId="0" applyNumberFormat="1" applyBorder="1" applyAlignment="1">
      <alignment horizontal="center"/>
    </xf>
    <xf numFmtId="3" fontId="17" fillId="5" borderId="62" xfId="0" applyNumberFormat="1" applyFont="1" applyFill="1" applyBorder="1" applyAlignment="1">
      <alignment horizontal="center" vertical="center" wrapText="1"/>
    </xf>
    <xf numFmtId="0" fontId="16" fillId="0" borderId="7" xfId="0" applyFont="1" applyFill="1" applyBorder="1"/>
    <xf numFmtId="3" fontId="16" fillId="0" borderId="0" xfId="0" applyNumberFormat="1" applyFont="1"/>
    <xf numFmtId="3" fontId="16" fillId="0" borderId="7" xfId="0" applyNumberFormat="1" applyFont="1" applyFill="1" applyBorder="1"/>
    <xf numFmtId="3" fontId="17" fillId="5" borderId="46" xfId="0" applyNumberFormat="1" applyFont="1" applyFill="1" applyBorder="1" applyAlignment="1">
      <alignment horizontal="center" vertical="center" wrapText="1"/>
    </xf>
    <xf numFmtId="3" fontId="19" fillId="7" borderId="47" xfId="0" applyNumberFormat="1" applyFont="1" applyFill="1" applyBorder="1" applyAlignment="1">
      <alignment horizontal="center" vertical="center" wrapText="1"/>
    </xf>
    <xf numFmtId="3" fontId="23" fillId="7" borderId="47" xfId="0" applyNumberFormat="1" applyFont="1" applyFill="1" applyBorder="1" applyAlignment="1">
      <alignment horizontal="left" vertical="center"/>
    </xf>
    <xf numFmtId="0" fontId="12" fillId="15" borderId="47" xfId="0" applyFont="1" applyFill="1" applyBorder="1" applyAlignment="1">
      <alignment horizontal="left" vertical="center"/>
    </xf>
    <xf numFmtId="0" fontId="16" fillId="15" borderId="47" xfId="0" applyFont="1" applyFill="1" applyBorder="1" applyAlignment="1">
      <alignment horizontal="left" vertical="center"/>
    </xf>
    <xf numFmtId="3" fontId="16" fillId="0" borderId="7" xfId="0" applyNumberFormat="1" applyFont="1" applyFill="1" applyBorder="1" applyAlignment="1">
      <alignment horizontal="center"/>
    </xf>
    <xf numFmtId="3" fontId="16" fillId="0" borderId="0" xfId="0" applyNumberFormat="1" applyFont="1" applyAlignment="1">
      <alignment horizontal="center"/>
    </xf>
    <xf numFmtId="0" fontId="8" fillId="9" borderId="47" xfId="0" applyFont="1" applyFill="1" applyBorder="1" applyAlignment="1">
      <alignment horizontal="right" vertical="center" wrapText="1"/>
    </xf>
    <xf numFmtId="0" fontId="8" fillId="0" borderId="41" xfId="0" applyFont="1" applyFill="1" applyBorder="1" applyAlignment="1">
      <alignment horizontal="right" vertical="center" wrapText="1"/>
    </xf>
    <xf numFmtId="0" fontId="8" fillId="0" borderId="15" xfId="0" applyFont="1" applyFill="1" applyBorder="1" applyAlignment="1">
      <alignment horizontal="justify" vertical="center" wrapText="1"/>
    </xf>
    <xf numFmtId="0" fontId="8" fillId="0" borderId="17" xfId="0" applyFont="1" applyFill="1" applyBorder="1" applyAlignment="1">
      <alignment horizontal="justify" vertical="center" wrapText="1"/>
    </xf>
    <xf numFmtId="0" fontId="8" fillId="0" borderId="30" xfId="0" applyFont="1" applyFill="1" applyBorder="1" applyAlignment="1">
      <alignment horizontal="justify" vertical="center" wrapText="1"/>
    </xf>
    <xf numFmtId="169" fontId="8" fillId="0" borderId="17" xfId="0" applyNumberFormat="1" applyFont="1" applyFill="1" applyBorder="1" applyAlignment="1">
      <alignment horizontal="center" vertical="center" wrapText="1"/>
    </xf>
    <xf numFmtId="3" fontId="16" fillId="0" borderId="14" xfId="0" applyNumberFormat="1" applyFont="1" applyFill="1" applyBorder="1" applyAlignment="1">
      <alignment horizontal="center"/>
    </xf>
    <xf numFmtId="3" fontId="16" fillId="0" borderId="14" xfId="0" applyNumberFormat="1" applyFont="1" applyFill="1" applyBorder="1"/>
    <xf numFmtId="166" fontId="8" fillId="0" borderId="7" xfId="1" applyNumberFormat="1" applyFont="1" applyBorder="1" applyAlignment="1">
      <alignment horizontal="center" vertical="center" wrapText="1"/>
    </xf>
    <xf numFmtId="3" fontId="16" fillId="0" borderId="3" xfId="0" applyNumberFormat="1" applyFont="1" applyFill="1" applyBorder="1"/>
    <xf numFmtId="3" fontId="11" fillId="9" borderId="3" xfId="0" applyNumberFormat="1" applyFont="1" applyFill="1" applyBorder="1" applyAlignment="1">
      <alignment horizontal="center" vertical="center" wrapText="1"/>
    </xf>
    <xf numFmtId="3" fontId="16" fillId="0" borderId="5" xfId="0" applyNumberFormat="1" applyFont="1" applyFill="1" applyBorder="1"/>
    <xf numFmtId="167" fontId="11" fillId="9" borderId="9" xfId="1" applyNumberFormat="1" applyFont="1" applyFill="1" applyBorder="1" applyAlignment="1">
      <alignment horizontal="center" wrapText="1"/>
    </xf>
    <xf numFmtId="168" fontId="8" fillId="0" borderId="0" xfId="1" applyNumberFormat="1" applyFont="1" applyFill="1" applyBorder="1" applyAlignment="1">
      <alignment horizontal="center" vertical="center" wrapText="1"/>
    </xf>
    <xf numFmtId="3" fontId="17" fillId="5" borderId="7" xfId="0" applyNumberFormat="1" applyFont="1" applyFill="1" applyBorder="1" applyAlignment="1">
      <alignment horizontal="center" vertical="center" wrapText="1"/>
    </xf>
    <xf numFmtId="167" fontId="8" fillId="10" borderId="7" xfId="1" applyNumberFormat="1" applyFont="1" applyFill="1" applyBorder="1" applyAlignment="1">
      <alignment horizontal="center" vertical="center" wrapText="1"/>
    </xf>
    <xf numFmtId="0" fontId="0" fillId="5" borderId="57" xfId="0" applyFill="1" applyBorder="1" applyAlignment="1"/>
    <xf numFmtId="3" fontId="17" fillId="5" borderId="14" xfId="0" applyNumberFormat="1" applyFont="1" applyFill="1" applyBorder="1" applyAlignment="1">
      <alignment horizontal="center" vertical="center" wrapText="1"/>
    </xf>
    <xf numFmtId="3" fontId="30" fillId="21" borderId="7" xfId="2" applyNumberFormat="1" applyFont="1" applyFill="1" applyBorder="1" applyAlignment="1">
      <alignment horizontal="left" vertical="center"/>
    </xf>
    <xf numFmtId="3" fontId="30" fillId="21" borderId="14" xfId="2" applyNumberFormat="1" applyFont="1" applyFill="1" applyBorder="1" applyAlignment="1">
      <alignment horizontal="left" vertical="center"/>
    </xf>
    <xf numFmtId="3" fontId="30" fillId="21" borderId="27" xfId="2" applyNumberFormat="1" applyFont="1" applyFill="1" applyBorder="1" applyAlignment="1">
      <alignment horizontal="left" vertical="center"/>
    </xf>
    <xf numFmtId="3" fontId="30" fillId="24" borderId="7" xfId="2" applyNumberFormat="1" applyFont="1" applyFill="1" applyBorder="1" applyAlignment="1">
      <alignment horizontal="left" vertical="center"/>
    </xf>
    <xf numFmtId="3" fontId="30" fillId="24" borderId="14" xfId="2" applyNumberFormat="1" applyFont="1" applyFill="1" applyBorder="1" applyAlignment="1">
      <alignment horizontal="left" vertical="center"/>
    </xf>
    <xf numFmtId="3" fontId="30" fillId="24" borderId="27" xfId="2" applyNumberFormat="1" applyFont="1" applyFill="1" applyBorder="1" applyAlignment="1">
      <alignment horizontal="left" vertical="center"/>
    </xf>
    <xf numFmtId="3" fontId="8" fillId="0" borderId="0" xfId="1" applyNumberFormat="1" applyFont="1" applyBorder="1" applyAlignment="1">
      <alignment horizontal="center"/>
    </xf>
    <xf numFmtId="3" fontId="8" fillId="4" borderId="14" xfId="0" applyNumberFormat="1" applyFont="1" applyFill="1" applyBorder="1" applyAlignment="1">
      <alignment horizontal="center" vertical="center" wrapText="1"/>
    </xf>
    <xf numFmtId="3" fontId="30" fillId="16" borderId="7" xfId="1" applyNumberFormat="1" applyFont="1" applyFill="1" applyBorder="1" applyAlignment="1">
      <alignment horizontal="center" vertical="center"/>
    </xf>
    <xf numFmtId="3" fontId="8" fillId="4" borderId="7" xfId="0" applyNumberFormat="1" applyFont="1" applyFill="1" applyBorder="1" applyAlignment="1">
      <alignment horizontal="center" vertical="center"/>
    </xf>
    <xf numFmtId="3" fontId="0" fillId="5" borderId="0" xfId="0" applyNumberFormat="1" applyFill="1" applyBorder="1" applyAlignment="1">
      <alignment horizontal="center"/>
    </xf>
    <xf numFmtId="3" fontId="0" fillId="5" borderId="19" xfId="0" applyNumberFormat="1" applyFill="1" applyBorder="1" applyAlignment="1">
      <alignment horizontal="center"/>
    </xf>
    <xf numFmtId="3" fontId="0" fillId="5" borderId="2" xfId="0" applyNumberFormat="1" applyFill="1" applyBorder="1" applyAlignment="1">
      <alignment horizontal="center"/>
    </xf>
    <xf numFmtId="3" fontId="8" fillId="5" borderId="1" xfId="0" applyNumberFormat="1" applyFont="1" applyFill="1" applyBorder="1" applyAlignment="1">
      <alignment horizontal="center" vertical="center" wrapText="1"/>
    </xf>
    <xf numFmtId="169" fontId="17" fillId="5" borderId="63" xfId="0" applyNumberFormat="1" applyFont="1" applyFill="1" applyBorder="1" applyAlignment="1">
      <alignment horizontal="center" vertical="center" wrapText="1"/>
    </xf>
    <xf numFmtId="3" fontId="11" fillId="5" borderId="5" xfId="0" applyNumberFormat="1" applyFont="1" applyFill="1" applyBorder="1" applyAlignment="1">
      <alignment horizontal="center" vertical="center" wrapText="1"/>
    </xf>
    <xf numFmtId="0" fontId="7" fillId="0" borderId="7" xfId="0" applyFont="1" applyFill="1" applyBorder="1"/>
    <xf numFmtId="169" fontId="17" fillId="5" borderId="0" xfId="0" applyNumberFormat="1" applyFont="1" applyFill="1" applyBorder="1" applyAlignment="1">
      <alignment horizontal="center" vertical="center" wrapText="1"/>
    </xf>
    <xf numFmtId="3" fontId="29" fillId="13" borderId="7" xfId="2" applyNumberFormat="1" applyFont="1" applyFill="1" applyBorder="1" applyAlignment="1">
      <alignment horizontal="left" vertical="center" wrapText="1"/>
    </xf>
    <xf numFmtId="1" fontId="0" fillId="5" borderId="0" xfId="0" applyNumberFormat="1" applyFill="1" applyBorder="1"/>
    <xf numFmtId="1" fontId="0" fillId="5" borderId="19" xfId="0" applyNumberFormat="1" applyFill="1" applyBorder="1"/>
    <xf numFmtId="1" fontId="17" fillId="0" borderId="7" xfId="0" applyNumberFormat="1" applyFont="1" applyFill="1" applyBorder="1" applyAlignment="1">
      <alignment horizontal="center" vertical="center" wrapText="1"/>
    </xf>
    <xf numFmtId="1" fontId="24" fillId="0" borderId="7" xfId="0" applyNumberFormat="1" applyFont="1" applyFill="1" applyBorder="1" applyAlignment="1">
      <alignment horizontal="center" vertical="center" wrapText="1"/>
    </xf>
    <xf numFmtId="3" fontId="0" fillId="5" borderId="0" xfId="0" applyNumberFormat="1" applyFill="1" applyBorder="1"/>
    <xf numFmtId="3" fontId="0" fillId="5" borderId="19" xfId="0" applyNumberFormat="1" applyFill="1" applyBorder="1"/>
    <xf numFmtId="3" fontId="0" fillId="5" borderId="2" xfId="0" applyNumberFormat="1" applyFill="1" applyBorder="1" applyAlignment="1"/>
    <xf numFmtId="3" fontId="11" fillId="5" borderId="62" xfId="0" applyNumberFormat="1"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3" fontId="26" fillId="0" borderId="7"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wrapText="1"/>
    </xf>
    <xf numFmtId="1" fontId="8" fillId="0" borderId="0" xfId="1" applyNumberFormat="1" applyFont="1" applyFill="1" applyBorder="1" applyAlignment="1">
      <alignment horizontal="center" vertical="center" wrapText="1"/>
    </xf>
    <xf numFmtId="3" fontId="8" fillId="4" borderId="3" xfId="0" applyNumberFormat="1" applyFont="1" applyFill="1" applyBorder="1" applyAlignment="1">
      <alignment horizontal="center" vertical="center" wrapText="1"/>
    </xf>
    <xf numFmtId="3" fontId="17" fillId="5" borderId="63" xfId="0" applyNumberFormat="1" applyFont="1" applyFill="1" applyBorder="1" applyAlignment="1">
      <alignment horizontal="center" vertical="center" wrapText="1"/>
    </xf>
    <xf numFmtId="0" fontId="27" fillId="5" borderId="45" xfId="0" applyFont="1" applyFill="1" applyBorder="1" applyAlignment="1">
      <alignment horizontal="center" vertical="center" wrapText="1"/>
    </xf>
    <xf numFmtId="0" fontId="0" fillId="3" borderId="0" xfId="0" applyFill="1" applyAlignment="1">
      <alignment vertical="center" wrapText="1"/>
    </xf>
    <xf numFmtId="169" fontId="0" fillId="3" borderId="0" xfId="0" applyNumberFormat="1" applyFill="1" applyAlignment="1">
      <alignment horizontal="center" vertical="center" wrapText="1"/>
    </xf>
    <xf numFmtId="0" fontId="0" fillId="5" borderId="16" xfId="0" applyFill="1" applyBorder="1" applyAlignment="1">
      <alignment horizontal="center" vertical="center" wrapText="1"/>
    </xf>
    <xf numFmtId="0" fontId="0" fillId="3" borderId="0" xfId="0" applyFill="1" applyBorder="1" applyAlignment="1">
      <alignment vertical="center" wrapText="1"/>
    </xf>
    <xf numFmtId="169" fontId="0" fillId="3" borderId="0" xfId="0" applyNumberFormat="1" applyFill="1" applyBorder="1" applyAlignment="1">
      <alignment horizontal="center" vertical="center" wrapText="1"/>
    </xf>
    <xf numFmtId="3" fontId="0" fillId="3" borderId="0" xfId="0" applyNumberFormat="1" applyFill="1" applyBorder="1" applyAlignment="1">
      <alignment vertical="center" wrapText="1"/>
    </xf>
    <xf numFmtId="0" fontId="0" fillId="5" borderId="18" xfId="0" applyFill="1" applyBorder="1" applyAlignment="1">
      <alignment horizontal="center" vertical="center" wrapText="1"/>
    </xf>
    <xf numFmtId="0" fontId="0" fillId="5" borderId="4" xfId="0" applyFill="1" applyBorder="1" applyAlignment="1">
      <alignment vertical="center" wrapText="1"/>
    </xf>
    <xf numFmtId="0" fontId="0" fillId="5" borderId="57" xfId="0" applyFill="1" applyBorder="1" applyAlignment="1">
      <alignment vertical="center" wrapText="1"/>
    </xf>
    <xf numFmtId="0" fontId="27" fillId="5" borderId="65" xfId="0" applyFont="1" applyFill="1" applyBorder="1" applyAlignment="1">
      <alignment horizontal="center" vertical="center" wrapText="1"/>
    </xf>
    <xf numFmtId="0" fontId="0" fillId="5" borderId="0" xfId="0" applyFill="1" applyBorder="1" applyAlignment="1">
      <alignment horizontal="center" vertical="center" wrapText="1"/>
    </xf>
    <xf numFmtId="0" fontId="0" fillId="5" borderId="19" xfId="0" applyFill="1" applyBorder="1" applyAlignment="1">
      <alignment horizontal="center" vertical="center" wrapText="1"/>
    </xf>
    <xf numFmtId="0" fontId="7" fillId="18" borderId="12" xfId="0" applyFont="1" applyFill="1" applyBorder="1" applyAlignment="1">
      <alignment horizontal="left" vertical="center"/>
    </xf>
    <xf numFmtId="0" fontId="9" fillId="18" borderId="0" xfId="0" applyFont="1" applyFill="1" applyBorder="1" applyAlignment="1">
      <alignment horizontal="center"/>
    </xf>
    <xf numFmtId="0" fontId="7" fillId="18" borderId="12" xfId="0" applyFont="1" applyFill="1" applyBorder="1" applyAlignment="1">
      <alignment vertical="center"/>
    </xf>
    <xf numFmtId="0" fontId="7" fillId="18" borderId="41" xfId="0" applyFont="1" applyFill="1" applyBorder="1" applyAlignment="1">
      <alignment horizontal="left" vertical="center"/>
    </xf>
    <xf numFmtId="0" fontId="9" fillId="18" borderId="17" xfId="0" applyFont="1" applyFill="1" applyBorder="1" applyAlignment="1">
      <alignment horizontal="center"/>
    </xf>
    <xf numFmtId="0" fontId="7" fillId="18" borderId="41" xfId="0" applyFont="1" applyFill="1" applyBorder="1" applyAlignment="1">
      <alignment vertical="center"/>
    </xf>
    <xf numFmtId="0" fontId="9" fillId="18" borderId="0" xfId="0" applyFont="1" applyFill="1" applyBorder="1" applyAlignment="1">
      <alignment horizontal="center" vertical="center" wrapText="1"/>
    </xf>
    <xf numFmtId="170" fontId="10" fillId="18" borderId="0" xfId="1" applyNumberFormat="1" applyFont="1" applyFill="1" applyBorder="1" applyAlignment="1">
      <alignment horizontal="center" vertical="center" wrapText="1"/>
    </xf>
    <xf numFmtId="0" fontId="7" fillId="18" borderId="0" xfId="0" applyFont="1" applyFill="1" applyBorder="1" applyAlignment="1">
      <alignment horizontal="left" vertical="center" wrapText="1"/>
    </xf>
    <xf numFmtId="166" fontId="8" fillId="18" borderId="0" xfId="1" applyNumberFormat="1" applyFont="1" applyFill="1" applyBorder="1" applyAlignment="1">
      <alignment horizontal="center" vertical="center" wrapText="1"/>
    </xf>
    <xf numFmtId="0" fontId="7" fillId="18" borderId="0" xfId="0" applyFont="1" applyFill="1" applyBorder="1" applyAlignment="1">
      <alignment horizontal="left" wrapText="1"/>
    </xf>
    <xf numFmtId="0" fontId="7" fillId="18" borderId="17" xfId="0" applyFont="1" applyFill="1" applyBorder="1" applyAlignment="1">
      <alignment horizontal="left" wrapText="1"/>
    </xf>
    <xf numFmtId="0" fontId="8" fillId="18" borderId="53" xfId="0" applyFont="1" applyFill="1" applyBorder="1" applyAlignment="1">
      <alignment horizontal="center" vertical="center" wrapText="1"/>
    </xf>
    <xf numFmtId="3" fontId="8" fillId="18" borderId="0" xfId="0" applyNumberFormat="1" applyFont="1" applyFill="1" applyBorder="1" applyAlignment="1">
      <alignment horizontal="center" vertical="center"/>
    </xf>
    <xf numFmtId="0" fontId="0" fillId="18" borderId="19" xfId="0" applyFill="1" applyBorder="1"/>
    <xf numFmtId="0" fontId="0" fillId="18" borderId="20" xfId="0" applyFill="1" applyBorder="1"/>
    <xf numFmtId="0" fontId="25" fillId="26" borderId="41" xfId="0" applyFont="1" applyFill="1" applyBorder="1" applyAlignment="1">
      <alignment vertical="center"/>
    </xf>
    <xf numFmtId="3" fontId="8" fillId="18" borderId="0" xfId="0" applyNumberFormat="1" applyFont="1" applyFill="1" applyBorder="1" applyAlignment="1">
      <alignment horizontal="center"/>
    </xf>
    <xf numFmtId="0" fontId="7" fillId="18" borderId="7" xfId="0" applyFont="1" applyFill="1" applyBorder="1"/>
    <xf numFmtId="170" fontId="10" fillId="18" borderId="14" xfId="1" applyNumberFormat="1" applyFont="1" applyFill="1" applyBorder="1" applyAlignment="1">
      <alignment horizontal="center"/>
    </xf>
    <xf numFmtId="0" fontId="10" fillId="18" borderId="7" xfId="0" applyFont="1" applyFill="1" applyBorder="1" applyAlignment="1">
      <alignment vertical="center"/>
    </xf>
    <xf numFmtId="164" fontId="10" fillId="18" borderId="7" xfId="1" applyFont="1" applyFill="1" applyBorder="1" applyAlignment="1">
      <alignment horizontal="center" vertical="center"/>
    </xf>
    <xf numFmtId="0" fontId="7" fillId="18" borderId="7" xfId="0" applyFont="1" applyFill="1" applyBorder="1" applyAlignment="1">
      <alignment horizontal="left" wrapText="1"/>
    </xf>
    <xf numFmtId="3" fontId="12" fillId="0" borderId="0"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0" fontId="0" fillId="5" borderId="0" xfId="0" applyFill="1" applyBorder="1" applyAlignment="1"/>
    <xf numFmtId="3" fontId="16" fillId="0" borderId="0" xfId="0" applyNumberFormat="1" applyFont="1" applyFill="1" applyBorder="1"/>
    <xf numFmtId="167" fontId="25" fillId="11" borderId="0" xfId="0" applyNumberFormat="1" applyFont="1" applyFill="1" applyBorder="1" applyAlignment="1">
      <alignment horizontal="center" vertical="center" wrapText="1"/>
    </xf>
    <xf numFmtId="0" fontId="0" fillId="18" borderId="7" xfId="0" applyFill="1" applyBorder="1"/>
    <xf numFmtId="169" fontId="0" fillId="18" borderId="7" xfId="0" applyNumberFormat="1" applyFill="1" applyBorder="1" applyAlignment="1">
      <alignment horizontal="center"/>
    </xf>
    <xf numFmtId="3" fontId="0" fillId="0" borderId="0" xfId="0" applyNumberFormat="1" applyFill="1"/>
    <xf numFmtId="3" fontId="7" fillId="0" borderId="7" xfId="0" applyNumberFormat="1" applyFont="1" applyFill="1" applyBorder="1"/>
    <xf numFmtId="3" fontId="0" fillId="0" borderId="7" xfId="0" applyNumberFormat="1" applyFill="1" applyBorder="1"/>
    <xf numFmtId="165" fontId="0" fillId="0" borderId="0" xfId="0" applyNumberFormat="1" applyFill="1"/>
    <xf numFmtId="3" fontId="11" fillId="18" borderId="0" xfId="0" applyNumberFormat="1" applyFont="1" applyFill="1" applyBorder="1" applyAlignment="1">
      <alignment horizontal="center" vertical="center" wrapText="1"/>
    </xf>
    <xf numFmtId="0" fontId="0" fillId="18" borderId="0" xfId="0" applyFill="1"/>
    <xf numFmtId="3" fontId="10" fillId="18" borderId="7" xfId="1" applyNumberFormat="1" applyFont="1" applyFill="1" applyBorder="1" applyAlignment="1">
      <alignment horizontal="center" vertical="center" wrapText="1"/>
    </xf>
    <xf numFmtId="0" fontId="7" fillId="4" borderId="7" xfId="0" applyFont="1" applyFill="1" applyBorder="1" applyAlignment="1">
      <alignment horizontal="left" wrapText="1"/>
    </xf>
    <xf numFmtId="166" fontId="8" fillId="18" borderId="7" xfId="1" applyNumberFormat="1" applyFont="1" applyFill="1" applyBorder="1" applyAlignment="1">
      <alignment horizontal="center"/>
    </xf>
    <xf numFmtId="0" fontId="0" fillId="4" borderId="7" xfId="0" applyFill="1" applyBorder="1"/>
    <xf numFmtId="167" fontId="25" fillId="11" borderId="0" xfId="0" applyNumberFormat="1" applyFont="1" applyFill="1" applyBorder="1" applyAlignment="1">
      <alignment vertical="center" wrapText="1"/>
    </xf>
    <xf numFmtId="0" fontId="0" fillId="0" borderId="7" xfId="0" applyFill="1" applyBorder="1" applyAlignment="1">
      <alignment vertical="center"/>
    </xf>
    <xf numFmtId="169" fontId="17" fillId="5" borderId="3" xfId="0" applyNumberFormat="1" applyFont="1" applyFill="1" applyBorder="1" applyAlignment="1">
      <alignment horizontal="center" vertical="center" wrapText="1"/>
    </xf>
    <xf numFmtId="3" fontId="0" fillId="0" borderId="60" xfId="0" applyNumberFormat="1" applyFill="1" applyBorder="1" applyAlignment="1">
      <alignment horizontal="center" vertical="center"/>
    </xf>
    <xf numFmtId="3" fontId="11" fillId="18" borderId="3" xfId="0" applyNumberFormat="1" applyFont="1" applyFill="1" applyBorder="1" applyAlignment="1">
      <alignment horizontal="center" vertical="center" wrapText="1"/>
    </xf>
    <xf numFmtId="3" fontId="0" fillId="0" borderId="0" xfId="0" applyNumberFormat="1" applyBorder="1"/>
    <xf numFmtId="3" fontId="10" fillId="18" borderId="7" xfId="1" applyNumberFormat="1" applyFont="1" applyFill="1" applyBorder="1" applyAlignment="1">
      <alignment vertical="center" wrapText="1"/>
    </xf>
    <xf numFmtId="165" fontId="10" fillId="18" borderId="7" xfId="1" applyNumberFormat="1" applyFont="1" applyFill="1" applyBorder="1" applyAlignment="1">
      <alignment vertical="center" wrapText="1"/>
    </xf>
    <xf numFmtId="0" fontId="7" fillId="18" borderId="7" xfId="0" applyFont="1" applyFill="1" applyBorder="1" applyAlignment="1">
      <alignment horizontal="left" vertical="center" wrapText="1"/>
    </xf>
    <xf numFmtId="0" fontId="0" fillId="5" borderId="0" xfId="0" applyFill="1" applyBorder="1" applyAlignment="1">
      <alignment vertical="center" wrapText="1"/>
    </xf>
    <xf numFmtId="3" fontId="0" fillId="3" borderId="0" xfId="0" applyNumberFormat="1" applyFill="1" applyAlignment="1">
      <alignment vertical="center" wrapText="1"/>
    </xf>
    <xf numFmtId="169" fontId="17" fillId="5" borderId="5" xfId="0" applyNumberFormat="1" applyFont="1" applyFill="1" applyBorder="1" applyAlignment="1">
      <alignment horizontal="center" vertical="center" wrapText="1"/>
    </xf>
    <xf numFmtId="0" fontId="7" fillId="0" borderId="7" xfId="0" applyFont="1" applyFill="1" applyBorder="1" applyAlignment="1">
      <alignment vertical="center"/>
    </xf>
    <xf numFmtId="0" fontId="8" fillId="19" borderId="7" xfId="0" applyFont="1" applyFill="1" applyBorder="1" applyAlignment="1">
      <alignment vertical="center"/>
    </xf>
    <xf numFmtId="169" fontId="8" fillId="19" borderId="7" xfId="0" applyNumberFormat="1" applyFont="1" applyFill="1" applyBorder="1" applyAlignment="1">
      <alignment horizontal="center" vertical="center"/>
    </xf>
    <xf numFmtId="0" fontId="13" fillId="0" borderId="7" xfId="0" applyFont="1" applyFill="1" applyBorder="1" applyAlignment="1">
      <alignment vertical="center"/>
    </xf>
    <xf numFmtId="0" fontId="0" fillId="19" borderId="7" xfId="0" applyFill="1" applyBorder="1" applyAlignment="1">
      <alignment vertical="center"/>
    </xf>
    <xf numFmtId="169" fontId="0" fillId="19" borderId="7" xfId="0" applyNumberFormat="1" applyFill="1" applyBorder="1" applyAlignment="1">
      <alignment horizontal="center" vertical="center"/>
    </xf>
    <xf numFmtId="3" fontId="8" fillId="19" borderId="7" xfId="0" applyNumberFormat="1" applyFont="1" applyFill="1" applyBorder="1" applyAlignment="1">
      <alignment horizontal="center" vertical="center"/>
    </xf>
    <xf numFmtId="0" fontId="8" fillId="25" borderId="6" xfId="0" applyFont="1" applyFill="1" applyBorder="1" applyAlignment="1">
      <alignment horizontal="center" vertical="center" wrapText="1"/>
    </xf>
    <xf numFmtId="1" fontId="7" fillId="25" borderId="6" xfId="0" applyNumberFormat="1" applyFont="1" applyFill="1" applyBorder="1" applyAlignment="1">
      <alignment horizontal="center" vertical="center" wrapText="1"/>
    </xf>
    <xf numFmtId="3" fontId="15" fillId="25" borderId="6" xfId="0" applyNumberFormat="1" applyFont="1" applyFill="1" applyBorder="1" applyAlignment="1">
      <alignment horizontal="center" vertical="center" wrapText="1"/>
    </xf>
    <xf numFmtId="1" fontId="15" fillId="25" borderId="6" xfId="0" applyNumberFormat="1" applyFont="1" applyFill="1" applyBorder="1" applyAlignment="1">
      <alignment horizontal="center" vertical="center" wrapText="1"/>
    </xf>
    <xf numFmtId="3" fontId="15" fillId="25" borderId="52" xfId="0" applyNumberFormat="1" applyFont="1" applyFill="1" applyBorder="1" applyAlignment="1">
      <alignment horizontal="center" vertical="center" wrapText="1"/>
    </xf>
    <xf numFmtId="3" fontId="13" fillId="25" borderId="20" xfId="0" applyNumberFormat="1" applyFont="1" applyFill="1" applyBorder="1" applyAlignment="1">
      <alignment horizontal="center" vertical="center"/>
    </xf>
    <xf numFmtId="3" fontId="13" fillId="25" borderId="6" xfId="0" applyNumberFormat="1" applyFont="1" applyFill="1" applyBorder="1" applyAlignment="1">
      <alignment horizontal="center" vertical="center"/>
    </xf>
    <xf numFmtId="0" fontId="8" fillId="25" borderId="7" xfId="0" applyFont="1" applyFill="1" applyBorder="1" applyAlignment="1">
      <alignment horizontal="center" vertical="center"/>
    </xf>
    <xf numFmtId="169" fontId="8" fillId="25" borderId="7" xfId="0" applyNumberFormat="1" applyFont="1" applyFill="1" applyBorder="1" applyAlignment="1">
      <alignment horizontal="center" vertical="center"/>
    </xf>
    <xf numFmtId="3" fontId="13" fillId="25" borderId="7" xfId="0" applyNumberFormat="1" applyFont="1" applyFill="1" applyBorder="1"/>
    <xf numFmtId="0" fontId="8" fillId="23" borderId="7" xfId="0" applyFont="1" applyFill="1" applyBorder="1" applyAlignment="1">
      <alignment horizontal="center" vertical="center" wrapText="1"/>
    </xf>
    <xf numFmtId="1" fontId="7" fillId="23" borderId="7" xfId="0" applyNumberFormat="1" applyFont="1" applyFill="1" applyBorder="1" applyAlignment="1">
      <alignment horizontal="center" vertical="center" wrapText="1"/>
    </xf>
    <xf numFmtId="3" fontId="24" fillId="23" borderId="7" xfId="1" applyNumberFormat="1" applyFont="1" applyFill="1" applyBorder="1" applyAlignment="1">
      <alignment horizontal="center" vertical="center" wrapText="1"/>
    </xf>
    <xf numFmtId="1" fontId="24" fillId="23" borderId="7" xfId="1" applyNumberFormat="1" applyFont="1" applyFill="1" applyBorder="1" applyAlignment="1">
      <alignment horizontal="center" vertical="center" wrapText="1"/>
    </xf>
    <xf numFmtId="3" fontId="24" fillId="23" borderId="29" xfId="1" applyNumberFormat="1" applyFont="1" applyFill="1" applyBorder="1" applyAlignment="1">
      <alignment horizontal="center" vertical="center" wrapText="1"/>
    </xf>
    <xf numFmtId="168" fontId="24" fillId="23" borderId="35" xfId="1" applyNumberFormat="1" applyFont="1" applyFill="1" applyBorder="1" applyAlignment="1">
      <alignment horizontal="center" vertical="center" wrapText="1"/>
    </xf>
    <xf numFmtId="3" fontId="16" fillId="23" borderId="3" xfId="0" applyNumberFormat="1" applyFont="1" applyFill="1" applyBorder="1" applyAlignment="1">
      <alignment horizontal="center" vertical="center"/>
    </xf>
    <xf numFmtId="3" fontId="13" fillId="23" borderId="7" xfId="0" applyNumberFormat="1" applyFont="1" applyFill="1" applyBorder="1" applyAlignment="1">
      <alignment horizontal="center" vertical="center"/>
    </xf>
    <xf numFmtId="3" fontId="0" fillId="23" borderId="7" xfId="0" applyNumberFormat="1" applyFill="1" applyBorder="1" applyAlignment="1">
      <alignment horizontal="center" vertical="center"/>
    </xf>
    <xf numFmtId="0" fontId="13" fillId="23" borderId="7" xfId="0" applyFont="1" applyFill="1" applyBorder="1" applyAlignment="1">
      <alignment vertical="center"/>
    </xf>
    <xf numFmtId="169" fontId="13" fillId="23" borderId="7" xfId="0" applyNumberFormat="1" applyFont="1" applyFill="1" applyBorder="1" applyAlignment="1">
      <alignment horizontal="center" vertical="center"/>
    </xf>
    <xf numFmtId="3" fontId="13" fillId="23" borderId="7" xfId="0" applyNumberFormat="1" applyFont="1" applyFill="1" applyBorder="1"/>
    <xf numFmtId="3" fontId="13" fillId="25" borderId="3" xfId="0" applyNumberFormat="1" applyFont="1" applyFill="1" applyBorder="1" applyAlignment="1">
      <alignment horizontal="center" vertical="center"/>
    </xf>
    <xf numFmtId="3" fontId="11" fillId="19" borderId="3" xfId="1" applyNumberFormat="1" applyFont="1" applyFill="1" applyBorder="1" applyAlignment="1">
      <alignment horizontal="center" vertical="center" wrapText="1"/>
    </xf>
    <xf numFmtId="3" fontId="20" fillId="7" borderId="3" xfId="0" applyNumberFormat="1" applyFont="1" applyFill="1" applyBorder="1" applyAlignment="1">
      <alignment horizontal="left" vertical="center" wrapText="1"/>
    </xf>
    <xf numFmtId="3" fontId="0" fillId="23" borderId="3" xfId="0" applyNumberFormat="1" applyFill="1" applyBorder="1" applyAlignment="1">
      <alignment horizontal="center" vertical="center"/>
    </xf>
    <xf numFmtId="3" fontId="11" fillId="19" borderId="3" xfId="0" applyNumberFormat="1" applyFont="1" applyFill="1" applyBorder="1" applyAlignment="1">
      <alignment horizontal="center" vertical="center" wrapText="1"/>
    </xf>
    <xf numFmtId="3" fontId="8" fillId="19" borderId="3" xfId="0" applyNumberFormat="1" applyFont="1" applyFill="1" applyBorder="1" applyAlignment="1">
      <alignment horizontal="center" vertical="center"/>
    </xf>
    <xf numFmtId="3" fontId="11" fillId="4" borderId="35" xfId="1" applyNumberFormat="1" applyFont="1" applyFill="1" applyBorder="1" applyAlignment="1">
      <alignment horizontal="center" vertical="center" wrapText="1"/>
    </xf>
    <xf numFmtId="3" fontId="0" fillId="23" borderId="35" xfId="0" applyNumberFormat="1" applyFill="1" applyBorder="1" applyAlignment="1">
      <alignment horizontal="center" vertical="center"/>
    </xf>
    <xf numFmtId="3" fontId="8" fillId="19" borderId="61" xfId="0" applyNumberFormat="1" applyFont="1" applyFill="1" applyBorder="1" applyAlignment="1">
      <alignment horizontal="center" vertical="center"/>
    </xf>
    <xf numFmtId="3" fontId="0" fillId="0" borderId="3" xfId="0" applyNumberFormat="1" applyFill="1" applyBorder="1" applyAlignment="1">
      <alignment horizontal="center"/>
    </xf>
    <xf numFmtId="3" fontId="0" fillId="0" borderId="2" xfId="0" applyNumberFormat="1" applyFill="1" applyBorder="1" applyAlignment="1">
      <alignment horizontal="center" vertical="center"/>
    </xf>
    <xf numFmtId="3" fontId="7" fillId="0" borderId="2" xfId="0" applyNumberFormat="1" applyFont="1" applyFill="1" applyBorder="1" applyAlignment="1">
      <alignment horizontal="center" vertical="center"/>
    </xf>
    <xf numFmtId="3" fontId="11" fillId="18" borderId="2" xfId="0" applyNumberFormat="1" applyFont="1" applyFill="1" applyBorder="1" applyAlignment="1">
      <alignment horizontal="center" vertical="center" wrapText="1"/>
    </xf>
    <xf numFmtId="3" fontId="16" fillId="0" borderId="60" xfId="0" applyNumberFormat="1" applyFont="1" applyFill="1" applyBorder="1"/>
    <xf numFmtId="3" fontId="18" fillId="0" borderId="0" xfId="0" applyNumberFormat="1" applyFont="1" applyAlignment="1">
      <alignment horizontal="right"/>
    </xf>
    <xf numFmtId="3" fontId="11" fillId="0" borderId="0" xfId="0" applyNumberFormat="1" applyFont="1" applyAlignment="1">
      <alignment horizontal="right"/>
    </xf>
    <xf numFmtId="0" fontId="33" fillId="0" borderId="7" xfId="0" applyFont="1" applyFill="1" applyBorder="1" applyAlignment="1">
      <alignment horizontal="center" vertical="center"/>
    </xf>
    <xf numFmtId="1" fontId="0" fillId="5" borderId="2" xfId="0" applyNumberFormat="1" applyFill="1" applyBorder="1" applyAlignment="1"/>
    <xf numFmtId="1" fontId="11" fillId="9" borderId="7" xfId="0" applyNumberFormat="1" applyFont="1" applyFill="1" applyBorder="1" applyAlignment="1">
      <alignment horizontal="center" vertical="center" wrapText="1"/>
    </xf>
    <xf numFmtId="1" fontId="11" fillId="0" borderId="14" xfId="0" applyNumberFormat="1" applyFont="1" applyFill="1" applyBorder="1" applyAlignment="1">
      <alignment horizontal="center" vertical="center" wrapText="1"/>
    </xf>
    <xf numFmtId="1" fontId="25" fillId="9" borderId="50" xfId="1" applyNumberFormat="1" applyFont="1" applyFill="1" applyBorder="1" applyAlignment="1">
      <alignment horizontal="center" wrapText="1"/>
    </xf>
    <xf numFmtId="1" fontId="11" fillId="5" borderId="14" xfId="0" applyNumberFormat="1" applyFont="1" applyFill="1" applyBorder="1" applyAlignment="1">
      <alignment horizontal="center" vertical="center" wrapText="1"/>
    </xf>
    <xf numFmtId="1" fontId="0" fillId="0" borderId="0" xfId="0" applyNumberFormat="1" applyBorder="1"/>
    <xf numFmtId="1" fontId="0" fillId="0" borderId="25" xfId="0" applyNumberFormat="1" applyBorder="1"/>
    <xf numFmtId="3" fontId="0" fillId="5" borderId="46" xfId="0" applyNumberFormat="1" applyFill="1" applyBorder="1"/>
    <xf numFmtId="3" fontId="0" fillId="5" borderId="42" xfId="0" applyNumberFormat="1" applyFill="1" applyBorder="1"/>
    <xf numFmtId="3" fontId="0" fillId="5" borderId="56" xfId="0" applyNumberFormat="1" applyFill="1" applyBorder="1"/>
    <xf numFmtId="3" fontId="0" fillId="5" borderId="58" xfId="0" applyNumberFormat="1" applyFill="1" applyBorder="1" applyAlignment="1"/>
    <xf numFmtId="3" fontId="11" fillId="9" borderId="64" xfId="1" applyNumberFormat="1" applyFont="1" applyFill="1" applyBorder="1" applyAlignment="1">
      <alignment horizontal="center" wrapText="1"/>
    </xf>
    <xf numFmtId="3" fontId="16" fillId="27" borderId="7" xfId="0" applyNumberFormat="1" applyFont="1" applyFill="1" applyBorder="1"/>
    <xf numFmtId="0" fontId="31" fillId="0" borderId="12" xfId="0" applyFont="1" applyBorder="1" applyAlignment="1">
      <alignment wrapText="1"/>
    </xf>
    <xf numFmtId="167" fontId="31" fillId="0" borderId="0" xfId="1" applyNumberFormat="1" applyFont="1" applyBorder="1" applyAlignment="1">
      <alignment horizontal="center" wrapText="1"/>
    </xf>
    <xf numFmtId="0" fontId="31" fillId="0" borderId="0" xfId="0" applyFont="1" applyBorder="1" applyAlignment="1">
      <alignment wrapText="1"/>
    </xf>
    <xf numFmtId="169" fontId="31" fillId="0" borderId="0" xfId="1" applyNumberFormat="1" applyFont="1" applyBorder="1" applyAlignment="1">
      <alignment horizontal="center" wrapText="1"/>
    </xf>
    <xf numFmtId="165" fontId="31" fillId="0" borderId="0" xfId="0" applyNumberFormat="1" applyFont="1" applyFill="1" applyBorder="1" applyAlignment="1">
      <alignment horizontal="center" vertical="center" wrapText="1"/>
    </xf>
    <xf numFmtId="1" fontId="31" fillId="11" borderId="7" xfId="0" applyNumberFormat="1" applyFont="1" applyFill="1" applyBorder="1" applyAlignment="1">
      <alignment horizontal="center" vertical="center" wrapText="1"/>
    </xf>
    <xf numFmtId="167" fontId="31" fillId="11" borderId="7" xfId="0" applyNumberFormat="1" applyFont="1" applyFill="1" applyBorder="1" applyAlignment="1">
      <alignment horizontal="center" vertical="center" wrapText="1"/>
    </xf>
    <xf numFmtId="169" fontId="28" fillId="0" borderId="0" xfId="0" applyNumberFormat="1" applyFont="1" applyAlignment="1">
      <alignment horizontal="center"/>
    </xf>
    <xf numFmtId="3" fontId="31" fillId="11" borderId="7" xfId="0" applyNumberFormat="1" applyFont="1" applyFill="1" applyBorder="1" applyAlignment="1">
      <alignment horizontal="center" vertical="center" wrapText="1"/>
    </xf>
    <xf numFmtId="167" fontId="31" fillId="11" borderId="0" xfId="0" applyNumberFormat="1" applyFont="1" applyFill="1" applyBorder="1" applyAlignment="1">
      <alignment horizontal="center" vertical="center" wrapText="1"/>
    </xf>
    <xf numFmtId="0" fontId="28" fillId="0" borderId="0" xfId="0" applyFont="1"/>
    <xf numFmtId="3" fontId="28" fillId="0" borderId="0" xfId="0" applyNumberFormat="1" applyFont="1"/>
    <xf numFmtId="3" fontId="33" fillId="0" borderId="7" xfId="0" applyNumberFormat="1" applyFont="1" applyFill="1" applyBorder="1" applyAlignment="1">
      <alignment horizontal="center" vertical="center"/>
    </xf>
    <xf numFmtId="0" fontId="7" fillId="0" borderId="7" xfId="0" applyFont="1" applyFill="1" applyBorder="1" applyAlignment="1"/>
    <xf numFmtId="0" fontId="8" fillId="5" borderId="57" xfId="0" applyFont="1" applyFill="1" applyBorder="1" applyAlignment="1"/>
    <xf numFmtId="3" fontId="8" fillId="0" borderId="0" xfId="0" applyNumberFormat="1" applyFont="1" applyAlignment="1">
      <alignment horizontal="center"/>
    </xf>
    <xf numFmtId="0" fontId="8" fillId="2" borderId="12" xfId="0" applyFont="1" applyFill="1" applyBorder="1" applyAlignment="1">
      <alignment horizontal="center" vertical="center"/>
    </xf>
    <xf numFmtId="165" fontId="8"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165" fontId="8" fillId="2" borderId="0" xfId="0" applyNumberFormat="1" applyFont="1" applyFill="1" applyBorder="1" applyAlignment="1">
      <alignment horizontal="center"/>
    </xf>
    <xf numFmtId="169" fontId="8" fillId="25" borderId="5" xfId="0" applyNumberFormat="1" applyFont="1" applyFill="1" applyBorder="1" applyAlignment="1">
      <alignment horizontal="center" vertical="center" wrapText="1"/>
    </xf>
    <xf numFmtId="167" fontId="11" fillId="25" borderId="14" xfId="0" applyNumberFormat="1" applyFont="1" applyFill="1" applyBorder="1" applyAlignment="1">
      <alignment horizontal="center" vertical="center" wrapText="1"/>
    </xf>
    <xf numFmtId="167" fontId="11" fillId="25" borderId="26" xfId="0" applyNumberFormat="1" applyFont="1" applyFill="1" applyBorder="1" applyAlignment="1">
      <alignment horizontal="center" vertical="center" wrapText="1"/>
    </xf>
    <xf numFmtId="3" fontId="0" fillId="25" borderId="15" xfId="0" applyNumberFormat="1" applyFill="1" applyBorder="1" applyAlignment="1">
      <alignment horizontal="center" vertical="center"/>
    </xf>
    <xf numFmtId="169" fontId="0" fillId="25" borderId="52" xfId="0" applyNumberFormat="1" applyFill="1" applyBorder="1" applyAlignment="1">
      <alignment horizontal="center"/>
    </xf>
    <xf numFmtId="3" fontId="0" fillId="25" borderId="20" xfId="0" applyNumberFormat="1" applyFill="1" applyBorder="1" applyAlignment="1">
      <alignment horizontal="center" vertical="center"/>
    </xf>
    <xf numFmtId="3" fontId="0" fillId="25" borderId="6" xfId="0" applyNumberFormat="1" applyFill="1" applyBorder="1" applyAlignment="1">
      <alignment horizontal="center" vertical="center"/>
    </xf>
    <xf numFmtId="0" fontId="0" fillId="25" borderId="7" xfId="0" applyFill="1" applyBorder="1"/>
    <xf numFmtId="169" fontId="0" fillId="25" borderId="35" xfId="0" applyNumberFormat="1" applyFill="1" applyBorder="1" applyAlignment="1">
      <alignment horizontal="center"/>
    </xf>
    <xf numFmtId="3" fontId="0" fillId="25" borderId="3" xfId="0" applyNumberFormat="1" applyFill="1" applyBorder="1" applyAlignment="1">
      <alignment horizontal="center" vertical="center"/>
    </xf>
    <xf numFmtId="3" fontId="0" fillId="25" borderId="7" xfId="0" applyNumberFormat="1" applyFill="1" applyBorder="1" applyAlignment="1">
      <alignment horizontal="center" vertical="center"/>
    </xf>
    <xf numFmtId="3" fontId="0" fillId="25" borderId="35" xfId="0" applyNumberFormat="1" applyFill="1" applyBorder="1" applyAlignment="1">
      <alignment horizontal="center" vertical="center"/>
    </xf>
    <xf numFmtId="169" fontId="14" fillId="23" borderId="3" xfId="0" applyNumberFormat="1" applyFont="1" applyFill="1" applyBorder="1" applyAlignment="1">
      <alignment horizontal="center" vertical="center" wrapText="1"/>
    </xf>
    <xf numFmtId="0" fontId="15" fillId="23" borderId="7" xfId="0" applyFont="1" applyFill="1" applyBorder="1" applyAlignment="1">
      <alignment horizontal="center" vertical="center" wrapText="1"/>
    </xf>
    <xf numFmtId="3" fontId="15" fillId="23" borderId="29" xfId="0" applyNumberFormat="1" applyFont="1" applyFill="1" applyBorder="1" applyAlignment="1">
      <alignment horizontal="center" vertical="center" wrapText="1"/>
    </xf>
    <xf numFmtId="3" fontId="15" fillId="23" borderId="7" xfId="0" applyNumberFormat="1" applyFont="1" applyFill="1" applyBorder="1" applyAlignment="1">
      <alignment horizontal="center" vertical="center" wrapText="1"/>
    </xf>
    <xf numFmtId="169" fontId="13" fillId="23" borderId="35" xfId="0" applyNumberFormat="1" applyFont="1" applyFill="1" applyBorder="1" applyAlignment="1">
      <alignment horizontal="center"/>
    </xf>
    <xf numFmtId="3" fontId="13" fillId="23" borderId="3" xfId="0" applyNumberFormat="1" applyFont="1" applyFill="1" applyBorder="1" applyAlignment="1">
      <alignment horizontal="center" vertical="center"/>
    </xf>
    <xf numFmtId="3" fontId="13" fillId="23" borderId="35" xfId="0" applyNumberFormat="1" applyFont="1" applyFill="1" applyBorder="1" applyAlignment="1">
      <alignment horizontal="center" vertical="center"/>
    </xf>
    <xf numFmtId="169" fontId="8" fillId="23" borderId="3" xfId="0" applyNumberFormat="1" applyFont="1" applyFill="1" applyBorder="1" applyAlignment="1">
      <alignment horizontal="center" vertical="center" wrapText="1"/>
    </xf>
    <xf numFmtId="0" fontId="11" fillId="23" borderId="7" xfId="0" applyFont="1" applyFill="1" applyBorder="1" applyAlignment="1">
      <alignment horizontal="center" vertical="center" wrapText="1"/>
    </xf>
    <xf numFmtId="3" fontId="11" fillId="23" borderId="29" xfId="0" applyNumberFormat="1" applyFont="1" applyFill="1" applyBorder="1" applyAlignment="1">
      <alignment horizontal="center" vertical="center" wrapText="1"/>
    </xf>
    <xf numFmtId="169" fontId="0" fillId="23" borderId="35" xfId="0" applyNumberFormat="1" applyFill="1" applyBorder="1" applyAlignment="1">
      <alignment horizontal="center"/>
    </xf>
    <xf numFmtId="3" fontId="13" fillId="28" borderId="7" xfId="0" applyNumberFormat="1" applyFont="1" applyFill="1" applyBorder="1" applyAlignment="1">
      <alignment horizontal="center" vertical="center"/>
    </xf>
    <xf numFmtId="3" fontId="13" fillId="28" borderId="35" xfId="0" applyNumberFormat="1" applyFont="1" applyFill="1" applyBorder="1" applyAlignment="1">
      <alignment horizontal="center" vertical="center"/>
    </xf>
    <xf numFmtId="0" fontId="16" fillId="13" borderId="35" xfId="0" applyFont="1" applyFill="1" applyBorder="1" applyAlignment="1">
      <alignment horizontal="left" vertical="center"/>
    </xf>
    <xf numFmtId="0" fontId="15" fillId="22" borderId="7" xfId="0" applyFont="1" applyFill="1" applyBorder="1" applyAlignment="1">
      <alignment horizontal="center" vertical="center" wrapText="1"/>
    </xf>
    <xf numFmtId="3" fontId="15" fillId="22" borderId="29" xfId="0" applyNumberFormat="1" applyFont="1" applyFill="1" applyBorder="1" applyAlignment="1">
      <alignment horizontal="center" vertical="center" wrapText="1"/>
    </xf>
    <xf numFmtId="3" fontId="13" fillId="22" borderId="7" xfId="0" applyNumberFormat="1" applyFont="1" applyFill="1" applyBorder="1" applyAlignment="1">
      <alignment horizontal="center" vertical="center"/>
    </xf>
    <xf numFmtId="169" fontId="13" fillId="22" borderId="35" xfId="0" applyNumberFormat="1" applyFont="1" applyFill="1" applyBorder="1" applyAlignment="1">
      <alignment horizontal="center"/>
    </xf>
    <xf numFmtId="3" fontId="13" fillId="22" borderId="3" xfId="0" applyNumberFormat="1" applyFont="1" applyFill="1" applyBorder="1" applyAlignment="1">
      <alignment horizontal="center" vertical="center"/>
    </xf>
    <xf numFmtId="3" fontId="13" fillId="22" borderId="35" xfId="0" applyNumberFormat="1" applyFont="1" applyFill="1" applyBorder="1" applyAlignment="1">
      <alignment horizontal="center" vertical="center"/>
    </xf>
    <xf numFmtId="169" fontId="8" fillId="22" borderId="3" xfId="0" applyNumberFormat="1" applyFont="1" applyFill="1" applyBorder="1" applyAlignment="1">
      <alignment horizontal="center" vertical="center" wrapText="1"/>
    </xf>
    <xf numFmtId="3" fontId="0" fillId="22" borderId="35" xfId="0" applyNumberFormat="1" applyFill="1" applyBorder="1" applyAlignment="1">
      <alignment horizontal="center" vertical="center"/>
    </xf>
    <xf numFmtId="3" fontId="11" fillId="25" borderId="7" xfId="0" applyNumberFormat="1" applyFont="1" applyFill="1" applyBorder="1" applyAlignment="1">
      <alignment horizontal="center" vertical="center" wrapText="1"/>
    </xf>
    <xf numFmtId="169" fontId="0" fillId="29" borderId="35" xfId="0" applyNumberFormat="1" applyFill="1" applyBorder="1" applyAlignment="1">
      <alignment horizontal="center"/>
    </xf>
    <xf numFmtId="169" fontId="13" fillId="28" borderId="35" xfId="0" applyNumberFormat="1" applyFont="1" applyFill="1" applyBorder="1" applyAlignment="1">
      <alignment horizontal="center"/>
    </xf>
    <xf numFmtId="3" fontId="13" fillId="28" borderId="3" xfId="0" applyNumberFormat="1" applyFont="1" applyFill="1" applyBorder="1" applyAlignment="1">
      <alignment horizontal="center" vertical="center"/>
    </xf>
    <xf numFmtId="169" fontId="12" fillId="24" borderId="3" xfId="0" applyNumberFormat="1" applyFont="1" applyFill="1" applyBorder="1" applyAlignment="1">
      <alignment horizontal="center" vertical="center" wrapText="1"/>
    </xf>
    <xf numFmtId="0" fontId="17" fillId="24" borderId="7" xfId="0" applyFont="1" applyFill="1" applyBorder="1" applyAlignment="1">
      <alignment horizontal="center" vertical="center" wrapText="1"/>
    </xf>
    <xf numFmtId="3" fontId="17" fillId="24" borderId="29" xfId="0" applyNumberFormat="1" applyFont="1" applyFill="1" applyBorder="1" applyAlignment="1">
      <alignment horizontal="center" vertical="center" wrapText="1"/>
    </xf>
    <xf numFmtId="3" fontId="13" fillId="24" borderId="7" xfId="0" applyNumberFormat="1" applyFont="1" applyFill="1" applyBorder="1" applyAlignment="1">
      <alignment horizontal="center" vertical="center"/>
    </xf>
    <xf numFmtId="169" fontId="13" fillId="24" borderId="35" xfId="0" applyNumberFormat="1" applyFont="1" applyFill="1" applyBorder="1" applyAlignment="1">
      <alignment horizontal="center"/>
    </xf>
    <xf numFmtId="3" fontId="13" fillId="24" borderId="3" xfId="0" applyNumberFormat="1" applyFont="1" applyFill="1" applyBorder="1" applyAlignment="1">
      <alignment horizontal="center" vertical="center"/>
    </xf>
    <xf numFmtId="3" fontId="13" fillId="24" borderId="35" xfId="0" applyNumberFormat="1" applyFont="1" applyFill="1" applyBorder="1" applyAlignment="1">
      <alignment horizontal="center" vertical="center"/>
    </xf>
    <xf numFmtId="3" fontId="0" fillId="25" borderId="66" xfId="0" applyNumberFormat="1" applyFill="1" applyBorder="1" applyAlignment="1">
      <alignment horizontal="center" vertical="center"/>
    </xf>
    <xf numFmtId="3" fontId="0" fillId="25" borderId="67" xfId="0" applyNumberFormat="1" applyFill="1" applyBorder="1" applyAlignment="1">
      <alignment horizontal="center" vertical="center"/>
    </xf>
    <xf numFmtId="3" fontId="0" fillId="0" borderId="67" xfId="0" applyNumberFormat="1" applyFill="1" applyBorder="1" applyAlignment="1">
      <alignment horizontal="center" vertical="center"/>
    </xf>
    <xf numFmtId="3" fontId="11" fillId="9" borderId="67" xfId="0" applyNumberFormat="1" applyFont="1" applyFill="1" applyBorder="1" applyAlignment="1">
      <alignment horizontal="center" vertical="center" wrapText="1"/>
    </xf>
    <xf numFmtId="3" fontId="13" fillId="23" borderId="67" xfId="0" applyNumberFormat="1" applyFont="1" applyFill="1" applyBorder="1" applyAlignment="1">
      <alignment horizontal="center" vertical="center"/>
    </xf>
    <xf numFmtId="3" fontId="0" fillId="23" borderId="67" xfId="0" applyNumberFormat="1" applyFill="1" applyBorder="1" applyAlignment="1">
      <alignment horizontal="center" vertical="center"/>
    </xf>
    <xf numFmtId="3" fontId="11" fillId="4" borderId="67" xfId="0" applyNumberFormat="1" applyFont="1" applyFill="1" applyBorder="1" applyAlignment="1">
      <alignment horizontal="center" vertical="center" wrapText="1"/>
    </xf>
    <xf numFmtId="3" fontId="13" fillId="22" borderId="67" xfId="0" applyNumberFormat="1" applyFont="1" applyFill="1" applyBorder="1" applyAlignment="1">
      <alignment horizontal="center" vertical="center"/>
    </xf>
    <xf numFmtId="0" fontId="16" fillId="13" borderId="67" xfId="0" applyFont="1" applyFill="1" applyBorder="1" applyAlignment="1">
      <alignment horizontal="left" vertical="center"/>
    </xf>
    <xf numFmtId="3" fontId="13" fillId="28" borderId="67" xfId="0" applyNumberFormat="1" applyFont="1" applyFill="1" applyBorder="1" applyAlignment="1">
      <alignment horizontal="center" vertical="center"/>
    </xf>
    <xf numFmtId="3" fontId="13" fillId="24" borderId="67" xfId="0" applyNumberFormat="1" applyFont="1" applyFill="1" applyBorder="1" applyAlignment="1">
      <alignment horizontal="center" vertical="center"/>
    </xf>
    <xf numFmtId="3" fontId="0" fillId="0" borderId="68" xfId="0" applyNumberFormat="1" applyFill="1" applyBorder="1" applyAlignment="1">
      <alignment horizontal="center" vertical="center"/>
    </xf>
    <xf numFmtId="3" fontId="0" fillId="25" borderId="70" xfId="0" applyNumberFormat="1" applyFill="1" applyBorder="1" applyAlignment="1">
      <alignment horizontal="center" vertical="center"/>
    </xf>
    <xf numFmtId="169" fontId="7" fillId="25" borderId="3" xfId="0" applyNumberFormat="1" applyFont="1" applyFill="1" applyBorder="1" applyAlignment="1">
      <alignment horizontal="center" vertical="center" wrapText="1"/>
    </xf>
    <xf numFmtId="0" fontId="11" fillId="25" borderId="7" xfId="0" applyFont="1" applyFill="1" applyBorder="1" applyAlignment="1">
      <alignment horizontal="center" vertical="center" wrapText="1"/>
    </xf>
    <xf numFmtId="3" fontId="11" fillId="25" borderId="29" xfId="0" applyNumberFormat="1" applyFont="1" applyFill="1" applyBorder="1" applyAlignment="1">
      <alignment horizontal="center" vertical="center" wrapText="1"/>
    </xf>
    <xf numFmtId="169" fontId="12" fillId="28" borderId="3" xfId="0" applyNumberFormat="1" applyFont="1" applyFill="1" applyBorder="1" applyAlignment="1">
      <alignment horizontal="center" vertical="center" wrapText="1"/>
    </xf>
    <xf numFmtId="0" fontId="17" fillId="28" borderId="7" xfId="0" applyFont="1" applyFill="1" applyBorder="1" applyAlignment="1">
      <alignment horizontal="center" vertical="center" wrapText="1"/>
    </xf>
    <xf numFmtId="3" fontId="17" fillId="28" borderId="29" xfId="0" applyNumberFormat="1" applyFont="1" applyFill="1" applyBorder="1" applyAlignment="1">
      <alignment horizontal="center" vertical="center" wrapText="1"/>
    </xf>
    <xf numFmtId="3" fontId="8" fillId="0" borderId="0" xfId="0" applyNumberFormat="1" applyFont="1" applyAlignment="1">
      <alignment horizontal="center" vertical="center"/>
    </xf>
    <xf numFmtId="165" fontId="8" fillId="0" borderId="0" xfId="0" applyNumberFormat="1" applyFont="1" applyAlignment="1">
      <alignment horizontal="center"/>
    </xf>
    <xf numFmtId="0" fontId="25" fillId="0" borderId="12" xfId="0" applyFont="1" applyFill="1" applyBorder="1" applyAlignment="1">
      <alignment horizontal="center" vertical="center" wrapText="1"/>
    </xf>
    <xf numFmtId="165" fontId="8" fillId="0" borderId="0" xfId="1" applyNumberFormat="1" applyFont="1" applyFill="1" applyBorder="1" applyAlignment="1">
      <alignment horizontal="center" vertical="center" wrapText="1"/>
    </xf>
    <xf numFmtId="3" fontId="25" fillId="0" borderId="0" xfId="0" applyNumberFormat="1" applyFont="1" applyFill="1" applyBorder="1" applyAlignment="1">
      <alignment horizontal="center" vertical="center" wrapText="1"/>
    </xf>
    <xf numFmtId="3" fontId="0" fillId="0" borderId="0" xfId="0" applyNumberFormat="1" applyFill="1" applyBorder="1"/>
    <xf numFmtId="0" fontId="25" fillId="0" borderId="0" xfId="0" applyFont="1" applyBorder="1"/>
    <xf numFmtId="165" fontId="7" fillId="0" borderId="0" xfId="0" applyNumberFormat="1" applyFont="1" applyBorder="1"/>
    <xf numFmtId="168" fontId="26" fillId="0" borderId="0" xfId="0" applyNumberFormat="1" applyFont="1" applyBorder="1" applyAlignment="1">
      <alignment wrapText="1"/>
    </xf>
    <xf numFmtId="0" fontId="26" fillId="0" borderId="0" xfId="0" applyFont="1" applyBorder="1" applyAlignment="1">
      <alignment wrapText="1"/>
    </xf>
    <xf numFmtId="0" fontId="26" fillId="0" borderId="0" xfId="0" applyFont="1" applyBorder="1" applyAlignment="1">
      <alignment horizontal="center"/>
    </xf>
    <xf numFmtId="167" fontId="26" fillId="0" borderId="0" xfId="0" applyNumberFormat="1" applyFont="1" applyBorder="1"/>
    <xf numFmtId="3" fontId="11" fillId="0" borderId="67" xfId="0" applyNumberFormat="1" applyFont="1" applyFill="1" applyBorder="1" applyAlignment="1">
      <alignment horizontal="center" vertical="center" wrapText="1"/>
    </xf>
    <xf numFmtId="3" fontId="8" fillId="0" borderId="35" xfId="0" applyNumberFormat="1" applyFont="1" applyFill="1" applyBorder="1" applyAlignment="1">
      <alignment horizontal="center" vertical="center"/>
    </xf>
    <xf numFmtId="3" fontId="17" fillId="5" borderId="17" xfId="0" applyNumberFormat="1" applyFont="1" applyFill="1" applyBorder="1" applyAlignment="1">
      <alignment horizontal="center" vertical="center" wrapText="1"/>
    </xf>
    <xf numFmtId="0" fontId="15" fillId="25" borderId="6" xfId="0" applyFont="1" applyFill="1" applyBorder="1" applyAlignment="1">
      <alignment horizontal="center" vertical="center" wrapText="1"/>
    </xf>
    <xf numFmtId="3" fontId="15" fillId="25" borderId="18" xfId="0" applyNumberFormat="1" applyFont="1" applyFill="1" applyBorder="1" applyAlignment="1">
      <alignment horizontal="center" vertical="center" wrapText="1"/>
    </xf>
    <xf numFmtId="3" fontId="13" fillId="25" borderId="6" xfId="0" applyNumberFormat="1" applyFont="1" applyFill="1" applyBorder="1" applyAlignment="1">
      <alignment horizontal="center"/>
    </xf>
    <xf numFmtId="169" fontId="13" fillId="25" borderId="52" xfId="0" applyNumberFormat="1" applyFont="1" applyFill="1" applyBorder="1" applyAlignment="1">
      <alignment horizontal="center"/>
    </xf>
    <xf numFmtId="3" fontId="7" fillId="25" borderId="20" xfId="0" applyNumberFormat="1" applyFont="1" applyFill="1" applyBorder="1" applyAlignment="1">
      <alignment horizontal="center"/>
    </xf>
    <xf numFmtId="3" fontId="7" fillId="25" borderId="6" xfId="0" applyNumberFormat="1" applyFont="1" applyFill="1" applyBorder="1" applyAlignment="1">
      <alignment horizontal="center"/>
    </xf>
    <xf numFmtId="0" fontId="13" fillId="25" borderId="3" xfId="0" applyFont="1" applyFill="1" applyBorder="1" applyAlignment="1">
      <alignment horizontal="center"/>
    </xf>
    <xf numFmtId="0" fontId="13" fillId="25" borderId="7" xfId="0" applyFont="1" applyFill="1" applyBorder="1"/>
    <xf numFmtId="169" fontId="13" fillId="25" borderId="7" xfId="0" applyNumberFormat="1" applyFont="1" applyFill="1" applyBorder="1" applyAlignment="1">
      <alignment horizontal="center"/>
    </xf>
    <xf numFmtId="0" fontId="13" fillId="25" borderId="0" xfId="0" applyFont="1" applyFill="1"/>
    <xf numFmtId="0" fontId="0" fillId="25" borderId="0" xfId="0" applyFill="1"/>
    <xf numFmtId="3" fontId="7" fillId="25" borderId="7" xfId="0" applyNumberFormat="1" applyFont="1" applyFill="1" applyBorder="1" applyAlignment="1">
      <alignment horizontal="center"/>
    </xf>
    <xf numFmtId="3" fontId="0" fillId="25" borderId="3" xfId="0" applyNumberFormat="1" applyFill="1" applyBorder="1" applyAlignment="1">
      <alignment horizontal="center"/>
    </xf>
    <xf numFmtId="3" fontId="0" fillId="25" borderId="7" xfId="0" applyNumberFormat="1" applyFill="1" applyBorder="1"/>
    <xf numFmtId="0" fontId="7" fillId="25" borderId="3" xfId="0" applyFont="1" applyFill="1" applyBorder="1" applyAlignment="1">
      <alignment horizontal="center" vertical="center" wrapText="1"/>
    </xf>
    <xf numFmtId="3" fontId="0" fillId="25" borderId="7" xfId="0" applyNumberFormat="1" applyFill="1" applyBorder="1" applyAlignment="1">
      <alignment horizontal="center"/>
    </xf>
    <xf numFmtId="3" fontId="7" fillId="25" borderId="3" xfId="0" applyNumberFormat="1" applyFont="1" applyFill="1" applyBorder="1" applyAlignment="1">
      <alignment horizontal="center"/>
    </xf>
    <xf numFmtId="0" fontId="0" fillId="25" borderId="3" xfId="0" applyFill="1" applyBorder="1" applyAlignment="1">
      <alignment horizontal="center"/>
    </xf>
    <xf numFmtId="169" fontId="0" fillId="25" borderId="7" xfId="0" applyNumberFormat="1" applyFill="1" applyBorder="1" applyAlignment="1">
      <alignment horizontal="center"/>
    </xf>
    <xf numFmtId="3" fontId="13" fillId="23" borderId="7" xfId="0" applyNumberFormat="1" applyFont="1" applyFill="1" applyBorder="1" applyAlignment="1">
      <alignment horizontal="center"/>
    </xf>
    <xf numFmtId="3" fontId="7" fillId="23" borderId="3" xfId="0" applyNumberFormat="1" applyFont="1" applyFill="1" applyBorder="1" applyAlignment="1">
      <alignment horizontal="center"/>
    </xf>
    <xf numFmtId="3" fontId="7" fillId="23" borderId="7" xfId="0" applyNumberFormat="1" applyFont="1" applyFill="1" applyBorder="1" applyAlignment="1">
      <alignment horizontal="center"/>
    </xf>
    <xf numFmtId="0" fontId="13" fillId="23" borderId="3" xfId="0" applyFont="1" applyFill="1" applyBorder="1" applyAlignment="1">
      <alignment horizontal="center"/>
    </xf>
    <xf numFmtId="0" fontId="13" fillId="23" borderId="7" xfId="0" applyFont="1" applyFill="1" applyBorder="1"/>
    <xf numFmtId="169" fontId="13" fillId="23" borderId="7" xfId="0" applyNumberFormat="1" applyFont="1" applyFill="1" applyBorder="1" applyAlignment="1">
      <alignment horizontal="center"/>
    </xf>
    <xf numFmtId="0" fontId="13" fillId="23" borderId="0" xfId="0" applyFont="1" applyFill="1"/>
    <xf numFmtId="0" fontId="0" fillId="23" borderId="0" xfId="0" applyFill="1"/>
    <xf numFmtId="3" fontId="0" fillId="23" borderId="3" xfId="0" applyNumberFormat="1" applyFill="1" applyBorder="1" applyAlignment="1">
      <alignment horizontal="center"/>
    </xf>
    <xf numFmtId="0" fontId="0" fillId="23" borderId="7" xfId="0" applyFill="1" applyBorder="1"/>
    <xf numFmtId="0" fontId="8" fillId="23" borderId="3" xfId="0" applyFont="1" applyFill="1" applyBorder="1" applyAlignment="1">
      <alignment horizontal="center" vertical="center" wrapText="1"/>
    </xf>
    <xf numFmtId="169" fontId="0" fillId="23" borderId="7" xfId="0" applyNumberFormat="1" applyFill="1" applyBorder="1" applyAlignment="1">
      <alignment horizontal="center"/>
    </xf>
    <xf numFmtId="3" fontId="0" fillId="23" borderId="7" xfId="0" applyNumberFormat="1" applyFill="1" applyBorder="1"/>
    <xf numFmtId="0" fontId="15" fillId="29" borderId="7" xfId="0" applyFont="1" applyFill="1" applyBorder="1" applyAlignment="1">
      <alignment horizontal="center" vertical="center" wrapText="1"/>
    </xf>
    <xf numFmtId="3" fontId="15" fillId="29" borderId="29" xfId="0" applyNumberFormat="1" applyFont="1" applyFill="1" applyBorder="1" applyAlignment="1">
      <alignment horizontal="center" vertical="center" wrapText="1"/>
    </xf>
    <xf numFmtId="3" fontId="15" fillId="29" borderId="7" xfId="0" applyNumberFormat="1" applyFont="1" applyFill="1" applyBorder="1" applyAlignment="1">
      <alignment horizontal="center" vertical="center" wrapText="1"/>
    </xf>
    <xf numFmtId="3" fontId="13" fillId="29" borderId="7" xfId="0" applyNumberFormat="1" applyFont="1" applyFill="1" applyBorder="1" applyAlignment="1">
      <alignment horizontal="center"/>
    </xf>
    <xf numFmtId="169" fontId="13" fillId="29" borderId="35" xfId="0" applyNumberFormat="1" applyFont="1" applyFill="1" applyBorder="1" applyAlignment="1">
      <alignment horizontal="center"/>
    </xf>
    <xf numFmtId="3" fontId="7" fillId="29" borderId="3" xfId="0" applyNumberFormat="1" applyFont="1" applyFill="1" applyBorder="1" applyAlignment="1">
      <alignment horizontal="center"/>
    </xf>
    <xf numFmtId="3" fontId="7" fillId="29" borderId="7" xfId="0" applyNumberFormat="1" applyFont="1" applyFill="1" applyBorder="1" applyAlignment="1">
      <alignment horizontal="center"/>
    </xf>
    <xf numFmtId="0" fontId="13" fillId="29" borderId="3" xfId="0" applyFont="1" applyFill="1" applyBorder="1" applyAlignment="1">
      <alignment horizontal="center"/>
    </xf>
    <xf numFmtId="0" fontId="13" fillId="29" borderId="7" xfId="0" applyFont="1" applyFill="1" applyBorder="1"/>
    <xf numFmtId="169" fontId="13" fillId="29" borderId="7" xfId="0" applyNumberFormat="1" applyFont="1" applyFill="1" applyBorder="1" applyAlignment="1">
      <alignment horizontal="center"/>
    </xf>
    <xf numFmtId="3" fontId="13" fillId="29" borderId="7" xfId="0" applyNumberFormat="1" applyFont="1" applyFill="1" applyBorder="1"/>
    <xf numFmtId="0" fontId="13" fillId="29" borderId="0" xfId="0" applyFont="1" applyFill="1"/>
    <xf numFmtId="0" fontId="0" fillId="29" borderId="0" xfId="0" applyFill="1"/>
    <xf numFmtId="169" fontId="0" fillId="29" borderId="35" xfId="0" applyNumberFormat="1" applyFill="1" applyBorder="1" applyAlignment="1">
      <alignment horizontal="center" vertical="center"/>
    </xf>
    <xf numFmtId="3" fontId="0" fillId="29" borderId="3" xfId="0" applyNumberFormat="1" applyFill="1" applyBorder="1" applyAlignment="1">
      <alignment horizontal="center"/>
    </xf>
    <xf numFmtId="0" fontId="0" fillId="29" borderId="7" xfId="0" applyFill="1" applyBorder="1"/>
    <xf numFmtId="3" fontId="0" fillId="29" borderId="7" xfId="0" applyNumberFormat="1" applyFill="1" applyBorder="1"/>
    <xf numFmtId="0" fontId="8" fillId="29" borderId="3" xfId="0" applyFont="1" applyFill="1" applyBorder="1" applyAlignment="1">
      <alignment horizontal="center" vertical="center" wrapText="1"/>
    </xf>
    <xf numFmtId="0" fontId="11" fillId="29" borderId="7" xfId="0" applyFont="1" applyFill="1" applyBorder="1" applyAlignment="1">
      <alignment horizontal="center" vertical="center" wrapText="1"/>
    </xf>
    <xf numFmtId="3" fontId="11" fillId="29" borderId="29" xfId="0" applyNumberFormat="1" applyFont="1" applyFill="1" applyBorder="1" applyAlignment="1">
      <alignment horizontal="center" vertical="center" wrapText="1"/>
    </xf>
    <xf numFmtId="3" fontId="11" fillId="29" borderId="7" xfId="0" applyNumberFormat="1" applyFont="1" applyFill="1" applyBorder="1" applyAlignment="1">
      <alignment horizontal="center" vertical="center" wrapText="1"/>
    </xf>
    <xf numFmtId="3" fontId="0" fillId="29" borderId="7" xfId="0" applyNumberFormat="1" applyFill="1" applyBorder="1" applyAlignment="1">
      <alignment horizontal="center"/>
    </xf>
    <xf numFmtId="0" fontId="0" fillId="29" borderId="3" xfId="0" applyFill="1" applyBorder="1" applyAlignment="1">
      <alignment horizontal="center"/>
    </xf>
    <xf numFmtId="169" fontId="0" fillId="29" borderId="7" xfId="0" applyNumberFormat="1" applyFill="1" applyBorder="1" applyAlignment="1">
      <alignment horizontal="center"/>
    </xf>
    <xf numFmtId="3" fontId="13" fillId="25" borderId="66" xfId="0" applyNumberFormat="1" applyFont="1" applyFill="1" applyBorder="1" applyAlignment="1">
      <alignment horizontal="center" vertical="center"/>
    </xf>
    <xf numFmtId="3" fontId="11" fillId="4" borderId="67" xfId="1" applyNumberFormat="1" applyFont="1" applyFill="1" applyBorder="1" applyAlignment="1">
      <alignment horizontal="center" vertical="center" wrapText="1"/>
    </xf>
    <xf numFmtId="3" fontId="20" fillId="7" borderId="67" xfId="0" applyNumberFormat="1" applyFont="1" applyFill="1" applyBorder="1" applyAlignment="1">
      <alignment horizontal="left" vertical="center" wrapText="1"/>
    </xf>
    <xf numFmtId="3" fontId="8" fillId="19" borderId="69" xfId="0" applyNumberFormat="1" applyFont="1" applyFill="1" applyBorder="1" applyAlignment="1">
      <alignment horizontal="center" vertical="center"/>
    </xf>
    <xf numFmtId="0" fontId="8" fillId="5" borderId="0"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5" borderId="57" xfId="0" applyFont="1" applyFill="1" applyBorder="1" applyAlignment="1">
      <alignment vertical="center" wrapText="1"/>
    </xf>
    <xf numFmtId="3" fontId="14" fillId="25" borderId="52" xfId="0" applyNumberFormat="1" applyFont="1" applyFill="1" applyBorder="1" applyAlignment="1">
      <alignment horizontal="center" vertical="center"/>
    </xf>
    <xf numFmtId="3" fontId="34" fillId="7" borderId="35" xfId="0" applyNumberFormat="1" applyFont="1" applyFill="1" applyBorder="1" applyAlignment="1">
      <alignment horizontal="left" vertical="center" wrapText="1"/>
    </xf>
    <xf numFmtId="3" fontId="8" fillId="23" borderId="35" xfId="0" applyNumberFormat="1" applyFont="1" applyFill="1" applyBorder="1" applyAlignment="1">
      <alignment horizontal="center" vertical="center"/>
    </xf>
    <xf numFmtId="1" fontId="17" fillId="30" borderId="7" xfId="0" applyNumberFormat="1" applyFont="1" applyFill="1" applyBorder="1" applyAlignment="1">
      <alignment horizontal="center" vertical="center" wrapText="1"/>
    </xf>
    <xf numFmtId="3" fontId="17" fillId="30" borderId="7" xfId="0" applyNumberFormat="1" applyFont="1" applyFill="1" applyBorder="1" applyAlignment="1">
      <alignment horizontal="center" vertical="center" wrapText="1"/>
    </xf>
    <xf numFmtId="3" fontId="11" fillId="30" borderId="7" xfId="0" applyNumberFormat="1" applyFont="1" applyFill="1" applyBorder="1" applyAlignment="1">
      <alignment horizontal="center" vertical="center" wrapText="1"/>
    </xf>
    <xf numFmtId="1" fontId="17" fillId="21" borderId="7" xfId="0" applyNumberFormat="1" applyFont="1" applyFill="1" applyBorder="1" applyAlignment="1">
      <alignment horizontal="center" vertical="center" wrapText="1"/>
    </xf>
    <xf numFmtId="3" fontId="17" fillId="21" borderId="7" xfId="0" applyNumberFormat="1" applyFont="1" applyFill="1" applyBorder="1" applyAlignment="1">
      <alignment horizontal="center" vertical="center" wrapText="1"/>
    </xf>
    <xf numFmtId="0" fontId="7" fillId="24" borderId="7" xfId="0" applyFont="1" applyFill="1" applyBorder="1"/>
    <xf numFmtId="1" fontId="17" fillId="24" borderId="7" xfId="0" applyNumberFormat="1" applyFont="1" applyFill="1" applyBorder="1" applyAlignment="1">
      <alignment horizontal="center" vertical="center" wrapText="1"/>
    </xf>
    <xf numFmtId="0" fontId="13" fillId="24" borderId="0" xfId="0" applyFont="1" applyFill="1"/>
    <xf numFmtId="1" fontId="17" fillId="25" borderId="7" xfId="0" applyNumberFormat="1" applyFont="1" applyFill="1" applyBorder="1" applyAlignment="1">
      <alignment horizontal="center" vertical="center" wrapText="1"/>
    </xf>
    <xf numFmtId="3" fontId="17" fillId="25" borderId="7" xfId="0" applyNumberFormat="1" applyFont="1" applyFill="1" applyBorder="1" applyAlignment="1">
      <alignment horizontal="center" vertical="center" wrapText="1"/>
    </xf>
    <xf numFmtId="3" fontId="0" fillId="0" borderId="29" xfId="0" applyNumberFormat="1" applyFill="1" applyBorder="1" applyAlignment="1">
      <alignment horizontal="center"/>
    </xf>
    <xf numFmtId="3" fontId="7" fillId="0" borderId="2" xfId="0" applyNumberFormat="1" applyFont="1" applyFill="1" applyBorder="1" applyAlignment="1">
      <alignment horizontal="center"/>
    </xf>
    <xf numFmtId="3" fontId="7" fillId="0" borderId="29" xfId="0" applyNumberFormat="1" applyFont="1" applyFill="1" applyBorder="1" applyAlignment="1">
      <alignment horizontal="center"/>
    </xf>
    <xf numFmtId="0" fontId="0" fillId="19" borderId="7" xfId="0" applyFill="1" applyBorder="1"/>
    <xf numFmtId="169" fontId="0" fillId="19" borderId="7" xfId="0" applyNumberFormat="1" applyFill="1" applyBorder="1" applyAlignment="1">
      <alignment horizontal="center"/>
    </xf>
    <xf numFmtId="0" fontId="28" fillId="19" borderId="72" xfId="0" applyFont="1" applyFill="1" applyBorder="1" applyAlignment="1">
      <alignment horizontal="center" vertical="center"/>
    </xf>
    <xf numFmtId="169" fontId="28" fillId="19" borderId="73" xfId="0" applyNumberFormat="1" applyFont="1" applyFill="1" applyBorder="1" applyAlignment="1">
      <alignment horizontal="center" vertical="center"/>
    </xf>
    <xf numFmtId="10" fontId="8" fillId="23" borderId="0" xfId="0" applyNumberFormat="1" applyFont="1" applyFill="1" applyAlignment="1">
      <alignment horizontal="center" vertical="center"/>
    </xf>
    <xf numFmtId="10" fontId="8" fillId="23" borderId="0" xfId="1" applyNumberFormat="1" applyFont="1" applyFill="1" applyBorder="1" applyAlignment="1">
      <alignment horizontal="center" vertical="center" wrapText="1"/>
    </xf>
    <xf numFmtId="0" fontId="13" fillId="24" borderId="7" xfId="0" applyFont="1" applyFill="1" applyBorder="1"/>
    <xf numFmtId="169" fontId="13" fillId="24" borderId="7" xfId="0" applyNumberFormat="1" applyFont="1" applyFill="1" applyBorder="1" applyAlignment="1">
      <alignment horizontal="center"/>
    </xf>
    <xf numFmtId="3" fontId="13" fillId="24" borderId="7" xfId="0" applyNumberFormat="1" applyFont="1" applyFill="1" applyBorder="1"/>
    <xf numFmtId="0" fontId="13" fillId="28" borderId="7" xfId="0" applyFont="1" applyFill="1" applyBorder="1"/>
    <xf numFmtId="169" fontId="13" fillId="28" borderId="7" xfId="0" applyNumberFormat="1" applyFont="1" applyFill="1" applyBorder="1" applyAlignment="1">
      <alignment horizontal="center"/>
    </xf>
    <xf numFmtId="3" fontId="13" fillId="28" borderId="7" xfId="0" applyNumberFormat="1" applyFont="1" applyFill="1" applyBorder="1"/>
    <xf numFmtId="0" fontId="13" fillId="28" borderId="0" xfId="0" applyFont="1" applyFill="1"/>
    <xf numFmtId="3" fontId="13" fillId="31" borderId="3" xfId="0" applyNumberFormat="1" applyFont="1" applyFill="1" applyBorder="1" applyAlignment="1">
      <alignment horizontal="center" vertical="center"/>
    </xf>
    <xf numFmtId="0" fontId="13" fillId="31" borderId="7" xfId="0" applyFont="1" applyFill="1" applyBorder="1"/>
    <xf numFmtId="169" fontId="13" fillId="31" borderId="7" xfId="0" applyNumberFormat="1" applyFont="1" applyFill="1" applyBorder="1" applyAlignment="1">
      <alignment horizontal="center"/>
    </xf>
    <xf numFmtId="3" fontId="13" fillId="31" borderId="7" xfId="0" applyNumberFormat="1" applyFont="1" applyFill="1" applyBorder="1"/>
    <xf numFmtId="0" fontId="13" fillId="31" borderId="0" xfId="0" applyFont="1" applyFill="1"/>
    <xf numFmtId="0" fontId="13" fillId="22" borderId="7" xfId="0" applyFont="1" applyFill="1" applyBorder="1"/>
    <xf numFmtId="169" fontId="13" fillId="22" borderId="7" xfId="0" applyNumberFormat="1" applyFont="1" applyFill="1" applyBorder="1" applyAlignment="1">
      <alignment horizontal="center"/>
    </xf>
    <xf numFmtId="3" fontId="13" fillId="22" borderId="7" xfId="0" applyNumberFormat="1" applyFont="1" applyFill="1" applyBorder="1"/>
    <xf numFmtId="0" fontId="13" fillId="22" borderId="0" xfId="0" applyFont="1" applyFill="1"/>
    <xf numFmtId="0" fontId="0" fillId="32" borderId="7" xfId="0" applyFill="1" applyBorder="1"/>
    <xf numFmtId="169" fontId="0" fillId="32" borderId="7" xfId="0" applyNumberFormat="1" applyFill="1" applyBorder="1" applyAlignment="1">
      <alignment horizontal="center"/>
    </xf>
    <xf numFmtId="0" fontId="0" fillId="32" borderId="0" xfId="0" applyFill="1"/>
    <xf numFmtId="3" fontId="7" fillId="0" borderId="0" xfId="0" applyNumberFormat="1" applyFont="1" applyFill="1"/>
    <xf numFmtId="169" fontId="16" fillId="23" borderId="3" xfId="0" applyNumberFormat="1" applyFont="1" applyFill="1" applyBorder="1" applyAlignment="1">
      <alignment horizontal="center" vertical="center" wrapText="1"/>
    </xf>
    <xf numFmtId="0" fontId="17" fillId="23" borderId="7" xfId="0" applyFont="1" applyFill="1" applyBorder="1" applyAlignment="1">
      <alignment horizontal="center" vertical="center" wrapText="1"/>
    </xf>
    <xf numFmtId="3" fontId="17" fillId="23" borderId="7" xfId="0" applyNumberFormat="1" applyFont="1" applyFill="1" applyBorder="1" applyAlignment="1">
      <alignment horizontal="center" vertical="center" wrapText="1"/>
    </xf>
    <xf numFmtId="1" fontId="17" fillId="23" borderId="7" xfId="0" applyNumberFormat="1" applyFont="1" applyFill="1" applyBorder="1" applyAlignment="1">
      <alignment horizontal="center" vertical="center" wrapText="1"/>
    </xf>
    <xf numFmtId="3" fontId="16" fillId="23" borderId="7" xfId="0" applyNumberFormat="1" applyFont="1" applyFill="1" applyBorder="1" applyAlignment="1">
      <alignment horizontal="center"/>
    </xf>
    <xf numFmtId="3" fontId="16" fillId="23" borderId="3" xfId="0" applyNumberFormat="1" applyFont="1" applyFill="1" applyBorder="1"/>
    <xf numFmtId="3" fontId="16" fillId="23" borderId="7" xfId="0" applyNumberFormat="1" applyFont="1" applyFill="1" applyBorder="1"/>
    <xf numFmtId="3" fontId="16" fillId="23" borderId="35" xfId="0" applyNumberFormat="1" applyFont="1" applyFill="1" applyBorder="1"/>
    <xf numFmtId="3" fontId="16" fillId="23" borderId="2" xfId="0" applyNumberFormat="1" applyFont="1" applyFill="1" applyBorder="1"/>
    <xf numFmtId="3" fontId="7" fillId="23" borderId="7" xfId="0" applyNumberFormat="1" applyFont="1" applyFill="1" applyBorder="1"/>
    <xf numFmtId="167" fontId="11" fillId="32" borderId="0" xfId="1" applyNumberFormat="1" applyFont="1" applyFill="1" applyBorder="1" applyAlignment="1">
      <alignment horizontal="center" wrapText="1"/>
    </xf>
    <xf numFmtId="1" fontId="11" fillId="25" borderId="15" xfId="0" applyNumberFormat="1" applyFont="1" applyFill="1" applyBorder="1" applyAlignment="1">
      <alignment horizontal="center" vertical="center" wrapText="1"/>
    </xf>
    <xf numFmtId="1" fontId="0" fillId="25" borderId="7" xfId="0" applyNumberFormat="1" applyFill="1" applyBorder="1"/>
    <xf numFmtId="1" fontId="11" fillId="25" borderId="7" xfId="0" applyNumberFormat="1" applyFont="1" applyFill="1" applyBorder="1" applyAlignment="1">
      <alignment horizontal="center" vertical="center" wrapText="1"/>
    </xf>
    <xf numFmtId="1" fontId="15" fillId="23" borderId="7" xfId="0" applyNumberFormat="1" applyFont="1" applyFill="1" applyBorder="1" applyAlignment="1">
      <alignment horizontal="center" vertical="center" wrapText="1"/>
    </xf>
    <xf numFmtId="1" fontId="11" fillId="23" borderId="7" xfId="0" applyNumberFormat="1" applyFont="1" applyFill="1" applyBorder="1" applyAlignment="1">
      <alignment horizontal="center" vertical="center" wrapText="1"/>
    </xf>
    <xf numFmtId="1" fontId="15" fillId="22" borderId="7" xfId="0" applyNumberFormat="1" applyFont="1" applyFill="1" applyBorder="1" applyAlignment="1">
      <alignment horizontal="center" vertical="center" wrapText="1"/>
    </xf>
    <xf numFmtId="1" fontId="16" fillId="13" borderId="7" xfId="0" applyNumberFormat="1" applyFont="1" applyFill="1" applyBorder="1" applyAlignment="1">
      <alignment horizontal="left" vertical="center"/>
    </xf>
    <xf numFmtId="1" fontId="17" fillId="28" borderId="7" xfId="0" applyNumberFormat="1" applyFont="1" applyFill="1" applyBorder="1" applyAlignment="1">
      <alignment horizontal="center" vertical="center" wrapText="1"/>
    </xf>
    <xf numFmtId="1" fontId="17" fillId="4" borderId="7" xfId="0" applyNumberFormat="1" applyFont="1" applyFill="1" applyBorder="1" applyAlignment="1">
      <alignment horizontal="center" vertical="center" wrapText="1"/>
    </xf>
    <xf numFmtId="1" fontId="17" fillId="0" borderId="14" xfId="0" applyNumberFormat="1" applyFont="1" applyFill="1" applyBorder="1" applyAlignment="1">
      <alignment horizontal="center" vertical="center" wrapText="1"/>
    </xf>
    <xf numFmtId="1" fontId="11" fillId="9" borderId="50" xfId="0" applyNumberFormat="1" applyFont="1" applyFill="1" applyBorder="1" applyAlignment="1">
      <alignment horizontal="center" vertical="center" wrapText="1"/>
    </xf>
    <xf numFmtId="1" fontId="25" fillId="11" borderId="7" xfId="0" applyNumberFormat="1" applyFont="1" applyFill="1" applyBorder="1" applyAlignment="1">
      <alignment horizontal="center" vertical="center" wrapText="1"/>
    </xf>
    <xf numFmtId="1" fontId="8" fillId="0" borderId="0" xfId="0" applyNumberFormat="1" applyFont="1" applyAlignment="1">
      <alignment horizontal="center"/>
    </xf>
    <xf numFmtId="3" fontId="0" fillId="0" borderId="29" xfId="0" applyNumberFormat="1" applyFill="1" applyBorder="1" applyAlignment="1">
      <alignment horizontal="center" vertical="center"/>
    </xf>
    <xf numFmtId="3" fontId="0" fillId="5" borderId="2" xfId="0" applyNumberFormat="1" applyFill="1" applyBorder="1" applyAlignment="1">
      <alignment horizontal="center" vertical="center" wrapText="1"/>
    </xf>
    <xf numFmtId="3" fontId="8" fillId="25" borderId="5" xfId="0" applyNumberFormat="1" applyFont="1" applyFill="1" applyBorder="1" applyAlignment="1">
      <alignment horizontal="center" vertical="center" wrapText="1"/>
    </xf>
    <xf numFmtId="3" fontId="8" fillId="9" borderId="3" xfId="0" applyNumberFormat="1" applyFont="1" applyFill="1" applyBorder="1" applyAlignment="1">
      <alignment horizontal="center" vertical="center" wrapText="1"/>
    </xf>
    <xf numFmtId="3" fontId="7" fillId="25" borderId="3" xfId="0" applyNumberFormat="1" applyFont="1" applyFill="1" applyBorder="1" applyAlignment="1">
      <alignment horizontal="center" vertical="center" wrapText="1"/>
    </xf>
    <xf numFmtId="3" fontId="14" fillId="23" borderId="3" xfId="0" applyNumberFormat="1" applyFont="1" applyFill="1" applyBorder="1" applyAlignment="1">
      <alignment horizontal="center" vertical="center" wrapText="1"/>
    </xf>
    <xf numFmtId="3" fontId="8" fillId="23" borderId="3"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3" fontId="14" fillId="22" borderId="3"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3" fontId="16" fillId="13" borderId="7" xfId="0" applyNumberFormat="1" applyFont="1" applyFill="1" applyBorder="1" applyAlignment="1">
      <alignment horizontal="left" vertical="center"/>
    </xf>
    <xf numFmtId="3" fontId="12" fillId="28" borderId="3" xfId="0" applyNumberFormat="1" applyFont="1" applyFill="1" applyBorder="1" applyAlignment="1">
      <alignment horizontal="center" vertical="center" wrapText="1"/>
    </xf>
    <xf numFmtId="3" fontId="12" fillId="24" borderId="3" xfId="0" applyNumberFormat="1" applyFont="1" applyFill="1" applyBorder="1" applyAlignment="1">
      <alignment horizontal="center" vertical="center" wrapText="1"/>
    </xf>
    <xf numFmtId="3" fontId="12" fillId="4" borderId="3" xfId="0" applyNumberFormat="1" applyFont="1" applyFill="1" applyBorder="1" applyAlignment="1">
      <alignment horizontal="center" vertical="center" wrapText="1"/>
    </xf>
    <xf numFmtId="3" fontId="12" fillId="0" borderId="5" xfId="0" applyNumberFormat="1" applyFont="1" applyFill="1" applyBorder="1" applyAlignment="1">
      <alignment horizontal="center" vertical="center" wrapText="1"/>
    </xf>
    <xf numFmtId="3" fontId="8" fillId="9" borderId="55"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27" fillId="5" borderId="0" xfId="0" applyNumberFormat="1" applyFont="1" applyFill="1" applyBorder="1" applyAlignment="1">
      <alignment horizontal="center" vertical="center" wrapText="1"/>
    </xf>
    <xf numFmtId="3" fontId="0" fillId="5" borderId="4" xfId="0" applyNumberFormat="1" applyFill="1" applyBorder="1" applyAlignment="1">
      <alignment horizontal="center" vertical="center" wrapText="1"/>
    </xf>
    <xf numFmtId="3" fontId="14" fillId="25" borderId="20" xfId="0" applyNumberFormat="1" applyFont="1" applyFill="1" applyBorder="1" applyAlignment="1">
      <alignment horizontal="center" vertical="center" wrapText="1"/>
    </xf>
    <xf numFmtId="3" fontId="14" fillId="29" borderId="3" xfId="0" applyNumberFormat="1" applyFont="1" applyFill="1" applyBorder="1" applyAlignment="1">
      <alignment horizontal="center" vertical="center" wrapText="1"/>
    </xf>
    <xf numFmtId="3" fontId="8" fillId="29" borderId="3" xfId="0" applyNumberFormat="1"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3" fontId="31" fillId="9" borderId="37" xfId="1" applyNumberFormat="1" applyFont="1" applyFill="1" applyBorder="1" applyAlignment="1">
      <alignment horizontal="center" vertical="center" wrapText="1"/>
    </xf>
    <xf numFmtId="3" fontId="8" fillId="0" borderId="0" xfId="1" applyNumberFormat="1" applyFont="1" applyBorder="1" applyAlignment="1">
      <alignment horizontal="center" vertical="center" wrapText="1"/>
    </xf>
    <xf numFmtId="3" fontId="0" fillId="0" borderId="0" xfId="0" applyNumberFormat="1" applyBorder="1" applyAlignment="1">
      <alignment horizontal="center"/>
    </xf>
    <xf numFmtId="3" fontId="27" fillId="5" borderId="45" xfId="0" applyNumberFormat="1" applyFont="1" applyFill="1" applyBorder="1" applyAlignment="1">
      <alignment horizontal="center" vertical="center" wrapText="1"/>
    </xf>
    <xf numFmtId="3" fontId="0" fillId="5" borderId="0" xfId="0" applyNumberFormat="1" applyFill="1" applyBorder="1" applyAlignment="1">
      <alignment horizontal="center" vertical="center" wrapText="1"/>
    </xf>
    <xf numFmtId="3" fontId="0" fillId="5" borderId="19" xfId="0" applyNumberFormat="1" applyFill="1" applyBorder="1" applyAlignment="1">
      <alignment horizontal="center" vertical="center" wrapText="1"/>
    </xf>
    <xf numFmtId="3" fontId="8" fillId="25" borderId="6" xfId="0" applyNumberFormat="1" applyFont="1" applyFill="1" applyBorder="1" applyAlignment="1">
      <alignment horizontal="center" vertical="center" wrapText="1"/>
    </xf>
    <xf numFmtId="3" fontId="8" fillId="23" borderId="7" xfId="0" applyNumberFormat="1" applyFont="1" applyFill="1" applyBorder="1" applyAlignment="1">
      <alignment horizontal="center" vertical="center" wrapText="1"/>
    </xf>
    <xf numFmtId="3" fontId="8" fillId="9" borderId="9" xfId="1" applyNumberFormat="1" applyFont="1" applyFill="1" applyBorder="1" applyAlignment="1">
      <alignment horizontal="center" wrapText="1"/>
    </xf>
    <xf numFmtId="3" fontId="12" fillId="20" borderId="7" xfId="0" applyNumberFormat="1" applyFont="1" applyFill="1" applyBorder="1" applyAlignment="1">
      <alignment horizontal="center" vertical="center" wrapText="1"/>
    </xf>
    <xf numFmtId="3" fontId="12" fillId="21" borderId="7" xfId="0" applyNumberFormat="1" applyFont="1" applyFill="1" applyBorder="1" applyAlignment="1">
      <alignment horizontal="center" vertical="center"/>
    </xf>
    <xf numFmtId="3" fontId="8" fillId="9" borderId="7" xfId="0" applyNumberFormat="1" applyFont="1" applyFill="1" applyBorder="1" applyAlignment="1">
      <alignment horizontal="center" vertical="center"/>
    </xf>
    <xf numFmtId="3" fontId="24" fillId="0" borderId="7" xfId="0" applyNumberFormat="1" applyFont="1" applyFill="1" applyBorder="1" applyAlignment="1">
      <alignment horizontal="center" vertical="center"/>
    </xf>
    <xf numFmtId="3" fontId="12" fillId="4" borderId="7" xfId="0" applyNumberFormat="1" applyFont="1" applyFill="1" applyBorder="1" applyAlignment="1">
      <alignment horizontal="center" vertical="center" wrapText="1"/>
    </xf>
    <xf numFmtId="3" fontId="12" fillId="0" borderId="14" xfId="0" applyNumberFormat="1" applyFont="1" applyFill="1" applyBorder="1" applyAlignment="1">
      <alignment horizontal="center" vertical="center" wrapText="1"/>
    </xf>
    <xf numFmtId="3" fontId="8" fillId="9" borderId="50" xfId="0" applyNumberFormat="1" applyFont="1" applyFill="1" applyBorder="1" applyAlignment="1">
      <alignment horizontal="center" vertical="center" wrapText="1"/>
    </xf>
    <xf numFmtId="3" fontId="8" fillId="0" borderId="0" xfId="0" applyNumberFormat="1" applyFont="1" applyFill="1" applyBorder="1" applyAlignment="1">
      <alignment horizontal="justify" vertical="center" wrapText="1"/>
    </xf>
    <xf numFmtId="0" fontId="0" fillId="0" borderId="15" xfId="0" applyFill="1" applyBorder="1"/>
    <xf numFmtId="3" fontId="0" fillId="0" borderId="15" xfId="0" applyNumberFormat="1" applyFill="1" applyBorder="1"/>
    <xf numFmtId="3" fontId="16" fillId="23" borderId="3" xfId="0" applyNumberFormat="1" applyFont="1" applyFill="1" applyBorder="1" applyAlignment="1">
      <alignment horizontal="center" vertical="center" wrapText="1"/>
    </xf>
    <xf numFmtId="3" fontId="16" fillId="15" borderId="7" xfId="0" applyNumberFormat="1" applyFont="1" applyFill="1" applyBorder="1" applyAlignment="1">
      <alignment horizontal="left" vertical="center"/>
    </xf>
    <xf numFmtId="3" fontId="31" fillId="0" borderId="0" xfId="1" applyNumberFormat="1" applyFont="1" applyBorder="1" applyAlignment="1">
      <alignment horizontal="center" wrapText="1"/>
    </xf>
    <xf numFmtId="3" fontId="0" fillId="0" borderId="25" xfId="0" applyNumberFormat="1" applyBorder="1" applyAlignment="1">
      <alignment horizontal="center"/>
    </xf>
    <xf numFmtId="169" fontId="4" fillId="0" borderId="3" xfId="0" applyNumberFormat="1" applyFont="1" applyFill="1" applyBorder="1" applyAlignment="1">
      <alignment horizontal="center" vertical="center" wrapText="1"/>
    </xf>
    <xf numFmtId="0" fontId="4" fillId="0" borderId="7" xfId="0" applyFont="1" applyFill="1" applyBorder="1"/>
    <xf numFmtId="165" fontId="24" fillId="0" borderId="7" xfId="0" applyNumberFormat="1" applyFont="1" applyFill="1" applyBorder="1" applyAlignment="1">
      <alignment horizontal="center" vertical="center" wrapText="1"/>
    </xf>
    <xf numFmtId="167" fontId="31" fillId="0" borderId="0" xfId="1" applyNumberFormat="1" applyFont="1" applyBorder="1" applyAlignment="1">
      <alignment horizontal="center"/>
    </xf>
    <xf numFmtId="0" fontId="7" fillId="25" borderId="7" xfId="0" applyFont="1" applyFill="1" applyBorder="1"/>
    <xf numFmtId="0" fontId="7" fillId="32" borderId="7" xfId="0" applyFont="1" applyFill="1" applyBorder="1"/>
    <xf numFmtId="0" fontId="7" fillId="23" borderId="7" xfId="0" applyFont="1" applyFill="1" applyBorder="1"/>
    <xf numFmtId="0" fontId="7" fillId="22" borderId="7" xfId="0" applyFont="1" applyFill="1" applyBorder="1"/>
    <xf numFmtId="0" fontId="7" fillId="31" borderId="7" xfId="0" applyFont="1" applyFill="1" applyBorder="1"/>
    <xf numFmtId="0" fontId="7" fillId="28" borderId="7" xfId="0" applyFont="1" applyFill="1" applyBorder="1"/>
    <xf numFmtId="1" fontId="0" fillId="0" borderId="7" xfId="0" applyNumberFormat="1" applyFill="1" applyBorder="1" applyAlignment="1">
      <alignment horizontal="center"/>
    </xf>
    <xf numFmtId="3" fontId="4" fillId="0" borderId="3" xfId="0" applyNumberFormat="1" applyFont="1" applyFill="1" applyBorder="1" applyAlignment="1">
      <alignment horizontal="center" vertical="center" wrapText="1"/>
    </xf>
    <xf numFmtId="165" fontId="14" fillId="0" borderId="0" xfId="0" applyNumberFormat="1" applyFont="1" applyFill="1"/>
    <xf numFmtId="3" fontId="0" fillId="0" borderId="29" xfId="0" applyNumberFormat="1" applyFill="1" applyBorder="1" applyAlignment="1">
      <alignment vertical="center"/>
    </xf>
    <xf numFmtId="10" fontId="11" fillId="4" borderId="35" xfId="0" applyNumberFormat="1" applyFont="1" applyFill="1" applyBorder="1" applyAlignment="1">
      <alignment horizontal="center" vertical="center" wrapText="1"/>
    </xf>
    <xf numFmtId="1" fontId="23" fillId="7" borderId="3" xfId="0" applyNumberFormat="1" applyFont="1" applyFill="1" applyBorder="1" applyAlignment="1">
      <alignment horizontal="left" vertical="center"/>
    </xf>
    <xf numFmtId="1" fontId="16" fillId="15" borderId="7" xfId="0" applyNumberFormat="1" applyFont="1" applyFill="1" applyBorder="1" applyAlignment="1">
      <alignment horizontal="left" vertical="center"/>
    </xf>
    <xf numFmtId="0" fontId="2" fillId="8" borderId="7" xfId="0" applyFont="1" applyFill="1" applyBorder="1" applyAlignment="1">
      <alignment horizontal="left" vertical="center"/>
    </xf>
    <xf numFmtId="0" fontId="1" fillId="6" borderId="7" xfId="0" applyFont="1" applyFill="1" applyBorder="1" applyAlignment="1">
      <alignment horizontal="left" vertical="center"/>
    </xf>
    <xf numFmtId="169" fontId="1" fillId="0" borderId="3"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165" fontId="1" fillId="0" borderId="7" xfId="0" applyNumberFormat="1" applyFont="1" applyFill="1" applyBorder="1" applyAlignment="1">
      <alignment horizontal="center" vertical="center" wrapText="1"/>
    </xf>
    <xf numFmtId="165" fontId="1" fillId="0" borderId="7" xfId="0" applyNumberFormat="1" applyFont="1" applyFill="1" applyBorder="1" applyAlignment="1">
      <alignment horizontal="center" vertical="center"/>
    </xf>
    <xf numFmtId="3" fontId="1" fillId="0" borderId="7" xfId="0" applyNumberFormat="1" applyFont="1" applyFill="1" applyBorder="1" applyAlignment="1">
      <alignment horizontal="center"/>
    </xf>
    <xf numFmtId="3" fontId="23" fillId="7" borderId="2" xfId="0" applyNumberFormat="1" applyFont="1" applyFill="1" applyBorder="1" applyAlignment="1">
      <alignment horizontal="left" vertical="center"/>
    </xf>
    <xf numFmtId="1" fontId="0" fillId="0" borderId="0" xfId="0" applyNumberFormat="1" applyAlignment="1">
      <alignment horizontal="center"/>
    </xf>
    <xf numFmtId="1" fontId="17" fillId="5" borderId="7" xfId="0" applyNumberFormat="1" applyFont="1" applyFill="1" applyBorder="1" applyAlignment="1">
      <alignment horizontal="center" vertical="center" wrapText="1"/>
    </xf>
    <xf numFmtId="1" fontId="16" fillId="0" borderId="7" xfId="0" applyNumberFormat="1" applyFont="1" applyFill="1" applyBorder="1" applyAlignment="1">
      <alignment horizontal="center"/>
    </xf>
    <xf numFmtId="1" fontId="0" fillId="18" borderId="7" xfId="0" applyNumberFormat="1" applyFill="1" applyBorder="1" applyAlignment="1">
      <alignment horizontal="center"/>
    </xf>
    <xf numFmtId="1" fontId="13" fillId="23" borderId="7" xfId="0" applyNumberFormat="1" applyFont="1" applyFill="1" applyBorder="1" applyAlignment="1">
      <alignment horizontal="center"/>
    </xf>
    <xf numFmtId="1" fontId="0" fillId="18" borderId="0" xfId="0" applyNumberFormat="1" applyFill="1" applyAlignment="1">
      <alignment horizontal="center"/>
    </xf>
    <xf numFmtId="1" fontId="0" fillId="0" borderId="0" xfId="0" applyNumberFormat="1" applyFill="1" applyAlignment="1">
      <alignment horizontal="center"/>
    </xf>
    <xf numFmtId="1" fontId="0" fillId="32" borderId="0" xfId="0" applyNumberFormat="1" applyFill="1" applyAlignment="1">
      <alignment horizontal="center"/>
    </xf>
    <xf numFmtId="1" fontId="28" fillId="0" borderId="0" xfId="0" applyNumberFormat="1" applyFont="1" applyAlignment="1">
      <alignment horizontal="center"/>
    </xf>
    <xf numFmtId="169" fontId="0" fillId="5" borderId="0" xfId="0" applyNumberFormat="1" applyFill="1" applyBorder="1"/>
    <xf numFmtId="169" fontId="0" fillId="5" borderId="19" xfId="0" applyNumberFormat="1" applyFill="1" applyBorder="1"/>
    <xf numFmtId="169" fontId="0" fillId="5" borderId="2" xfId="0" applyNumberFormat="1" applyFill="1" applyBorder="1" applyAlignment="1"/>
    <xf numFmtId="169" fontId="23" fillId="7" borderId="3" xfId="0" applyNumberFormat="1" applyFont="1" applyFill="1" applyBorder="1" applyAlignment="1">
      <alignment horizontal="left" vertical="center"/>
    </xf>
    <xf numFmtId="169" fontId="16" fillId="15" borderId="7" xfId="0" applyNumberFormat="1" applyFont="1" applyFill="1" applyBorder="1" applyAlignment="1">
      <alignment horizontal="left" vertical="center"/>
    </xf>
    <xf numFmtId="169" fontId="11" fillId="9" borderId="64" xfId="1" applyNumberFormat="1" applyFont="1" applyFill="1" applyBorder="1" applyAlignment="1">
      <alignment horizontal="center" wrapText="1"/>
    </xf>
    <xf numFmtId="0" fontId="1" fillId="0" borderId="7" xfId="0" applyFont="1" applyFill="1" applyBorder="1"/>
    <xf numFmtId="166" fontId="10" fillId="18" borderId="7" xfId="1" applyNumberFormat="1" applyFont="1" applyFill="1" applyBorder="1" applyAlignment="1">
      <alignment horizontal="center" vertical="center"/>
    </xf>
    <xf numFmtId="0" fontId="7" fillId="18" borderId="7" xfId="0" applyFont="1" applyFill="1" applyBorder="1" applyAlignment="1">
      <alignment horizontal="center" wrapText="1"/>
    </xf>
    <xf numFmtId="3" fontId="1" fillId="0" borderId="3" xfId="0" applyNumberFormat="1" applyFont="1" applyFill="1" applyBorder="1"/>
    <xf numFmtId="3" fontId="1" fillId="0" borderId="7" xfId="0" applyNumberFormat="1" applyFont="1" applyFill="1" applyBorder="1"/>
    <xf numFmtId="1" fontId="1" fillId="0" borderId="7" xfId="0" applyNumberFormat="1" applyFont="1" applyFill="1" applyBorder="1" applyAlignment="1">
      <alignment horizontal="center"/>
    </xf>
    <xf numFmtId="0" fontId="1" fillId="8" borderId="7" xfId="0" applyFont="1" applyFill="1" applyBorder="1" applyAlignment="1">
      <alignment horizontal="left" vertical="center"/>
    </xf>
    <xf numFmtId="169" fontId="1" fillId="23" borderId="3" xfId="0" applyNumberFormat="1" applyFont="1" applyFill="1" applyBorder="1" applyAlignment="1">
      <alignment horizontal="center" vertical="center" wrapText="1"/>
    </xf>
    <xf numFmtId="3" fontId="1" fillId="23" borderId="3" xfId="0" applyNumberFormat="1" applyFont="1" applyFill="1" applyBorder="1" applyAlignment="1">
      <alignment horizontal="center" vertical="center" wrapText="1"/>
    </xf>
    <xf numFmtId="3" fontId="1" fillId="23" borderId="7" xfId="0" applyNumberFormat="1" applyFont="1" applyFill="1" applyBorder="1" applyAlignment="1">
      <alignment horizontal="center"/>
    </xf>
    <xf numFmtId="3" fontId="1" fillId="23" borderId="3" xfId="0" applyNumberFormat="1" applyFont="1" applyFill="1" applyBorder="1"/>
    <xf numFmtId="3" fontId="1" fillId="23" borderId="7" xfId="0" applyNumberFormat="1" applyFont="1" applyFill="1" applyBorder="1"/>
    <xf numFmtId="3" fontId="1" fillId="23" borderId="35" xfId="0" applyNumberFormat="1" applyFont="1" applyFill="1" applyBorder="1"/>
    <xf numFmtId="3" fontId="1" fillId="23" borderId="2" xfId="0" applyNumberFormat="1" applyFont="1" applyFill="1" applyBorder="1"/>
    <xf numFmtId="0" fontId="1" fillId="15" borderId="7" xfId="0" applyFont="1" applyFill="1" applyBorder="1" applyAlignment="1">
      <alignment horizontal="left" vertical="center"/>
    </xf>
    <xf numFmtId="3" fontId="1" fillId="15" borderId="7" xfId="0" applyNumberFormat="1" applyFont="1" applyFill="1" applyBorder="1" applyAlignment="1">
      <alignment horizontal="left" vertical="center"/>
    </xf>
    <xf numFmtId="1" fontId="1" fillId="15" borderId="7" xfId="0" applyNumberFormat="1" applyFont="1" applyFill="1" applyBorder="1" applyAlignment="1">
      <alignment horizontal="left" vertical="center"/>
    </xf>
    <xf numFmtId="3" fontId="1" fillId="0" borderId="14" xfId="0" applyNumberFormat="1" applyFont="1" applyFill="1" applyBorder="1" applyAlignment="1">
      <alignment horizontal="center"/>
    </xf>
    <xf numFmtId="3" fontId="1" fillId="0" borderId="5" xfId="0" applyNumberFormat="1" applyFont="1" applyFill="1" applyBorder="1"/>
    <xf numFmtId="3" fontId="1" fillId="0" borderId="14" xfId="0" applyNumberFormat="1" applyFont="1" applyFill="1" applyBorder="1"/>
    <xf numFmtId="3" fontId="1" fillId="0" borderId="60" xfId="0" applyNumberFormat="1" applyFont="1" applyFill="1" applyBorder="1"/>
    <xf numFmtId="3" fontId="1" fillId="0" borderId="0" xfId="0" applyNumberFormat="1" applyFont="1" applyFill="1" applyBorder="1"/>
    <xf numFmtId="3" fontId="1" fillId="0" borderId="0" xfId="0" applyNumberFormat="1" applyFont="1" applyAlignment="1">
      <alignment horizontal="center"/>
    </xf>
    <xf numFmtId="3" fontId="1" fillId="0" borderId="0" xfId="0" applyNumberFormat="1" applyFont="1"/>
    <xf numFmtId="3" fontId="0" fillId="5" borderId="4" xfId="0" applyNumberFormat="1" applyFill="1" applyBorder="1" applyAlignment="1"/>
    <xf numFmtId="3" fontId="31" fillId="9" borderId="39" xfId="1" applyNumberFormat="1" applyFont="1" applyFill="1" applyBorder="1" applyAlignment="1">
      <alignment horizontal="center" vertical="center" wrapText="1"/>
    </xf>
    <xf numFmtId="3" fontId="26" fillId="0" borderId="0" xfId="0" applyNumberFormat="1" applyFont="1" applyBorder="1"/>
    <xf numFmtId="3" fontId="0" fillId="5" borderId="57" xfId="0" applyNumberFormat="1" applyFill="1" applyBorder="1" applyAlignment="1"/>
    <xf numFmtId="167" fontId="8" fillId="0" borderId="0" xfId="1" applyNumberFormat="1" applyFont="1" applyBorder="1" applyAlignment="1">
      <alignment horizontal="center" vertical="center" wrapText="1"/>
    </xf>
    <xf numFmtId="0" fontId="0" fillId="0" borderId="0" xfId="0" applyAlignment="1">
      <alignment horizontal="center" vertical="center"/>
    </xf>
    <xf numFmtId="3" fontId="0" fillId="0" borderId="0" xfId="0" applyNumberFormat="1" applyBorder="1" applyAlignment="1">
      <alignment vertical="center"/>
    </xf>
    <xf numFmtId="0" fontId="7" fillId="0" borderId="0" xfId="0" applyFont="1" applyAlignment="1">
      <alignment vertical="center"/>
    </xf>
    <xf numFmtId="3" fontId="0" fillId="0" borderId="0" xfId="0" applyNumberFormat="1" applyAlignment="1">
      <alignment vertical="center"/>
    </xf>
    <xf numFmtId="167" fontId="8" fillId="0" borderId="0" xfId="1" applyNumberFormat="1" applyFont="1" applyFill="1" applyBorder="1" applyAlignment="1">
      <alignment horizontal="center" vertical="center" wrapText="1"/>
    </xf>
    <xf numFmtId="1" fontId="0" fillId="0" borderId="0" xfId="0" applyNumberFormat="1" applyAlignment="1">
      <alignment horizontal="center" vertical="center"/>
    </xf>
    <xf numFmtId="3" fontId="1" fillId="0" borderId="0" xfId="0" applyNumberFormat="1" applyFont="1" applyAlignment="1">
      <alignment vertical="center"/>
    </xf>
    <xf numFmtId="3" fontId="0" fillId="0" borderId="29" xfId="0" applyNumberFormat="1" applyFill="1" applyBorder="1"/>
    <xf numFmtId="0" fontId="0" fillId="0" borderId="15" xfId="0" applyFont="1" applyFill="1" applyBorder="1"/>
    <xf numFmtId="0" fontId="0" fillId="5" borderId="0" xfId="0" applyFill="1" applyBorder="1" applyAlignment="1">
      <alignment horizontal="center"/>
    </xf>
    <xf numFmtId="3" fontId="8" fillId="22" borderId="7" xfId="0" applyNumberFormat="1" applyFont="1" applyFill="1" applyBorder="1" applyAlignment="1">
      <alignment horizontal="center" vertical="center"/>
    </xf>
    <xf numFmtId="169" fontId="8" fillId="22" borderId="0" xfId="0" applyNumberFormat="1" applyFont="1" applyFill="1" applyBorder="1" applyAlignment="1">
      <alignment horizontal="center" vertical="center"/>
    </xf>
    <xf numFmtId="3" fontId="23" fillId="7" borderId="3" xfId="0" applyNumberFormat="1" applyFont="1" applyFill="1" applyBorder="1" applyAlignment="1">
      <alignment horizontal="center" vertical="center"/>
    </xf>
    <xf numFmtId="3" fontId="1" fillId="15" borderId="7" xfId="0" applyNumberFormat="1" applyFont="1" applyFill="1" applyBorder="1" applyAlignment="1">
      <alignment horizontal="center" vertical="center"/>
    </xf>
    <xf numFmtId="3" fontId="12" fillId="0" borderId="0" xfId="0" applyNumberFormat="1" applyFont="1" applyAlignment="1">
      <alignment horizontal="center"/>
    </xf>
    <xf numFmtId="0" fontId="0" fillId="18" borderId="0" xfId="0" applyFill="1" applyBorder="1" applyAlignment="1">
      <alignment vertical="center" wrapText="1"/>
    </xf>
    <xf numFmtId="3" fontId="0" fillId="5" borderId="0" xfId="0" applyNumberFormat="1" applyFill="1" applyBorder="1" applyAlignment="1">
      <alignment horizontal="center"/>
    </xf>
    <xf numFmtId="3" fontId="0" fillId="5" borderId="19" xfId="0" applyNumberFormat="1" applyFill="1" applyBorder="1" applyAlignment="1">
      <alignment horizontal="center"/>
    </xf>
    <xf numFmtId="3" fontId="0" fillId="0" borderId="14" xfId="0" applyNumberFormat="1" applyFill="1" applyBorder="1" applyAlignment="1">
      <alignment horizontal="center" vertical="center"/>
    </xf>
    <xf numFmtId="0" fontId="25" fillId="0" borderId="0" xfId="0" applyFont="1" applyFill="1" applyBorder="1" applyAlignment="1">
      <alignment horizontal="center" vertical="center" wrapText="1"/>
    </xf>
    <xf numFmtId="3" fontId="0" fillId="5" borderId="0" xfId="0" applyNumberFormat="1" applyFill="1" applyBorder="1" applyAlignment="1">
      <alignment horizontal="center"/>
    </xf>
    <xf numFmtId="3" fontId="0" fillId="5" borderId="19" xfId="0" applyNumberFormat="1" applyFill="1" applyBorder="1" applyAlignment="1">
      <alignment horizontal="center"/>
    </xf>
    <xf numFmtId="172" fontId="10" fillId="18" borderId="14" xfId="1" applyNumberFormat="1" applyFont="1" applyFill="1" applyBorder="1" applyAlignment="1">
      <alignment horizontal="center"/>
    </xf>
    <xf numFmtId="3" fontId="7" fillId="2" borderId="33" xfId="0" applyNumberFormat="1" applyFont="1" applyFill="1" applyBorder="1" applyAlignment="1">
      <alignment vertical="center" wrapText="1"/>
    </xf>
    <xf numFmtId="0" fontId="27" fillId="5" borderId="87" xfId="0" applyFont="1" applyFill="1" applyBorder="1" applyAlignment="1">
      <alignment horizontal="center" vertical="center" wrapText="1"/>
    </xf>
    <xf numFmtId="0" fontId="0" fillId="5" borderId="88" xfId="0" applyFill="1" applyBorder="1" applyAlignment="1">
      <alignment horizontal="center" vertical="center" wrapText="1"/>
    </xf>
    <xf numFmtId="0" fontId="8" fillId="18" borderId="12" xfId="0" applyFont="1" applyFill="1" applyBorder="1" applyAlignment="1">
      <alignment vertical="center" wrapText="1"/>
    </xf>
    <xf numFmtId="0" fontId="8" fillId="26" borderId="12" xfId="0" applyFont="1" applyFill="1" applyBorder="1" applyAlignment="1">
      <alignment vertical="center" wrapText="1"/>
    </xf>
    <xf numFmtId="0" fontId="10" fillId="18" borderId="12" xfId="0" applyFont="1" applyFill="1" applyBorder="1" applyAlignment="1">
      <alignment vertical="center" wrapText="1"/>
    </xf>
    <xf numFmtId="0" fontId="0" fillId="5" borderId="66" xfId="0" applyFill="1" applyBorder="1" applyAlignment="1">
      <alignment horizontal="center" vertical="center" wrapText="1"/>
    </xf>
    <xf numFmtId="0" fontId="8" fillId="18" borderId="12" xfId="0" applyFont="1" applyFill="1" applyBorder="1" applyAlignment="1">
      <alignment horizontal="center" vertical="center" wrapText="1"/>
    </xf>
    <xf numFmtId="0" fontId="0" fillId="5" borderId="69" xfId="0" applyFill="1" applyBorder="1" applyAlignment="1">
      <alignment vertical="center" wrapText="1"/>
    </xf>
    <xf numFmtId="0" fontId="8" fillId="4" borderId="34" xfId="0" applyFont="1" applyFill="1" applyBorder="1" applyAlignment="1">
      <alignment horizontal="center" vertical="center" wrapText="1"/>
    </xf>
    <xf numFmtId="0" fontId="8" fillId="4" borderId="13" xfId="0" applyFont="1" applyFill="1" applyBorder="1" applyAlignment="1">
      <alignment horizontal="right" vertical="center" wrapText="1"/>
    </xf>
    <xf numFmtId="3" fontId="19" fillId="7" borderId="13" xfId="0" applyNumberFormat="1" applyFont="1" applyFill="1" applyBorder="1" applyAlignment="1">
      <alignment horizontal="left" vertical="center" wrapText="1"/>
    </xf>
    <xf numFmtId="3" fontId="22" fillId="7" borderId="13" xfId="0" applyNumberFormat="1" applyFont="1" applyFill="1" applyBorder="1" applyAlignment="1">
      <alignment horizontal="left" vertical="center" wrapText="1"/>
    </xf>
    <xf numFmtId="3" fontId="21" fillId="4" borderId="13" xfId="0" applyNumberFormat="1" applyFont="1" applyFill="1" applyBorder="1" applyAlignment="1">
      <alignment horizontal="right" vertical="center" wrapText="1"/>
    </xf>
    <xf numFmtId="0" fontId="12" fillId="8" borderId="13" xfId="0" applyFont="1" applyFill="1" applyBorder="1" applyAlignment="1">
      <alignment horizontal="left" vertical="center" wrapText="1"/>
    </xf>
    <xf numFmtId="0" fontId="16" fillId="8" borderId="13" xfId="0" applyFont="1" applyFill="1" applyBorder="1" applyAlignment="1">
      <alignment horizontal="left" vertical="center"/>
    </xf>
    <xf numFmtId="0" fontId="0" fillId="0" borderId="0" xfId="0" applyFill="1" applyBorder="1"/>
    <xf numFmtId="3" fontId="21" fillId="0" borderId="12" xfId="0" applyNumberFormat="1" applyFont="1" applyFill="1" applyBorder="1" applyAlignment="1">
      <alignment horizontal="left" vertical="center" wrapText="1"/>
    </xf>
    <xf numFmtId="0" fontId="8" fillId="9" borderId="90" xfId="0" applyFont="1" applyFill="1" applyBorder="1" applyAlignment="1">
      <alignment wrapText="1"/>
    </xf>
    <xf numFmtId="3" fontId="8" fillId="0" borderId="0" xfId="0" applyNumberFormat="1" applyFont="1" applyBorder="1" applyAlignment="1">
      <alignment horizontal="center" vertical="center"/>
    </xf>
    <xf numFmtId="3" fontId="0" fillId="0" borderId="88" xfId="0" applyNumberFormat="1" applyBorder="1" applyAlignment="1">
      <alignment horizontal="center" vertical="center"/>
    </xf>
    <xf numFmtId="0" fontId="8" fillId="22" borderId="0" xfId="0" applyFont="1" applyFill="1" applyBorder="1" applyAlignment="1">
      <alignment horizontal="center" vertical="center"/>
    </xf>
    <xf numFmtId="3" fontId="8" fillId="22" borderId="35" xfId="0" applyNumberFormat="1" applyFont="1" applyFill="1" applyBorder="1" applyAlignment="1">
      <alignment horizontal="center" vertical="center"/>
    </xf>
    <xf numFmtId="3" fontId="25" fillId="11" borderId="35" xfId="0" applyNumberFormat="1" applyFont="1" applyFill="1" applyBorder="1" applyAlignment="1">
      <alignment horizontal="center" vertical="center" wrapText="1"/>
    </xf>
    <xf numFmtId="0" fontId="26" fillId="0" borderId="24" xfId="0" applyFont="1" applyBorder="1"/>
    <xf numFmtId="3" fontId="0" fillId="0" borderId="25" xfId="0" applyNumberFormat="1" applyBorder="1"/>
    <xf numFmtId="0" fontId="7" fillId="0" borderId="25" xfId="0" applyFont="1" applyBorder="1" applyAlignment="1">
      <alignment horizontal="center"/>
    </xf>
    <xf numFmtId="3" fontId="7" fillId="0" borderId="25" xfId="0" applyNumberFormat="1" applyFont="1" applyBorder="1" applyAlignment="1">
      <alignment horizontal="center"/>
    </xf>
    <xf numFmtId="1" fontId="7" fillId="0" borderId="25" xfId="0" applyNumberFormat="1" applyFont="1" applyBorder="1" applyAlignment="1">
      <alignment horizontal="center"/>
    </xf>
    <xf numFmtId="0" fontId="0" fillId="0" borderId="25" xfId="0" applyBorder="1" applyAlignment="1">
      <alignment horizontal="center"/>
    </xf>
    <xf numFmtId="3" fontId="0" fillId="0" borderId="25" xfId="0" applyNumberFormat="1" applyBorder="1" applyAlignment="1">
      <alignment horizontal="center" vertical="center"/>
    </xf>
    <xf numFmtId="3" fontId="8" fillId="0" borderId="25" xfId="0" applyNumberFormat="1" applyFont="1" applyBorder="1" applyAlignment="1">
      <alignment horizontal="center" vertical="center"/>
    </xf>
    <xf numFmtId="3" fontId="0" fillId="0" borderId="91" xfId="0" applyNumberFormat="1" applyBorder="1" applyAlignment="1">
      <alignment horizontal="center" vertical="center"/>
    </xf>
    <xf numFmtId="167" fontId="8" fillId="0" borderId="0" xfId="1" applyNumberFormat="1" applyFont="1" applyBorder="1" applyAlignment="1">
      <alignment horizontal="center" wrapText="1"/>
    </xf>
    <xf numFmtId="167" fontId="8" fillId="0" borderId="0" xfId="1" applyNumberFormat="1" applyFont="1" applyBorder="1" applyAlignment="1">
      <alignment wrapText="1"/>
    </xf>
    <xf numFmtId="167" fontId="8" fillId="0" borderId="25" xfId="1" applyNumberFormat="1" applyFont="1" applyBorder="1" applyAlignment="1">
      <alignment wrapText="1"/>
    </xf>
    <xf numFmtId="0" fontId="1" fillId="8" borderId="13" xfId="0" applyFont="1" applyFill="1" applyBorder="1" applyAlignment="1">
      <alignment horizontal="left" vertical="center"/>
    </xf>
    <xf numFmtId="167" fontId="31" fillId="9" borderId="72" xfId="1" applyNumberFormat="1" applyFont="1" applyFill="1" applyBorder="1" applyAlignment="1">
      <alignment horizontal="center" vertical="center" wrapText="1"/>
    </xf>
    <xf numFmtId="0" fontId="0" fillId="25" borderId="0" xfId="0" applyFill="1" applyBorder="1"/>
    <xf numFmtId="3" fontId="7" fillId="0" borderId="0" xfId="0" applyNumberFormat="1" applyFont="1" applyBorder="1" applyAlignment="1">
      <alignment horizontal="center"/>
    </xf>
    <xf numFmtId="167" fontId="25" fillId="0" borderId="88" xfId="0" applyNumberFormat="1" applyFont="1" applyFill="1" applyBorder="1" applyAlignment="1">
      <alignment horizontal="center" vertical="center" wrapText="1"/>
    </xf>
    <xf numFmtId="0" fontId="26" fillId="0" borderId="12" xfId="0" applyFont="1" applyBorder="1"/>
    <xf numFmtId="0" fontId="25" fillId="0" borderId="24" xfId="0" applyFont="1" applyFill="1" applyBorder="1" applyAlignment="1">
      <alignment horizontal="center" vertical="center" wrapText="1"/>
    </xf>
    <xf numFmtId="165" fontId="8" fillId="0" borderId="25" xfId="1" applyNumberFormat="1" applyFont="1" applyFill="1" applyBorder="1" applyAlignment="1">
      <alignment horizontal="center" vertical="center" wrapText="1"/>
    </xf>
    <xf numFmtId="167" fontId="8" fillId="0" borderId="25" xfId="1" applyNumberFormat="1" applyFont="1" applyFill="1" applyBorder="1" applyAlignment="1">
      <alignment horizontal="center" wrapText="1"/>
    </xf>
    <xf numFmtId="0" fontId="0" fillId="0" borderId="25" xfId="0" applyFill="1" applyBorder="1"/>
    <xf numFmtId="1" fontId="8" fillId="0" borderId="25" xfId="1" applyNumberFormat="1" applyFont="1" applyFill="1" applyBorder="1" applyAlignment="1">
      <alignment horizontal="center" vertical="center" wrapText="1"/>
    </xf>
    <xf numFmtId="3" fontId="8" fillId="0" borderId="25" xfId="1" applyNumberFormat="1" applyFont="1" applyFill="1" applyBorder="1" applyAlignment="1">
      <alignment horizontal="center" vertical="center" wrapText="1"/>
    </xf>
    <xf numFmtId="165" fontId="11" fillId="0" borderId="25" xfId="0" applyNumberFormat="1" applyFont="1" applyFill="1" applyBorder="1" applyAlignment="1">
      <alignment horizontal="center" vertical="center" wrapText="1"/>
    </xf>
    <xf numFmtId="3" fontId="11" fillId="0" borderId="25" xfId="0" applyNumberFormat="1" applyFont="1" applyFill="1" applyBorder="1" applyAlignment="1">
      <alignment horizontal="center" vertical="center" wrapText="1"/>
    </xf>
    <xf numFmtId="3" fontId="25" fillId="0" borderId="25" xfId="0" applyNumberFormat="1" applyFont="1" applyFill="1" applyBorder="1" applyAlignment="1">
      <alignment horizontal="center" vertical="center" wrapText="1"/>
    </xf>
    <xf numFmtId="169" fontId="0" fillId="0" borderId="25" xfId="0" applyNumberFormat="1" applyFill="1" applyBorder="1" applyAlignment="1">
      <alignment horizontal="center"/>
    </xf>
    <xf numFmtId="167" fontId="25" fillId="0" borderId="91" xfId="0" applyNumberFormat="1" applyFont="1" applyFill="1" applyBorder="1" applyAlignment="1">
      <alignment horizontal="center" vertical="center" wrapText="1"/>
    </xf>
    <xf numFmtId="0" fontId="7" fillId="0" borderId="7" xfId="0" applyFont="1" applyFill="1" applyBorder="1" applyAlignment="1">
      <alignment horizontal="center" vertical="center"/>
    </xf>
    <xf numFmtId="0" fontId="8" fillId="18" borderId="12" xfId="0" applyFont="1" applyFill="1" applyBorder="1" applyAlignment="1">
      <alignment horizontal="left" vertical="center"/>
    </xf>
    <xf numFmtId="3" fontId="12" fillId="20" borderId="29" xfId="0" applyNumberFormat="1" applyFont="1" applyFill="1" applyBorder="1" applyAlignment="1">
      <alignment horizontal="center" vertical="center" wrapText="1"/>
    </xf>
    <xf numFmtId="0" fontId="1" fillId="6" borderId="7" xfId="0" applyFont="1" applyFill="1" applyBorder="1" applyAlignment="1">
      <alignment horizontal="center" vertical="center" wrapText="1"/>
    </xf>
    <xf numFmtId="3" fontId="17" fillId="4" borderId="2" xfId="0" applyNumberFormat="1" applyFont="1" applyFill="1" applyBorder="1" applyAlignment="1">
      <alignment horizontal="center" vertical="center" wrapText="1"/>
    </xf>
    <xf numFmtId="3" fontId="0" fillId="5" borderId="87" xfId="0" applyNumberFormat="1" applyFill="1" applyBorder="1" applyAlignment="1">
      <alignment horizontal="center" vertical="center"/>
    </xf>
    <xf numFmtId="3" fontId="0" fillId="5" borderId="88" xfId="0" applyNumberFormat="1" applyFill="1" applyBorder="1" applyAlignment="1">
      <alignment horizontal="center" vertical="center"/>
    </xf>
    <xf numFmtId="3" fontId="0" fillId="5" borderId="66" xfId="0" applyNumberFormat="1" applyFill="1" applyBorder="1" applyAlignment="1">
      <alignment horizontal="center" vertical="center"/>
    </xf>
    <xf numFmtId="3" fontId="0" fillId="5" borderId="69" xfId="0" applyNumberFormat="1" applyFill="1" applyBorder="1" applyAlignment="1">
      <alignment horizontal="center" vertical="center"/>
    </xf>
    <xf numFmtId="0" fontId="12" fillId="6" borderId="13" xfId="0" applyFont="1" applyFill="1" applyBorder="1" applyAlignment="1">
      <alignment horizontal="center" vertical="center" wrapText="1"/>
    </xf>
    <xf numFmtId="0" fontId="7" fillId="8" borderId="13" xfId="0" applyFont="1" applyFill="1" applyBorder="1" applyAlignment="1">
      <alignment horizontal="left" vertical="center" wrapText="1"/>
    </xf>
    <xf numFmtId="165" fontId="8" fillId="0" borderId="12" xfId="0" applyNumberFormat="1" applyFont="1" applyFill="1" applyBorder="1" applyAlignment="1">
      <alignment horizontal="justify" vertical="center" wrapText="1"/>
    </xf>
    <xf numFmtId="3" fontId="0" fillId="0" borderId="88" xfId="0" applyNumberFormat="1" applyFill="1" applyBorder="1" applyAlignment="1">
      <alignment horizontal="center" vertical="center"/>
    </xf>
    <xf numFmtId="167" fontId="25" fillId="11" borderId="35" xfId="0" applyNumberFormat="1" applyFont="1" applyFill="1" applyBorder="1" applyAlignment="1">
      <alignment vertical="center" wrapText="1"/>
    </xf>
    <xf numFmtId="0" fontId="25" fillId="0" borderId="24" xfId="0" applyFont="1" applyBorder="1" applyAlignment="1">
      <alignment horizontal="right" wrapText="1"/>
    </xf>
    <xf numFmtId="3" fontId="25" fillId="0" borderId="25" xfId="0" applyNumberFormat="1" applyFont="1" applyBorder="1" applyAlignment="1">
      <alignment horizontal="center" wrapText="1"/>
    </xf>
    <xf numFmtId="0" fontId="25" fillId="0" borderId="25" xfId="0" applyFont="1" applyBorder="1" applyAlignment="1">
      <alignment horizontal="right"/>
    </xf>
    <xf numFmtId="0" fontId="25" fillId="0" borderId="25" xfId="0" applyFont="1" applyBorder="1" applyAlignment="1">
      <alignment horizontal="left"/>
    </xf>
    <xf numFmtId="0" fontId="12" fillId="10" borderId="13" xfId="0" applyFont="1" applyFill="1" applyBorder="1" applyAlignment="1">
      <alignment horizontal="left" vertical="center" wrapText="1"/>
    </xf>
    <xf numFmtId="0" fontId="16" fillId="14" borderId="7" xfId="0" applyFont="1" applyFill="1" applyBorder="1" applyAlignment="1">
      <alignment horizontal="left" vertical="center" wrapText="1"/>
    </xf>
    <xf numFmtId="0" fontId="16" fillId="14" borderId="23" xfId="0" applyFont="1" applyFill="1" applyBorder="1" applyAlignment="1">
      <alignment horizontal="left" vertical="center" wrapText="1"/>
    </xf>
    <xf numFmtId="0" fontId="12" fillId="14" borderId="13" xfId="0" applyFont="1" applyFill="1" applyBorder="1" applyAlignment="1">
      <alignment horizontal="left" vertical="center" wrapText="1"/>
    </xf>
    <xf numFmtId="0" fontId="7" fillId="12" borderId="7" xfId="0" applyFont="1" applyFill="1" applyBorder="1" applyAlignment="1">
      <alignment horizontal="left" vertical="center" wrapText="1"/>
    </xf>
    <xf numFmtId="0" fontId="7" fillId="12" borderId="23" xfId="0" applyFont="1" applyFill="1" applyBorder="1" applyAlignment="1">
      <alignment horizontal="left" vertical="center" wrapText="1"/>
    </xf>
    <xf numFmtId="0" fontId="8" fillId="25" borderId="20" xfId="0" applyFont="1" applyFill="1" applyBorder="1" applyAlignment="1">
      <alignment horizontal="center" vertical="center" wrapText="1"/>
    </xf>
    <xf numFmtId="0" fontId="12" fillId="6" borderId="89" xfId="0" applyFont="1" applyFill="1" applyBorder="1" applyAlignment="1">
      <alignment horizontal="left" vertical="center"/>
    </xf>
    <xf numFmtId="1" fontId="7" fillId="0" borderId="7" xfId="0" applyNumberFormat="1" applyFont="1" applyFill="1" applyBorder="1" applyAlignment="1">
      <alignment horizontal="center" vertical="center"/>
    </xf>
    <xf numFmtId="3" fontId="18" fillId="0" borderId="7" xfId="0" applyNumberFormat="1" applyFont="1" applyFill="1" applyBorder="1" applyAlignment="1">
      <alignment vertical="center"/>
    </xf>
    <xf numFmtId="1" fontId="18" fillId="0" borderId="7" xfId="0" applyNumberFormat="1" applyFont="1" applyFill="1" applyBorder="1" applyAlignment="1">
      <alignment horizontal="center" vertical="center"/>
    </xf>
    <xf numFmtId="3" fontId="18" fillId="0" borderId="29" xfId="0" applyNumberFormat="1" applyFont="1" applyFill="1" applyBorder="1" applyAlignment="1">
      <alignment horizontal="center" vertical="center"/>
    </xf>
    <xf numFmtId="3" fontId="0" fillId="0" borderId="7" xfId="0" applyNumberFormat="1" applyFill="1" applyBorder="1" applyAlignment="1"/>
    <xf numFmtId="0" fontId="0" fillId="0" borderId="0" xfId="0" applyFill="1" applyAlignment="1"/>
    <xf numFmtId="3" fontId="53" fillId="7" borderId="7" xfId="0" applyNumberFormat="1" applyFont="1" applyFill="1" applyBorder="1" applyAlignment="1">
      <alignment horizontal="center" vertical="center" wrapText="1"/>
    </xf>
    <xf numFmtId="0" fontId="32" fillId="0" borderId="44" xfId="0" applyFont="1" applyBorder="1" applyAlignment="1">
      <alignment vertical="center" wrapText="1"/>
    </xf>
    <xf numFmtId="0" fontId="32" fillId="0" borderId="31" xfId="0" applyFont="1" applyBorder="1" applyAlignment="1">
      <alignment vertical="center" wrapText="1"/>
    </xf>
    <xf numFmtId="0" fontId="32" fillId="0" borderId="84" xfId="0" applyFont="1" applyBorder="1" applyAlignment="1">
      <alignment vertical="center" wrapText="1"/>
    </xf>
    <xf numFmtId="0" fontId="32" fillId="0" borderId="85" xfId="0" applyFont="1" applyBorder="1" applyAlignment="1">
      <alignment vertical="center" wrapText="1"/>
    </xf>
    <xf numFmtId="3" fontId="23" fillId="7" borderId="3" xfId="0" applyNumberFormat="1" applyFont="1" applyFill="1" applyBorder="1" applyAlignment="1">
      <alignment horizontal="left" vertical="center" wrapText="1"/>
    </xf>
    <xf numFmtId="0" fontId="1" fillId="8" borderId="7" xfId="0" applyFont="1" applyFill="1" applyBorder="1" applyAlignment="1">
      <alignment horizontal="left" vertical="center" wrapText="1"/>
    </xf>
    <xf numFmtId="0" fontId="1" fillId="15" borderId="7" xfId="0" applyFont="1" applyFill="1" applyBorder="1" applyAlignment="1">
      <alignment horizontal="left" vertical="center" wrapText="1"/>
    </xf>
    <xf numFmtId="0" fontId="1" fillId="15" borderId="3" xfId="0" applyFont="1" applyFill="1" applyBorder="1" applyAlignment="1">
      <alignment horizontal="left" vertical="center"/>
    </xf>
    <xf numFmtId="3" fontId="0" fillId="5" borderId="87" xfId="0" applyNumberFormat="1" applyFill="1" applyBorder="1"/>
    <xf numFmtId="3" fontId="0" fillId="5" borderId="88" xfId="0" applyNumberFormat="1" applyFill="1" applyBorder="1"/>
    <xf numFmtId="0" fontId="25" fillId="26" borderId="12" xfId="0" applyFont="1" applyFill="1" applyBorder="1" applyAlignment="1">
      <alignment vertical="center"/>
    </xf>
    <xf numFmtId="0" fontId="10" fillId="18" borderId="13" xfId="0" applyFont="1" applyFill="1" applyBorder="1" applyAlignment="1">
      <alignment vertical="center"/>
    </xf>
    <xf numFmtId="3" fontId="0" fillId="5" borderId="66" xfId="0" applyNumberFormat="1" applyFill="1" applyBorder="1"/>
    <xf numFmtId="0" fontId="8" fillId="18" borderId="21" xfId="0" applyFont="1" applyFill="1" applyBorder="1" applyAlignment="1">
      <alignment horizontal="center" vertical="center" wrapText="1"/>
    </xf>
    <xf numFmtId="3" fontId="0" fillId="5" borderId="69" xfId="0" applyNumberFormat="1" applyFill="1" applyBorder="1" applyAlignment="1"/>
    <xf numFmtId="3" fontId="19" fillId="7" borderId="13" xfId="0" applyNumberFormat="1" applyFont="1" applyFill="1" applyBorder="1" applyAlignment="1">
      <alignment horizontal="center" vertical="center" wrapText="1"/>
    </xf>
    <xf numFmtId="3" fontId="23" fillId="7" borderId="67" xfId="0" applyNumberFormat="1" applyFont="1" applyFill="1" applyBorder="1" applyAlignment="1">
      <alignment horizontal="left" vertical="center"/>
    </xf>
    <xf numFmtId="0" fontId="12" fillId="15" borderId="13" xfId="0" applyFont="1" applyFill="1" applyBorder="1" applyAlignment="1">
      <alignment horizontal="left" vertical="center" wrapText="1"/>
    </xf>
    <xf numFmtId="3" fontId="1" fillId="15" borderId="35" xfId="0" applyNumberFormat="1" applyFont="1" applyFill="1" applyBorder="1" applyAlignment="1">
      <alignment horizontal="left" vertical="center"/>
    </xf>
    <xf numFmtId="0" fontId="8" fillId="0" borderId="12" xfId="0" applyFont="1" applyFill="1" applyBorder="1" applyAlignment="1">
      <alignment horizontal="right" vertical="center" wrapText="1"/>
    </xf>
    <xf numFmtId="3" fontId="1" fillId="0" borderId="0" xfId="0" applyNumberFormat="1" applyFont="1" applyBorder="1" applyAlignment="1">
      <alignment horizontal="center"/>
    </xf>
    <xf numFmtId="1" fontId="0" fillId="0" borderId="0" xfId="0" applyNumberFormat="1" applyBorder="1" applyAlignment="1">
      <alignment horizontal="center"/>
    </xf>
    <xf numFmtId="3" fontId="1" fillId="0" borderId="0" xfId="0" applyNumberFormat="1" applyFont="1" applyBorder="1"/>
    <xf numFmtId="3" fontId="1" fillId="0" borderId="88" xfId="0" applyNumberFormat="1" applyFont="1" applyBorder="1"/>
    <xf numFmtId="1" fontId="7" fillId="22" borderId="0" xfId="0" applyNumberFormat="1" applyFont="1" applyFill="1" applyBorder="1" applyAlignment="1">
      <alignment horizontal="center" vertical="center"/>
    </xf>
    <xf numFmtId="3" fontId="1" fillId="22" borderId="0" xfId="0" applyNumberFormat="1" applyFont="1" applyFill="1" applyBorder="1" applyAlignment="1">
      <alignment vertical="center"/>
    </xf>
    <xf numFmtId="3" fontId="1" fillId="22" borderId="0" xfId="0" applyNumberFormat="1" applyFont="1" applyFill="1" applyBorder="1" applyAlignment="1">
      <alignment horizontal="center" vertical="center"/>
    </xf>
    <xf numFmtId="3" fontId="12" fillId="22" borderId="0" xfId="0" applyNumberFormat="1" applyFont="1" applyFill="1" applyBorder="1" applyAlignment="1">
      <alignment horizontal="center" vertical="center"/>
    </xf>
    <xf numFmtId="3" fontId="12" fillId="22" borderId="0" xfId="0" applyNumberFormat="1" applyFont="1" applyFill="1" applyBorder="1" applyAlignment="1">
      <alignment vertical="center"/>
    </xf>
    <xf numFmtId="3" fontId="12" fillId="22" borderId="88" xfId="0" applyNumberFormat="1" applyFont="1" applyFill="1" applyBorder="1" applyAlignment="1">
      <alignment horizontal="center" vertical="center"/>
    </xf>
    <xf numFmtId="1" fontId="28" fillId="0" borderId="0" xfId="0" applyNumberFormat="1" applyFont="1" applyBorder="1" applyAlignment="1">
      <alignment horizontal="center"/>
    </xf>
    <xf numFmtId="3" fontId="31" fillId="11" borderId="35" xfId="0" applyNumberFormat="1" applyFont="1" applyFill="1" applyBorder="1" applyAlignment="1">
      <alignment horizontal="center" vertical="center" wrapText="1"/>
    </xf>
    <xf numFmtId="3" fontId="1" fillId="0" borderId="25" xfId="0" applyNumberFormat="1" applyFont="1" applyBorder="1" applyAlignment="1">
      <alignment horizontal="center"/>
    </xf>
    <xf numFmtId="1" fontId="0" fillId="0" borderId="25" xfId="0" applyNumberFormat="1" applyBorder="1" applyAlignment="1">
      <alignment horizontal="center"/>
    </xf>
    <xf numFmtId="3" fontId="1" fillId="0" borderId="25" xfId="0" applyNumberFormat="1" applyFont="1" applyBorder="1"/>
    <xf numFmtId="3" fontId="1" fillId="0" borderId="91" xfId="0" applyNumberFormat="1" applyFont="1" applyBorder="1"/>
    <xf numFmtId="3" fontId="30" fillId="13" borderId="5" xfId="2" applyNumberFormat="1" applyFont="1" applyFill="1" applyBorder="1" applyAlignment="1">
      <alignment horizontal="left" vertical="center"/>
    </xf>
    <xf numFmtId="3" fontId="30" fillId="13" borderId="60" xfId="2" applyNumberFormat="1" applyFont="1" applyFill="1" applyBorder="1" applyAlignment="1">
      <alignment horizontal="left" vertical="center"/>
    </xf>
    <xf numFmtId="169" fontId="24" fillId="0" borderId="0" xfId="0" applyNumberFormat="1" applyFont="1" applyBorder="1" applyAlignment="1">
      <alignment horizontal="center" vertical="center" wrapText="1"/>
    </xf>
    <xf numFmtId="0" fontId="18" fillId="0" borderId="0" xfId="0" applyFont="1"/>
    <xf numFmtId="0" fontId="24" fillId="0" borderId="0" xfId="0" applyFont="1" applyAlignment="1">
      <alignment horizontal="center"/>
    </xf>
    <xf numFmtId="3" fontId="18" fillId="0" borderId="0" xfId="0" applyNumberFormat="1" applyFont="1" applyAlignment="1">
      <alignment horizontal="center" vertical="center"/>
    </xf>
    <xf numFmtId="0" fontId="18" fillId="0" borderId="0" xfId="0" applyFont="1" applyAlignment="1">
      <alignment horizontal="center"/>
    </xf>
    <xf numFmtId="169" fontId="18" fillId="5" borderId="16" xfId="0" applyNumberFormat="1" applyFont="1" applyFill="1" applyBorder="1" applyAlignment="1">
      <alignment horizontal="center"/>
    </xf>
    <xf numFmtId="3" fontId="18" fillId="5" borderId="0" xfId="0" applyNumberFormat="1" applyFont="1" applyFill="1" applyBorder="1" applyAlignment="1">
      <alignment horizontal="center"/>
    </xf>
    <xf numFmtId="1" fontId="18" fillId="5" borderId="0" xfId="0" applyNumberFormat="1" applyFont="1" applyFill="1" applyBorder="1" applyAlignment="1"/>
    <xf numFmtId="3" fontId="18" fillId="5" borderId="0" xfId="0" applyNumberFormat="1" applyFont="1" applyFill="1" applyBorder="1" applyAlignment="1"/>
    <xf numFmtId="169" fontId="24" fillId="5" borderId="0" xfId="0" applyNumberFormat="1" applyFont="1" applyFill="1" applyBorder="1" applyAlignment="1">
      <alignment horizontal="center"/>
    </xf>
    <xf numFmtId="3" fontId="24" fillId="5" borderId="0" xfId="0" applyNumberFormat="1" applyFont="1" applyFill="1" applyBorder="1" applyAlignment="1">
      <alignment horizontal="center" vertical="center"/>
    </xf>
    <xf numFmtId="3" fontId="24" fillId="5" borderId="88" xfId="0" applyNumberFormat="1" applyFont="1" applyFill="1" applyBorder="1" applyAlignment="1">
      <alignment horizontal="center" vertical="center"/>
    </xf>
    <xf numFmtId="169" fontId="24" fillId="5" borderId="0" xfId="0" applyNumberFormat="1" applyFont="1" applyFill="1" applyBorder="1" applyAlignment="1">
      <alignment horizontal="center" vertical="center"/>
    </xf>
    <xf numFmtId="0" fontId="18" fillId="0" borderId="0" xfId="0" applyFont="1" applyFill="1"/>
    <xf numFmtId="0" fontId="24" fillId="0" borderId="0" xfId="0" applyFont="1" applyFill="1" applyAlignment="1">
      <alignment horizontal="center"/>
    </xf>
    <xf numFmtId="3" fontId="18" fillId="0" borderId="0" xfId="0" applyNumberFormat="1" applyFont="1" applyFill="1" applyAlignment="1">
      <alignment horizontal="center" vertical="center"/>
    </xf>
    <xf numFmtId="0" fontId="18" fillId="0" borderId="0" xfId="0" applyFont="1" applyFill="1" applyAlignment="1">
      <alignment horizontal="center"/>
    </xf>
    <xf numFmtId="0" fontId="18" fillId="18" borderId="12" xfId="0" applyFont="1" applyFill="1" applyBorder="1" applyAlignment="1">
      <alignment horizontal="left" vertical="center"/>
    </xf>
    <xf numFmtId="0" fontId="55" fillId="18" borderId="0" xfId="0" applyFont="1" applyFill="1" applyBorder="1" applyAlignment="1">
      <alignment horizontal="center"/>
    </xf>
    <xf numFmtId="0" fontId="55" fillId="18" borderId="17" xfId="0" applyFont="1" applyFill="1" applyBorder="1" applyAlignment="1">
      <alignment horizontal="center"/>
    </xf>
    <xf numFmtId="1" fontId="18" fillId="5" borderId="0" xfId="0" applyNumberFormat="1" applyFont="1" applyFill="1" applyBorder="1"/>
    <xf numFmtId="3" fontId="18" fillId="5" borderId="0" xfId="0" applyNumberFormat="1" applyFont="1" applyFill="1" applyBorder="1"/>
    <xf numFmtId="0" fontId="18" fillId="18" borderId="12" xfId="0" applyFont="1" applyFill="1" applyBorder="1" applyAlignment="1">
      <alignment vertical="center"/>
    </xf>
    <xf numFmtId="0" fontId="11" fillId="0" borderId="12" xfId="0" applyFont="1" applyBorder="1" applyAlignment="1">
      <alignment vertical="center"/>
    </xf>
    <xf numFmtId="170" fontId="56" fillId="18" borderId="7" xfId="1" applyNumberFormat="1" applyFont="1" applyFill="1" applyBorder="1" applyAlignment="1">
      <alignment horizontal="center"/>
    </xf>
    <xf numFmtId="0" fontId="18" fillId="4" borderId="0" xfId="0" applyFont="1" applyFill="1" applyBorder="1" applyAlignment="1">
      <alignment horizontal="left" wrapText="1"/>
    </xf>
    <xf numFmtId="0" fontId="18" fillId="4" borderId="17" xfId="0" applyFont="1" applyFill="1" applyBorder="1" applyAlignment="1">
      <alignment horizontal="left" wrapText="1"/>
    </xf>
    <xf numFmtId="0" fontId="56" fillId="4" borderId="13" xfId="0" applyFont="1" applyFill="1" applyBorder="1" applyAlignment="1">
      <alignment vertical="center"/>
    </xf>
    <xf numFmtId="3" fontId="56" fillId="4" borderId="14" xfId="1" applyNumberFormat="1" applyFont="1" applyFill="1" applyBorder="1" applyAlignment="1">
      <alignment horizontal="center"/>
    </xf>
    <xf numFmtId="0" fontId="11" fillId="4" borderId="0" xfId="0" applyFont="1" applyFill="1" applyBorder="1" applyAlignment="1">
      <alignment horizontal="center" wrapText="1"/>
    </xf>
    <xf numFmtId="169" fontId="18" fillId="5" borderId="18" xfId="0" applyNumberFormat="1" applyFont="1" applyFill="1" applyBorder="1" applyAlignment="1">
      <alignment horizontal="center"/>
    </xf>
    <xf numFmtId="3" fontId="18" fillId="5" borderId="19" xfId="0" applyNumberFormat="1" applyFont="1" applyFill="1" applyBorder="1" applyAlignment="1">
      <alignment horizontal="center"/>
    </xf>
    <xf numFmtId="1" fontId="18" fillId="5" borderId="19" xfId="0" applyNumberFormat="1" applyFont="1" applyFill="1" applyBorder="1"/>
    <xf numFmtId="3" fontId="18" fillId="5" borderId="19" xfId="0" applyNumberFormat="1" applyFont="1" applyFill="1" applyBorder="1"/>
    <xf numFmtId="169" fontId="24" fillId="5" borderId="19" xfId="0" applyNumberFormat="1" applyFont="1" applyFill="1" applyBorder="1" applyAlignment="1">
      <alignment horizontal="center"/>
    </xf>
    <xf numFmtId="3" fontId="24" fillId="5" borderId="19" xfId="0" applyNumberFormat="1" applyFont="1" applyFill="1" applyBorder="1" applyAlignment="1">
      <alignment horizontal="center" vertical="center"/>
    </xf>
    <xf numFmtId="3" fontId="24" fillId="5" borderId="66" xfId="0" applyNumberFormat="1" applyFont="1" applyFill="1" applyBorder="1" applyAlignment="1">
      <alignment horizontal="center" vertical="center"/>
    </xf>
    <xf numFmtId="0" fontId="11" fillId="4" borderId="21" xfId="0" applyFont="1" applyFill="1" applyBorder="1" applyAlignment="1">
      <alignment horizontal="center" wrapText="1"/>
    </xf>
    <xf numFmtId="3" fontId="11" fillId="0" borderId="0" xfId="1" applyNumberFormat="1" applyFont="1" applyBorder="1" applyAlignment="1">
      <alignment horizontal="center"/>
    </xf>
    <xf numFmtId="166" fontId="11" fillId="18" borderId="0" xfId="1" applyNumberFormat="1" applyFont="1" applyFill="1" applyBorder="1" applyAlignment="1">
      <alignment horizontal="center"/>
    </xf>
    <xf numFmtId="0" fontId="18" fillId="4" borderId="19" xfId="0" applyFont="1" applyFill="1" applyBorder="1" applyAlignment="1"/>
    <xf numFmtId="0" fontId="18" fillId="4" borderId="20" xfId="0" applyFont="1" applyFill="1" applyBorder="1" applyAlignment="1"/>
    <xf numFmtId="169" fontId="18" fillId="5" borderId="2" xfId="0" applyNumberFormat="1" applyFont="1" applyFill="1" applyBorder="1" applyAlignment="1">
      <alignment horizontal="center" wrapText="1"/>
    </xf>
    <xf numFmtId="3" fontId="18" fillId="5" borderId="2" xfId="0" applyNumberFormat="1" applyFont="1" applyFill="1" applyBorder="1" applyAlignment="1">
      <alignment horizontal="center" wrapText="1"/>
    </xf>
    <xf numFmtId="1" fontId="18" fillId="5" borderId="2" xfId="0" applyNumberFormat="1" applyFont="1" applyFill="1" applyBorder="1" applyAlignment="1">
      <alignment horizontal="center" wrapText="1"/>
    </xf>
    <xf numFmtId="3" fontId="18" fillId="5" borderId="2" xfId="0" applyNumberFormat="1" applyFont="1" applyFill="1" applyBorder="1" applyAlignment="1"/>
    <xf numFmtId="3" fontId="18" fillId="5" borderId="2" xfId="0" applyNumberFormat="1" applyFont="1" applyFill="1" applyBorder="1" applyAlignment="1">
      <alignment horizontal="center"/>
    </xf>
    <xf numFmtId="169" fontId="24" fillId="5" borderId="2" xfId="0" applyNumberFormat="1" applyFont="1" applyFill="1" applyBorder="1" applyAlignment="1">
      <alignment horizontal="center"/>
    </xf>
    <xf numFmtId="3" fontId="24" fillId="5" borderId="2" xfId="0" applyNumberFormat="1" applyFont="1" applyFill="1" applyBorder="1" applyAlignment="1">
      <alignment horizontal="center"/>
    </xf>
    <xf numFmtId="3" fontId="24" fillId="5" borderId="67" xfId="0" applyNumberFormat="1" applyFont="1" applyFill="1" applyBorder="1" applyAlignment="1">
      <alignment horizontal="center"/>
    </xf>
    <xf numFmtId="0" fontId="18" fillId="0" borderId="0" xfId="0" applyFont="1" applyAlignment="1"/>
    <xf numFmtId="3" fontId="18" fillId="0" borderId="0" xfId="0" applyNumberFormat="1" applyFont="1" applyAlignment="1">
      <alignment horizontal="center"/>
    </xf>
    <xf numFmtId="0" fontId="11" fillId="4" borderId="22" xfId="0" applyFont="1" applyFill="1" applyBorder="1" applyAlignment="1">
      <alignment horizontal="center" vertical="center" wrapText="1"/>
    </xf>
    <xf numFmtId="3" fontId="11" fillId="4" borderId="14"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169" fontId="11" fillId="5" borderId="1" xfId="0" applyNumberFormat="1" applyFont="1" applyFill="1" applyBorder="1" applyAlignment="1">
      <alignment horizontal="center" vertical="center" wrapText="1"/>
    </xf>
    <xf numFmtId="0" fontId="11" fillId="0" borderId="0" xfId="0" applyFont="1"/>
    <xf numFmtId="0" fontId="11" fillId="13" borderId="13" xfId="0" applyFont="1" applyFill="1" applyBorder="1" applyAlignment="1">
      <alignment horizontal="center" vertical="center" wrapText="1"/>
    </xf>
    <xf numFmtId="165" fontId="17" fillId="20" borderId="7" xfId="0" applyNumberFormat="1" applyFont="1" applyFill="1" applyBorder="1" applyAlignment="1">
      <alignment horizontal="center" vertical="center" wrapText="1"/>
    </xf>
    <xf numFmtId="169" fontId="11" fillId="30" borderId="3" xfId="0" applyNumberFormat="1" applyFont="1" applyFill="1" applyBorder="1" applyAlignment="1">
      <alignment horizontal="center" vertical="center" wrapText="1"/>
    </xf>
    <xf numFmtId="3" fontId="11" fillId="30" borderId="3" xfId="0" applyNumberFormat="1" applyFont="1" applyFill="1" applyBorder="1" applyAlignment="1">
      <alignment horizontal="center" vertical="center" wrapText="1"/>
    </xf>
    <xf numFmtId="1" fontId="11" fillId="30" borderId="7" xfId="0" applyNumberFormat="1" applyFont="1" applyFill="1" applyBorder="1" applyAlignment="1">
      <alignment horizontal="center" vertical="center" wrapText="1"/>
    </xf>
    <xf numFmtId="3" fontId="18" fillId="30" borderId="7" xfId="0" applyNumberFormat="1" applyFont="1" applyFill="1" applyBorder="1" applyAlignment="1">
      <alignment horizontal="center"/>
    </xf>
    <xf numFmtId="169" fontId="24" fillId="30" borderId="35" xfId="0" applyNumberFormat="1" applyFont="1" applyFill="1" applyBorder="1" applyAlignment="1">
      <alignment horizontal="center"/>
    </xf>
    <xf numFmtId="3" fontId="24" fillId="30" borderId="3" xfId="0" applyNumberFormat="1" applyFont="1" applyFill="1" applyBorder="1" applyAlignment="1">
      <alignment horizontal="center" vertical="center"/>
    </xf>
    <xf numFmtId="3" fontId="24" fillId="30" borderId="7" xfId="0" applyNumberFormat="1" applyFont="1" applyFill="1" applyBorder="1" applyAlignment="1">
      <alignment horizontal="center" vertical="center"/>
    </xf>
    <xf numFmtId="3" fontId="24" fillId="30" borderId="35" xfId="0" applyNumberFormat="1" applyFont="1" applyFill="1" applyBorder="1" applyAlignment="1">
      <alignment horizontal="center" vertical="center"/>
    </xf>
    <xf numFmtId="169" fontId="24" fillId="30" borderId="2" xfId="0" applyNumberFormat="1" applyFont="1" applyFill="1" applyBorder="1" applyAlignment="1">
      <alignment horizontal="center" vertical="center"/>
    </xf>
    <xf numFmtId="0" fontId="18" fillId="30" borderId="3" xfId="0" applyFont="1" applyFill="1" applyBorder="1"/>
    <xf numFmtId="0" fontId="18" fillId="30" borderId="7" xfId="0" applyFont="1" applyFill="1" applyBorder="1"/>
    <xf numFmtId="0" fontId="24" fillId="30" borderId="7" xfId="0" applyFont="1" applyFill="1" applyBorder="1" applyAlignment="1">
      <alignment horizontal="center"/>
    </xf>
    <xf numFmtId="3" fontId="18" fillId="30" borderId="3" xfId="0" applyNumberFormat="1" applyFont="1" applyFill="1" applyBorder="1" applyAlignment="1">
      <alignment horizontal="center" vertical="center"/>
    </xf>
    <xf numFmtId="0" fontId="18" fillId="30" borderId="0" xfId="0" applyFont="1" applyFill="1"/>
    <xf numFmtId="165" fontId="17" fillId="21" borderId="7" xfId="0" applyNumberFormat="1" applyFont="1" applyFill="1" applyBorder="1" applyAlignment="1">
      <alignment horizontal="center" vertical="center"/>
    </xf>
    <xf numFmtId="169" fontId="24" fillId="30" borderId="3" xfId="0" applyNumberFormat="1" applyFont="1" applyFill="1" applyBorder="1" applyAlignment="1">
      <alignment horizontal="center" vertical="center" wrapText="1"/>
    </xf>
    <xf numFmtId="3" fontId="24" fillId="30" borderId="3" xfId="0" applyNumberFormat="1" applyFont="1" applyFill="1" applyBorder="1" applyAlignment="1">
      <alignment horizontal="center" vertical="center" wrapText="1"/>
    </xf>
    <xf numFmtId="3" fontId="15" fillId="30" borderId="7" xfId="0" applyNumberFormat="1" applyFont="1" applyFill="1" applyBorder="1" applyAlignment="1">
      <alignment horizontal="center"/>
    </xf>
    <xf numFmtId="0" fontId="11" fillId="30" borderId="3" xfId="0" applyFont="1" applyFill="1" applyBorder="1"/>
    <xf numFmtId="0" fontId="11" fillId="30" borderId="7" xfId="0" applyFont="1" applyFill="1" applyBorder="1"/>
    <xf numFmtId="0" fontId="17" fillId="30" borderId="7" xfId="0" applyFont="1" applyFill="1" applyBorder="1" applyAlignment="1">
      <alignment horizontal="center"/>
    </xf>
    <xf numFmtId="0" fontId="15" fillId="30" borderId="0" xfId="0" applyFont="1" applyFill="1"/>
    <xf numFmtId="0" fontId="57" fillId="0" borderId="0" xfId="0" applyFont="1" applyFill="1" applyAlignment="1">
      <alignment horizontal="center"/>
    </xf>
    <xf numFmtId="0" fontId="15" fillId="0" borderId="0" xfId="0" applyFont="1" applyFill="1"/>
    <xf numFmtId="0" fontId="24" fillId="13" borderId="13" xfId="0" applyFont="1" applyFill="1" applyBorder="1" applyAlignment="1">
      <alignment horizontal="left" vertical="center"/>
    </xf>
    <xf numFmtId="169" fontId="24" fillId="0" borderId="3" xfId="0" applyNumberFormat="1" applyFont="1" applyFill="1" applyBorder="1" applyAlignment="1">
      <alignment horizontal="center" vertical="center" wrapText="1"/>
    </xf>
    <xf numFmtId="3" fontId="24" fillId="0" borderId="3" xfId="0" applyNumberFormat="1" applyFont="1" applyFill="1" applyBorder="1" applyAlignment="1">
      <alignment horizontal="center" vertical="center" wrapText="1"/>
    </xf>
    <xf numFmtId="1" fontId="24" fillId="0" borderId="3" xfId="0" applyNumberFormat="1" applyFont="1" applyFill="1" applyBorder="1" applyAlignment="1">
      <alignment horizontal="center" vertical="center"/>
    </xf>
    <xf numFmtId="3" fontId="24" fillId="0" borderId="3" xfId="0" applyNumberFormat="1" applyFont="1" applyFill="1" applyBorder="1" applyAlignment="1">
      <alignment horizontal="center" vertical="center"/>
    </xf>
    <xf numFmtId="169" fontId="24" fillId="0" borderId="35" xfId="0" applyNumberFormat="1" applyFont="1" applyFill="1" applyBorder="1" applyAlignment="1">
      <alignment horizontal="center"/>
    </xf>
    <xf numFmtId="3" fontId="18" fillId="0" borderId="7" xfId="0" applyNumberFormat="1" applyFont="1" applyFill="1" applyBorder="1" applyAlignment="1">
      <alignment horizontal="center" vertical="center"/>
    </xf>
    <xf numFmtId="3" fontId="18" fillId="0" borderId="35" xfId="0" applyNumberFormat="1" applyFont="1" applyFill="1" applyBorder="1" applyAlignment="1">
      <alignment horizontal="center" vertical="center"/>
    </xf>
    <xf numFmtId="169" fontId="24" fillId="0" borderId="2" xfId="0" applyNumberFormat="1" applyFont="1" applyFill="1" applyBorder="1" applyAlignment="1">
      <alignment horizontal="center" vertical="center"/>
    </xf>
    <xf numFmtId="0" fontId="18" fillId="0" borderId="3" xfId="0" applyFont="1" applyFill="1" applyBorder="1"/>
    <xf numFmtId="0" fontId="18" fillId="0" borderId="7" xfId="0" applyFont="1" applyFill="1" applyBorder="1"/>
    <xf numFmtId="169" fontId="24" fillId="0" borderId="7" xfId="0" applyNumberFormat="1" applyFont="1" applyFill="1" applyBorder="1" applyAlignment="1">
      <alignment horizontal="center"/>
    </xf>
    <xf numFmtId="3" fontId="15" fillId="0" borderId="0" xfId="0" applyNumberFormat="1" applyFont="1" applyFill="1"/>
    <xf numFmtId="3" fontId="18" fillId="0" borderId="7" xfId="0" applyNumberFormat="1" applyFont="1" applyFill="1" applyBorder="1" applyAlignment="1">
      <alignment horizontal="center"/>
    </xf>
    <xf numFmtId="3" fontId="18" fillId="0" borderId="3" xfId="0" applyNumberFormat="1" applyFont="1" applyFill="1" applyBorder="1" applyAlignment="1">
      <alignment horizontal="center" vertical="center"/>
    </xf>
    <xf numFmtId="0" fontId="11" fillId="4" borderId="13" xfId="0" applyFont="1" applyFill="1" applyBorder="1" applyAlignment="1">
      <alignment horizontal="right" vertical="center"/>
    </xf>
    <xf numFmtId="3" fontId="11" fillId="4" borderId="7" xfId="0" applyNumberFormat="1" applyFont="1" applyFill="1" applyBorder="1" applyAlignment="1">
      <alignment horizontal="center" vertical="center"/>
    </xf>
    <xf numFmtId="0" fontId="11" fillId="4" borderId="7" xfId="0" applyFont="1" applyFill="1" applyBorder="1" applyAlignment="1">
      <alignment horizontal="left" vertical="center"/>
    </xf>
    <xf numFmtId="0" fontId="11" fillId="4" borderId="23" xfId="0" applyFont="1" applyFill="1" applyBorder="1" applyAlignment="1">
      <alignment horizontal="left" vertical="center"/>
    </xf>
    <xf numFmtId="169" fontId="11" fillId="4" borderId="3" xfId="0" applyNumberFormat="1" applyFont="1" applyFill="1" applyBorder="1" applyAlignment="1">
      <alignment horizontal="center" vertical="center" wrapText="1"/>
    </xf>
    <xf numFmtId="169" fontId="11" fillId="18" borderId="3" xfId="0" applyNumberFormat="1" applyFont="1" applyFill="1" applyBorder="1" applyAlignment="1">
      <alignment horizontal="center" vertical="center" wrapText="1"/>
    </xf>
    <xf numFmtId="0" fontId="18" fillId="18" borderId="3" xfId="0" applyFont="1" applyFill="1" applyBorder="1"/>
    <xf numFmtId="0" fontId="18" fillId="18" borderId="7" xfId="0" applyFont="1" applyFill="1" applyBorder="1"/>
    <xf numFmtId="0" fontId="24" fillId="18" borderId="7" xfId="0" applyFont="1" applyFill="1" applyBorder="1" applyAlignment="1">
      <alignment horizontal="center"/>
    </xf>
    <xf numFmtId="165" fontId="18" fillId="23" borderId="0" xfId="0" applyNumberFormat="1" applyFont="1" applyFill="1" applyAlignment="1">
      <alignment horizontal="center"/>
    </xf>
    <xf numFmtId="1" fontId="24" fillId="30" borderId="3" xfId="0" applyNumberFormat="1" applyFont="1" applyFill="1" applyBorder="1" applyAlignment="1">
      <alignment horizontal="center" vertical="center" wrapText="1"/>
    </xf>
    <xf numFmtId="1" fontId="24" fillId="0" borderId="3" xfId="0" applyNumberFormat="1" applyFont="1" applyFill="1" applyBorder="1" applyAlignment="1">
      <alignment horizontal="center" vertical="center" wrapText="1"/>
    </xf>
    <xf numFmtId="0" fontId="11" fillId="0" borderId="7" xfId="0" applyFont="1" applyFill="1" applyBorder="1"/>
    <xf numFmtId="169" fontId="24" fillId="18" borderId="2" xfId="0" applyNumberFormat="1" applyFont="1" applyFill="1" applyBorder="1" applyAlignment="1">
      <alignment horizontal="center" vertical="center"/>
    </xf>
    <xf numFmtId="165" fontId="18" fillId="0" borderId="0" xfId="0" applyNumberFormat="1" applyFont="1" applyFill="1" applyAlignment="1">
      <alignment horizontal="center"/>
    </xf>
    <xf numFmtId="0" fontId="11" fillId="4" borderId="14" xfId="0" applyFont="1" applyFill="1" applyBorder="1" applyAlignment="1">
      <alignment horizontal="left" vertical="center"/>
    </xf>
    <xf numFmtId="0" fontId="11" fillId="4" borderId="27" xfId="0" applyFont="1" applyFill="1" applyBorder="1" applyAlignment="1">
      <alignment horizontal="left" vertical="center"/>
    </xf>
    <xf numFmtId="0" fontId="24" fillId="13" borderId="22" xfId="0" applyFont="1" applyFill="1" applyBorder="1" applyAlignment="1">
      <alignment horizontal="left" vertical="center"/>
    </xf>
    <xf numFmtId="169" fontId="18" fillId="0" borderId="3" xfId="0" applyNumberFormat="1" applyFont="1" applyFill="1" applyBorder="1" applyAlignment="1">
      <alignment horizontal="center" vertical="center" wrapText="1"/>
    </xf>
    <xf numFmtId="3" fontId="18" fillId="0" borderId="3" xfId="0" applyNumberFormat="1" applyFont="1" applyFill="1" applyBorder="1" applyAlignment="1">
      <alignment horizontal="center" vertical="center" wrapText="1"/>
    </xf>
    <xf numFmtId="3" fontId="11" fillId="0" borderId="7" xfId="0" applyNumberFormat="1" applyFont="1" applyFill="1" applyBorder="1" applyAlignment="1">
      <alignment horizontal="center" vertical="center"/>
    </xf>
    <xf numFmtId="0" fontId="11" fillId="4" borderId="22" xfId="0" applyFont="1" applyFill="1" applyBorder="1" applyAlignment="1">
      <alignment horizontal="right" vertical="center"/>
    </xf>
    <xf numFmtId="165" fontId="24" fillId="0" borderId="7" xfId="0" applyNumberFormat="1" applyFont="1" applyFill="1" applyBorder="1" applyAlignment="1">
      <alignment horizontal="center" vertical="center"/>
    </xf>
    <xf numFmtId="165" fontId="15" fillId="23" borderId="0" xfId="0" applyNumberFormat="1" applyFont="1" applyFill="1" applyAlignment="1">
      <alignment horizontal="center"/>
    </xf>
    <xf numFmtId="169" fontId="18" fillId="0" borderId="2" xfId="0" applyNumberFormat="1" applyFont="1" applyFill="1" applyBorder="1" applyAlignment="1">
      <alignment horizontal="center" vertical="center"/>
    </xf>
    <xf numFmtId="3" fontId="18" fillId="0" borderId="14" xfId="0" applyNumberFormat="1" applyFont="1" applyFill="1" applyBorder="1" applyAlignment="1">
      <alignment horizontal="center"/>
    </xf>
    <xf numFmtId="169" fontId="24" fillId="0" borderId="60" xfId="0" applyNumberFormat="1" applyFont="1" applyFill="1" applyBorder="1" applyAlignment="1">
      <alignment horizontal="center"/>
    </xf>
    <xf numFmtId="3" fontId="24" fillId="0" borderId="5" xfId="0" applyNumberFormat="1" applyFont="1" applyFill="1" applyBorder="1" applyAlignment="1">
      <alignment horizontal="center" vertical="center"/>
    </xf>
    <xf numFmtId="3" fontId="24" fillId="0" borderId="14" xfId="0" applyNumberFormat="1" applyFont="1" applyFill="1" applyBorder="1" applyAlignment="1">
      <alignment horizontal="center" vertical="center"/>
    </xf>
    <xf numFmtId="169" fontId="11" fillId="4" borderId="5" xfId="0" applyNumberFormat="1" applyFont="1" applyFill="1" applyBorder="1" applyAlignment="1">
      <alignment horizontal="center" vertical="center" wrapText="1"/>
    </xf>
    <xf numFmtId="3" fontId="11" fillId="4" borderId="5" xfId="0" applyNumberFormat="1" applyFont="1" applyFill="1" applyBorder="1" applyAlignment="1">
      <alignment horizontal="center" vertical="center" wrapText="1"/>
    </xf>
    <xf numFmtId="1" fontId="11" fillId="4" borderId="14" xfId="0" applyNumberFormat="1" applyFont="1" applyFill="1" applyBorder="1" applyAlignment="1">
      <alignment horizontal="center" vertical="center" wrapText="1"/>
    </xf>
    <xf numFmtId="3" fontId="11" fillId="4" borderId="60" xfId="0" applyNumberFormat="1" applyFont="1" applyFill="1" applyBorder="1" applyAlignment="1">
      <alignment horizontal="center" vertical="center" wrapText="1"/>
    </xf>
    <xf numFmtId="3" fontId="24" fillId="0" borderId="35" xfId="0" applyNumberFormat="1" applyFont="1" applyFill="1" applyBorder="1" applyAlignment="1">
      <alignment horizontal="center" vertical="center"/>
    </xf>
    <xf numFmtId="169" fontId="24" fillId="21" borderId="3" xfId="0" applyNumberFormat="1" applyFont="1" applyFill="1" applyBorder="1" applyAlignment="1">
      <alignment horizontal="center" vertical="center" wrapText="1"/>
    </xf>
    <xf numFmtId="3" fontId="17" fillId="21" borderId="3" xfId="0" applyNumberFormat="1" applyFont="1" applyFill="1" applyBorder="1" applyAlignment="1">
      <alignment horizontal="center" vertical="center" wrapText="1"/>
    </xf>
    <xf numFmtId="3" fontId="15" fillId="21" borderId="7" xfId="0" applyNumberFormat="1" applyFont="1" applyFill="1" applyBorder="1" applyAlignment="1">
      <alignment horizontal="center"/>
    </xf>
    <xf numFmtId="169" fontId="24" fillId="21" borderId="35" xfId="0" applyNumberFormat="1" applyFont="1" applyFill="1" applyBorder="1" applyAlignment="1">
      <alignment horizontal="center"/>
    </xf>
    <xf numFmtId="3" fontId="24" fillId="21" borderId="3" xfId="0" applyNumberFormat="1" applyFont="1" applyFill="1" applyBorder="1" applyAlignment="1">
      <alignment horizontal="center" vertical="center"/>
    </xf>
    <xf numFmtId="3" fontId="24" fillId="21" borderId="7" xfId="0" applyNumberFormat="1" applyFont="1" applyFill="1" applyBorder="1" applyAlignment="1">
      <alignment horizontal="center" vertical="center"/>
    </xf>
    <xf numFmtId="3" fontId="24" fillId="21" borderId="35" xfId="0" applyNumberFormat="1" applyFont="1" applyFill="1" applyBorder="1" applyAlignment="1">
      <alignment horizontal="center" vertical="center"/>
    </xf>
    <xf numFmtId="169" fontId="24" fillId="21" borderId="2" xfId="0" applyNumberFormat="1" applyFont="1" applyFill="1" applyBorder="1" applyAlignment="1">
      <alignment horizontal="center" vertical="center"/>
    </xf>
    <xf numFmtId="0" fontId="11" fillId="21" borderId="3" xfId="0" applyFont="1" applyFill="1" applyBorder="1"/>
    <xf numFmtId="0" fontId="11" fillId="21" borderId="7" xfId="0" applyFont="1" applyFill="1" applyBorder="1"/>
    <xf numFmtId="0" fontId="17" fillId="21" borderId="7" xfId="0" applyFont="1" applyFill="1" applyBorder="1" applyAlignment="1">
      <alignment horizontal="center"/>
    </xf>
    <xf numFmtId="3" fontId="18" fillId="21" borderId="3" xfId="0" applyNumberFormat="1" applyFont="1" applyFill="1" applyBorder="1" applyAlignment="1">
      <alignment horizontal="center" vertical="center"/>
    </xf>
    <xf numFmtId="0" fontId="15" fillId="21" borderId="0" xfId="0" applyFont="1" applyFill="1"/>
    <xf numFmtId="0" fontId="24" fillId="21" borderId="13" xfId="0" applyFont="1" applyFill="1" applyBorder="1" applyAlignment="1">
      <alignment horizontal="left" vertical="center"/>
    </xf>
    <xf numFmtId="169" fontId="11" fillId="24" borderId="5" xfId="0" applyNumberFormat="1" applyFont="1" applyFill="1" applyBorder="1" applyAlignment="1">
      <alignment horizontal="center" vertical="center" wrapText="1"/>
    </xf>
    <xf numFmtId="3" fontId="11" fillId="24" borderId="5" xfId="0" applyNumberFormat="1" applyFont="1" applyFill="1" applyBorder="1" applyAlignment="1">
      <alignment horizontal="center" vertical="center" wrapText="1"/>
    </xf>
    <xf numFmtId="1" fontId="11" fillId="24" borderId="14" xfId="0" applyNumberFormat="1" applyFont="1" applyFill="1" applyBorder="1" applyAlignment="1">
      <alignment horizontal="center" vertical="center" wrapText="1"/>
    </xf>
    <xf numFmtId="3" fontId="11" fillId="24" borderId="14" xfId="0" applyNumberFormat="1" applyFont="1" applyFill="1" applyBorder="1" applyAlignment="1">
      <alignment horizontal="center" vertical="center" wrapText="1"/>
    </xf>
    <xf numFmtId="3" fontId="11" fillId="24" borderId="7" xfId="0" applyNumberFormat="1" applyFont="1" applyFill="1" applyBorder="1" applyAlignment="1">
      <alignment horizontal="center" vertical="center" wrapText="1"/>
    </xf>
    <xf numFmtId="3" fontId="18" fillId="24" borderId="7" xfId="0" applyNumberFormat="1" applyFont="1" applyFill="1" applyBorder="1" applyAlignment="1">
      <alignment horizontal="center"/>
    </xf>
    <xf numFmtId="169" fontId="24" fillId="24" borderId="35" xfId="0" applyNumberFormat="1" applyFont="1" applyFill="1" applyBorder="1" applyAlignment="1">
      <alignment horizontal="center"/>
    </xf>
    <xf numFmtId="3" fontId="24" fillId="24" borderId="3" xfId="0" applyNumberFormat="1" applyFont="1" applyFill="1" applyBorder="1" applyAlignment="1">
      <alignment horizontal="center" vertical="center"/>
    </xf>
    <xf numFmtId="3" fontId="24" fillId="24" borderId="7" xfId="0" applyNumberFormat="1" applyFont="1" applyFill="1" applyBorder="1" applyAlignment="1">
      <alignment horizontal="center" vertical="center"/>
    </xf>
    <xf numFmtId="3" fontId="24" fillId="24" borderId="35" xfId="0" applyNumberFormat="1" applyFont="1" applyFill="1" applyBorder="1" applyAlignment="1">
      <alignment horizontal="center" vertical="center"/>
    </xf>
    <xf numFmtId="169" fontId="24" fillId="24" borderId="2" xfId="0" applyNumberFormat="1" applyFont="1" applyFill="1" applyBorder="1" applyAlignment="1">
      <alignment horizontal="center" vertical="center"/>
    </xf>
    <xf numFmtId="0" fontId="18" fillId="24" borderId="3" xfId="0" applyFont="1" applyFill="1" applyBorder="1"/>
    <xf numFmtId="0" fontId="18" fillId="24" borderId="7" xfId="0" applyFont="1" applyFill="1" applyBorder="1"/>
    <xf numFmtId="0" fontId="24" fillId="24" borderId="7" xfId="0" applyFont="1" applyFill="1" applyBorder="1" applyAlignment="1">
      <alignment horizontal="center"/>
    </xf>
    <xf numFmtId="3" fontId="18" fillId="24" borderId="7" xfId="0" applyNumberFormat="1" applyFont="1" applyFill="1" applyBorder="1" applyAlignment="1">
      <alignment horizontal="center" vertical="center"/>
    </xf>
    <xf numFmtId="0" fontId="18" fillId="24" borderId="0" xfId="0" applyFont="1" applyFill="1"/>
    <xf numFmtId="0" fontId="24" fillId="24" borderId="13" xfId="0" applyFont="1" applyFill="1" applyBorder="1" applyAlignment="1">
      <alignment horizontal="left" vertical="center"/>
    </xf>
    <xf numFmtId="0" fontId="17" fillId="6" borderId="13" xfId="0" applyFont="1" applyFill="1" applyBorder="1" applyAlignment="1">
      <alignment horizontal="center" vertical="center" wrapText="1"/>
    </xf>
    <xf numFmtId="169" fontId="24" fillId="25" borderId="3" xfId="0" applyNumberFormat="1" applyFont="1" applyFill="1" applyBorder="1" applyAlignment="1">
      <alignment horizontal="center" vertical="center" wrapText="1"/>
    </xf>
    <xf numFmtId="3" fontId="24" fillId="25" borderId="3" xfId="0" applyNumberFormat="1" applyFont="1" applyFill="1" applyBorder="1" applyAlignment="1">
      <alignment horizontal="center" vertical="center" wrapText="1"/>
    </xf>
    <xf numFmtId="1" fontId="24" fillId="25" borderId="3" xfId="0" applyNumberFormat="1" applyFont="1" applyFill="1" applyBorder="1" applyAlignment="1">
      <alignment horizontal="center" vertical="center"/>
    </xf>
    <xf numFmtId="3" fontId="24" fillId="25" borderId="7" xfId="0" applyNumberFormat="1" applyFont="1" applyFill="1" applyBorder="1" applyAlignment="1">
      <alignment horizontal="center" vertical="center" wrapText="1"/>
    </xf>
    <xf numFmtId="3" fontId="24" fillId="25" borderId="3" xfId="0" applyNumberFormat="1" applyFont="1" applyFill="1" applyBorder="1" applyAlignment="1">
      <alignment horizontal="center" vertical="center"/>
    </xf>
    <xf numFmtId="3" fontId="24" fillId="25" borderId="7" xfId="0" applyNumberFormat="1" applyFont="1" applyFill="1" applyBorder="1" applyAlignment="1">
      <alignment horizontal="center"/>
    </xf>
    <xf numFmtId="169" fontId="24" fillId="25" borderId="35" xfId="0" applyNumberFormat="1" applyFont="1" applyFill="1" applyBorder="1" applyAlignment="1">
      <alignment horizontal="center"/>
    </xf>
    <xf numFmtId="3" fontId="24" fillId="25" borderId="7" xfId="0" applyNumberFormat="1" applyFont="1" applyFill="1" applyBorder="1" applyAlignment="1">
      <alignment horizontal="center" vertical="center"/>
    </xf>
    <xf numFmtId="3" fontId="24" fillId="25" borderId="35" xfId="0" applyNumberFormat="1" applyFont="1" applyFill="1" applyBorder="1" applyAlignment="1">
      <alignment horizontal="center" vertical="center"/>
    </xf>
    <xf numFmtId="169" fontId="24" fillId="25" borderId="2" xfId="0" applyNumberFormat="1" applyFont="1" applyFill="1" applyBorder="1" applyAlignment="1">
      <alignment horizontal="center" vertical="center"/>
    </xf>
    <xf numFmtId="0" fontId="11" fillId="25" borderId="3" xfId="0" applyFont="1" applyFill="1" applyBorder="1"/>
    <xf numFmtId="0" fontId="11" fillId="25" borderId="7" xfId="0" applyFont="1" applyFill="1" applyBorder="1"/>
    <xf numFmtId="0" fontId="17" fillId="25" borderId="7" xfId="0" applyFont="1" applyFill="1" applyBorder="1" applyAlignment="1">
      <alignment horizontal="center"/>
    </xf>
    <xf numFmtId="3" fontId="18" fillId="25" borderId="7" xfId="0" applyNumberFormat="1" applyFont="1" applyFill="1" applyBorder="1" applyAlignment="1">
      <alignment horizontal="center" vertical="center"/>
    </xf>
    <xf numFmtId="0" fontId="15" fillId="25" borderId="0" xfId="0" applyFont="1" applyFill="1"/>
    <xf numFmtId="0" fontId="24" fillId="6" borderId="13" xfId="0" applyFont="1" applyFill="1" applyBorder="1" applyAlignment="1">
      <alignment horizontal="left" vertical="center"/>
    </xf>
    <xf numFmtId="0" fontId="24" fillId="17" borderId="28" xfId="0" applyFont="1" applyFill="1" applyBorder="1" applyAlignment="1">
      <alignment horizontal="left" vertical="center"/>
    </xf>
    <xf numFmtId="0" fontId="24" fillId="6" borderId="23" xfId="0" applyFont="1" applyFill="1" applyBorder="1" applyAlignment="1">
      <alignment horizontal="left" vertical="center"/>
    </xf>
    <xf numFmtId="3" fontId="24" fillId="0" borderId="7" xfId="0" applyNumberFormat="1" applyFont="1" applyFill="1" applyBorder="1" applyAlignment="1">
      <alignment horizontal="center"/>
    </xf>
    <xf numFmtId="0" fontId="11" fillId="4" borderId="13" xfId="0" applyFont="1" applyFill="1" applyBorder="1" applyAlignment="1">
      <alignment horizontal="center" vertical="center" wrapText="1"/>
    </xf>
    <xf numFmtId="0" fontId="11" fillId="4" borderId="23" xfId="0" applyFont="1" applyFill="1" applyBorder="1" applyAlignment="1">
      <alignment horizontal="center" vertical="center" wrapText="1"/>
    </xf>
    <xf numFmtId="3" fontId="15" fillId="25" borderId="7" xfId="0" applyNumberFormat="1" applyFont="1" applyFill="1" applyBorder="1" applyAlignment="1">
      <alignment horizontal="center"/>
    </xf>
    <xf numFmtId="3" fontId="18" fillId="25" borderId="3" xfId="0" applyNumberFormat="1" applyFont="1" applyFill="1" applyBorder="1" applyAlignment="1">
      <alignment horizontal="center" vertical="center"/>
    </xf>
    <xf numFmtId="0" fontId="11" fillId="0" borderId="22" xfId="0" applyFont="1" applyFill="1" applyBorder="1" applyAlignment="1">
      <alignment horizontal="right" vertical="center"/>
    </xf>
    <xf numFmtId="3" fontId="11" fillId="0" borderId="14" xfId="0" applyNumberFormat="1" applyFont="1" applyFill="1" applyBorder="1" applyAlignment="1">
      <alignment horizontal="center" vertical="center"/>
    </xf>
    <xf numFmtId="0" fontId="11" fillId="0" borderId="14" xfId="0" applyFont="1" applyFill="1" applyBorder="1" applyAlignment="1">
      <alignment horizontal="left" vertical="center"/>
    </xf>
    <xf numFmtId="0" fontId="11" fillId="0" borderId="27" xfId="0" applyFont="1" applyFill="1" applyBorder="1" applyAlignment="1">
      <alignment horizontal="left" vertical="center"/>
    </xf>
    <xf numFmtId="169" fontId="11" fillId="0" borderId="5" xfId="0" applyNumberFormat="1" applyFont="1" applyFill="1" applyBorder="1" applyAlignment="1">
      <alignment horizontal="center" vertical="center" wrapText="1"/>
    </xf>
    <xf numFmtId="3" fontId="11" fillId="0" borderId="5" xfId="0" applyNumberFormat="1" applyFont="1" applyFill="1" applyBorder="1" applyAlignment="1">
      <alignment horizontal="center" vertical="center" wrapText="1"/>
    </xf>
    <xf numFmtId="3" fontId="11" fillId="0" borderId="14" xfId="0" applyNumberFormat="1" applyFont="1" applyFill="1" applyBorder="1" applyAlignment="1">
      <alignment horizontal="center" vertical="center" wrapText="1"/>
    </xf>
    <xf numFmtId="3" fontId="24" fillId="0" borderId="60" xfId="0" applyNumberFormat="1" applyFont="1" applyFill="1" applyBorder="1" applyAlignment="1">
      <alignment horizontal="center" vertical="center"/>
    </xf>
    <xf numFmtId="0" fontId="24" fillId="0" borderId="7" xfId="0" applyFont="1" applyFill="1" applyBorder="1" applyAlignment="1">
      <alignment horizontal="center"/>
    </xf>
    <xf numFmtId="0" fontId="11" fillId="4" borderId="92" xfId="0" applyFont="1" applyFill="1" applyBorder="1" applyAlignment="1">
      <alignment horizontal="center" vertical="center" wrapText="1"/>
    </xf>
    <xf numFmtId="3" fontId="11" fillId="4" borderId="50" xfId="0" applyNumberFormat="1"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1" fillId="4" borderId="51" xfId="0" applyFont="1" applyFill="1" applyBorder="1" applyAlignment="1">
      <alignment horizontal="center" vertical="center" wrapText="1"/>
    </xf>
    <xf numFmtId="169" fontId="11" fillId="4" borderId="55" xfId="0" applyNumberFormat="1" applyFont="1" applyFill="1" applyBorder="1" applyAlignment="1">
      <alignment horizontal="center" vertical="center" wrapText="1"/>
    </xf>
    <xf numFmtId="3" fontId="11" fillId="4" borderId="55" xfId="0" applyNumberFormat="1" applyFont="1" applyFill="1" applyBorder="1" applyAlignment="1">
      <alignment horizontal="center" vertical="center" wrapText="1"/>
    </xf>
    <xf numFmtId="1" fontId="11" fillId="4" borderId="50" xfId="0" applyNumberFormat="1" applyFont="1" applyFill="1" applyBorder="1" applyAlignment="1">
      <alignment horizontal="center" vertical="center" wrapText="1"/>
    </xf>
    <xf numFmtId="3" fontId="11" fillId="4" borderId="61" xfId="0" applyNumberFormat="1" applyFont="1" applyFill="1" applyBorder="1" applyAlignment="1">
      <alignment horizontal="center" vertical="center" wrapText="1"/>
    </xf>
    <xf numFmtId="10" fontId="18" fillId="23" borderId="0" xfId="0" applyNumberFormat="1" applyFont="1" applyFill="1" applyAlignment="1">
      <alignment horizontal="center" vertical="center"/>
    </xf>
    <xf numFmtId="167" fontId="11" fillId="16" borderId="12" xfId="1" applyNumberFormat="1" applyFont="1" applyFill="1" applyBorder="1" applyAlignment="1">
      <alignment horizontal="center" wrapText="1"/>
    </xf>
    <xf numFmtId="3" fontId="11" fillId="16" borderId="0" xfId="1" applyNumberFormat="1" applyFont="1" applyFill="1" applyBorder="1" applyAlignment="1">
      <alignment horizontal="center" wrapText="1"/>
    </xf>
    <xf numFmtId="167" fontId="11" fillId="16" borderId="0" xfId="1" applyNumberFormat="1" applyFont="1" applyFill="1" applyBorder="1" applyAlignment="1">
      <alignment horizontal="center" wrapText="1"/>
    </xf>
    <xf numFmtId="169" fontId="11" fillId="16" borderId="0" xfId="1" applyNumberFormat="1" applyFont="1" applyFill="1" applyBorder="1" applyAlignment="1">
      <alignment horizontal="center" wrapText="1"/>
    </xf>
    <xf numFmtId="1" fontId="11" fillId="16" borderId="0" xfId="1" applyNumberFormat="1" applyFont="1" applyFill="1" applyBorder="1" applyAlignment="1">
      <alignment horizontal="center" wrapText="1"/>
    </xf>
    <xf numFmtId="3" fontId="18" fillId="16" borderId="0" xfId="0" applyNumberFormat="1" applyFont="1" applyFill="1" applyBorder="1" applyAlignment="1">
      <alignment horizontal="center"/>
    </xf>
    <xf numFmtId="169" fontId="24" fillId="16" borderId="0" xfId="0" applyNumberFormat="1" applyFont="1" applyFill="1" applyBorder="1" applyAlignment="1">
      <alignment horizontal="center"/>
    </xf>
    <xf numFmtId="3" fontId="24" fillId="16" borderId="0" xfId="0" applyNumberFormat="1" applyFont="1" applyFill="1" applyBorder="1" applyAlignment="1">
      <alignment horizontal="center" vertical="center"/>
    </xf>
    <xf numFmtId="3" fontId="24" fillId="16" borderId="88" xfId="0" applyNumberFormat="1" applyFont="1" applyFill="1" applyBorder="1" applyAlignment="1">
      <alignment horizontal="center" vertical="center"/>
    </xf>
    <xf numFmtId="169" fontId="24" fillId="16" borderId="0" xfId="0" applyNumberFormat="1" applyFont="1" applyFill="1" applyAlignment="1">
      <alignment horizontal="center" vertical="center"/>
    </xf>
    <xf numFmtId="0" fontId="18" fillId="16" borderId="0" xfId="0" applyFont="1" applyFill="1"/>
    <xf numFmtId="0" fontId="24" fillId="16" borderId="0" xfId="0" applyFont="1" applyFill="1" applyAlignment="1">
      <alignment horizontal="center"/>
    </xf>
    <xf numFmtId="3" fontId="18" fillId="16" borderId="0" xfId="0" applyNumberFormat="1" applyFont="1" applyFill="1" applyAlignment="1">
      <alignment horizontal="center" vertical="center"/>
    </xf>
    <xf numFmtId="0" fontId="18" fillId="16" borderId="0" xfId="0" applyFont="1" applyFill="1" applyAlignment="1">
      <alignment horizontal="center"/>
    </xf>
    <xf numFmtId="0" fontId="11" fillId="16" borderId="12" xfId="0" applyFont="1" applyFill="1" applyBorder="1" applyAlignment="1">
      <alignment wrapText="1"/>
    </xf>
    <xf numFmtId="0" fontId="11" fillId="10" borderId="13" xfId="0" applyFont="1" applyFill="1" applyBorder="1" applyAlignment="1">
      <alignment wrapText="1"/>
    </xf>
    <xf numFmtId="167" fontId="11" fillId="0" borderId="0" xfId="1" applyNumberFormat="1" applyFont="1" applyFill="1" applyBorder="1" applyAlignment="1">
      <alignment horizontal="center" wrapText="1"/>
    </xf>
    <xf numFmtId="169" fontId="11" fillId="0" borderId="0" xfId="1" applyNumberFormat="1" applyFont="1" applyFill="1" applyBorder="1" applyAlignment="1">
      <alignment horizontal="center" wrapText="1"/>
    </xf>
    <xf numFmtId="3" fontId="11" fillId="0" borderId="0" xfId="1" applyNumberFormat="1" applyFont="1" applyFill="1" applyBorder="1" applyAlignment="1">
      <alignment horizontal="center" wrapText="1"/>
    </xf>
    <xf numFmtId="1" fontId="11" fillId="0" borderId="0" xfId="1" applyNumberFormat="1" applyFont="1" applyFill="1" applyBorder="1" applyAlignment="1">
      <alignment horizontal="center" wrapText="1"/>
    </xf>
    <xf numFmtId="3" fontId="18" fillId="0" borderId="0" xfId="0" applyNumberFormat="1" applyFont="1" applyFill="1" applyBorder="1" applyAlignment="1">
      <alignment horizontal="center"/>
    </xf>
    <xf numFmtId="169" fontId="24" fillId="0" borderId="0" xfId="0" applyNumberFormat="1" applyFont="1" applyBorder="1" applyAlignment="1">
      <alignment horizontal="center"/>
    </xf>
    <xf numFmtId="3" fontId="24" fillId="0" borderId="0" xfId="0" applyNumberFormat="1" applyFont="1" applyBorder="1" applyAlignment="1">
      <alignment horizontal="center" vertical="center"/>
    </xf>
    <xf numFmtId="3" fontId="24" fillId="0" borderId="88" xfId="0" applyNumberFormat="1" applyFont="1" applyBorder="1" applyAlignment="1">
      <alignment horizontal="center" vertical="center"/>
    </xf>
    <xf numFmtId="169" fontId="24" fillId="0" borderId="0" xfId="0" applyNumberFormat="1" applyFont="1" applyAlignment="1">
      <alignment horizontal="center" vertical="center"/>
    </xf>
    <xf numFmtId="169" fontId="11" fillId="0" borderId="0" xfId="0" applyNumberFormat="1" applyFont="1" applyFill="1" applyBorder="1" applyAlignment="1">
      <alignment horizontal="center" vertical="center" wrapText="1"/>
    </xf>
    <xf numFmtId="3" fontId="17" fillId="22" borderId="7" xfId="0" applyNumberFormat="1" applyFont="1" applyFill="1" applyBorder="1" applyAlignment="1">
      <alignment horizontal="center" vertical="center"/>
    </xf>
    <xf numFmtId="3" fontId="17" fillId="22" borderId="35" xfId="0" applyNumberFormat="1" applyFont="1" applyFill="1" applyBorder="1" applyAlignment="1">
      <alignment horizontal="center" vertical="center"/>
    </xf>
    <xf numFmtId="0" fontId="11" fillId="11" borderId="13" xfId="0" applyFont="1" applyFill="1" applyBorder="1" applyAlignment="1">
      <alignment horizontal="center" vertical="center" wrapText="1"/>
    </xf>
    <xf numFmtId="3" fontId="11" fillId="11" borderId="13" xfId="0" applyNumberFormat="1" applyFont="1" applyFill="1" applyBorder="1" applyAlignment="1">
      <alignment horizontal="center" vertical="center" wrapText="1"/>
    </xf>
    <xf numFmtId="10" fontId="11" fillId="0" borderId="0" xfId="1" applyNumberFormat="1" applyFont="1" applyFill="1" applyBorder="1" applyAlignment="1">
      <alignment horizontal="center" vertical="center" wrapText="1"/>
    </xf>
    <xf numFmtId="169" fontId="11" fillId="0" borderId="0" xfId="1" applyNumberFormat="1" applyFont="1" applyFill="1" applyBorder="1" applyAlignment="1">
      <alignment horizontal="center" vertical="center" wrapText="1"/>
    </xf>
    <xf numFmtId="3" fontId="11" fillId="0" borderId="0" xfId="1" applyNumberFormat="1" applyFont="1" applyFill="1" applyBorder="1" applyAlignment="1">
      <alignment horizontal="center" vertical="center" wrapText="1"/>
    </xf>
    <xf numFmtId="1" fontId="11" fillId="0" borderId="0" xfId="1" applyNumberFormat="1" applyFont="1" applyFill="1" applyBorder="1" applyAlignment="1">
      <alignment horizontal="center" vertical="center" wrapText="1"/>
    </xf>
    <xf numFmtId="3" fontId="11" fillId="11" borderId="7" xfId="0" applyNumberFormat="1" applyFont="1" applyFill="1" applyBorder="1" applyAlignment="1">
      <alignment horizontal="center" vertical="center" wrapText="1"/>
    </xf>
    <xf numFmtId="167" fontId="11" fillId="11" borderId="7" xfId="0" applyNumberFormat="1" applyFont="1" applyFill="1" applyBorder="1" applyAlignment="1">
      <alignment vertical="center" wrapText="1"/>
    </xf>
    <xf numFmtId="0" fontId="11" fillId="0" borderId="0" xfId="0" applyFont="1" applyFill="1" applyBorder="1" applyAlignment="1">
      <alignment wrapText="1"/>
    </xf>
    <xf numFmtId="3" fontId="11" fillId="16" borderId="0" xfId="1" applyNumberFormat="1" applyFont="1" applyFill="1" applyBorder="1" applyAlignment="1">
      <alignment horizontal="center" vertical="center" wrapText="1"/>
    </xf>
    <xf numFmtId="0" fontId="11" fillId="11" borderId="7" xfId="0" applyFont="1" applyFill="1" applyBorder="1" applyAlignment="1">
      <alignment horizontal="center" vertical="center" wrapText="1"/>
    </xf>
    <xf numFmtId="167" fontId="11" fillId="11" borderId="7" xfId="0" applyNumberFormat="1" applyFont="1" applyFill="1" applyBorder="1" applyAlignment="1">
      <alignment horizontal="center" vertical="center" wrapText="1"/>
    </xf>
    <xf numFmtId="167" fontId="11" fillId="11" borderId="35" xfId="0" applyNumberFormat="1" applyFont="1" applyFill="1" applyBorder="1" applyAlignment="1">
      <alignment horizontal="center" vertical="center" wrapText="1"/>
    </xf>
    <xf numFmtId="0" fontId="18" fillId="0" borderId="12" xfId="0" applyFont="1" applyFill="1" applyBorder="1"/>
    <xf numFmtId="0" fontId="18" fillId="0" borderId="0" xfId="0" applyFont="1" applyFill="1" applyBorder="1"/>
    <xf numFmtId="3" fontId="18" fillId="16" borderId="0" xfId="1" applyNumberFormat="1" applyFont="1" applyFill="1" applyBorder="1" applyAlignment="1">
      <alignment horizontal="center" wrapText="1"/>
    </xf>
    <xf numFmtId="169" fontId="24" fillId="0" borderId="0" xfId="0" applyNumberFormat="1" applyFont="1" applyFill="1" applyBorder="1" applyAlignment="1">
      <alignment horizontal="center"/>
    </xf>
    <xf numFmtId="3" fontId="24" fillId="0" borderId="0" xfId="0" applyNumberFormat="1" applyFont="1" applyFill="1" applyBorder="1" applyAlignment="1">
      <alignment horizontal="center" vertical="center"/>
    </xf>
    <xf numFmtId="3" fontId="24" fillId="0" borderId="88" xfId="0" applyNumberFormat="1" applyFont="1" applyFill="1" applyBorder="1" applyAlignment="1">
      <alignment horizontal="center" vertical="center"/>
    </xf>
    <xf numFmtId="169" fontId="24" fillId="0" borderId="0" xfId="0" applyNumberFormat="1" applyFont="1" applyFill="1" applyAlignment="1">
      <alignment horizontal="center" vertical="center"/>
    </xf>
    <xf numFmtId="167" fontId="11" fillId="16" borderId="0" xfId="1" applyNumberFormat="1" applyFont="1" applyFill="1" applyBorder="1" applyAlignment="1">
      <alignment horizontal="left" wrapText="1"/>
    </xf>
    <xf numFmtId="3" fontId="11" fillId="0" borderId="0" xfId="0" applyNumberFormat="1" applyFont="1" applyFill="1" applyBorder="1" applyAlignment="1">
      <alignment horizontal="center"/>
    </xf>
    <xf numFmtId="167" fontId="11" fillId="16" borderId="0" xfId="1" applyNumberFormat="1" applyFont="1" applyFill="1" applyBorder="1" applyAlignment="1">
      <alignment horizontal="left"/>
    </xf>
    <xf numFmtId="167" fontId="18" fillId="16" borderId="0" xfId="1" applyNumberFormat="1" applyFont="1" applyFill="1" applyBorder="1" applyAlignment="1">
      <alignment horizontal="left" wrapText="1"/>
    </xf>
    <xf numFmtId="3" fontId="18" fillId="16" borderId="25" xfId="0" applyNumberFormat="1" applyFont="1" applyFill="1" applyBorder="1"/>
    <xf numFmtId="0" fontId="18" fillId="16" borderId="25" xfId="0" applyFont="1" applyFill="1" applyBorder="1"/>
    <xf numFmtId="168" fontId="18" fillId="16" borderId="25" xfId="0" applyNumberFormat="1" applyFont="1" applyFill="1" applyBorder="1" applyAlignment="1">
      <alignment wrapText="1"/>
    </xf>
    <xf numFmtId="0" fontId="18" fillId="16" borderId="25" xfId="0" applyFont="1" applyFill="1" applyBorder="1" applyAlignment="1">
      <alignment wrapText="1"/>
    </xf>
    <xf numFmtId="0" fontId="18" fillId="16" borderId="25" xfId="0" applyFont="1" applyFill="1" applyBorder="1" applyAlignment="1">
      <alignment horizontal="center"/>
    </xf>
    <xf numFmtId="169" fontId="18" fillId="16" borderId="25" xfId="0" applyNumberFormat="1" applyFont="1" applyFill="1" applyBorder="1" applyAlignment="1">
      <alignment horizontal="center"/>
    </xf>
    <xf numFmtId="3" fontId="18" fillId="16" borderId="25" xfId="0" applyNumberFormat="1" applyFont="1" applyFill="1" applyBorder="1" applyAlignment="1">
      <alignment horizontal="center"/>
    </xf>
    <xf numFmtId="1" fontId="18" fillId="16" borderId="25" xfId="0" applyNumberFormat="1" applyFont="1" applyFill="1" applyBorder="1"/>
    <xf numFmtId="169" fontId="24" fillId="0" borderId="25" xfId="0" applyNumberFormat="1" applyFont="1" applyBorder="1" applyAlignment="1">
      <alignment horizontal="center"/>
    </xf>
    <xf numFmtId="3" fontId="24" fillId="0" borderId="25" xfId="0" applyNumberFormat="1" applyFont="1" applyBorder="1" applyAlignment="1">
      <alignment horizontal="center" vertical="center"/>
    </xf>
    <xf numFmtId="3" fontId="24" fillId="0" borderId="91" xfId="0" applyNumberFormat="1" applyFont="1" applyBorder="1" applyAlignment="1">
      <alignment horizontal="center" vertical="center"/>
    </xf>
    <xf numFmtId="169" fontId="24" fillId="0" borderId="0" xfId="0" applyNumberFormat="1" applyFont="1" applyAlignment="1">
      <alignment horizontal="center"/>
    </xf>
    <xf numFmtId="3" fontId="18" fillId="16" borderId="0" xfId="0" applyNumberFormat="1" applyFont="1" applyFill="1"/>
    <xf numFmtId="169" fontId="18" fillId="16" borderId="0" xfId="0" applyNumberFormat="1" applyFont="1" applyFill="1" applyAlignment="1">
      <alignment horizontal="center"/>
    </xf>
    <xf numFmtId="3" fontId="18" fillId="16" borderId="0" xfId="0" applyNumberFormat="1" applyFont="1" applyFill="1" applyAlignment="1">
      <alignment horizontal="center"/>
    </xf>
    <xf numFmtId="1" fontId="18" fillId="16" borderId="0" xfId="0" applyNumberFormat="1" applyFont="1" applyFill="1"/>
    <xf numFmtId="3" fontId="24" fillId="0" borderId="0" xfId="0" applyNumberFormat="1" applyFont="1" applyAlignment="1">
      <alignment horizontal="center" vertical="center"/>
    </xf>
    <xf numFmtId="9" fontId="18" fillId="16" borderId="0" xfId="0" applyNumberFormat="1" applyFont="1" applyFill="1"/>
    <xf numFmtId="0" fontId="11" fillId="16" borderId="0" xfId="0" applyFont="1" applyFill="1" applyAlignment="1">
      <alignment horizontal="right" wrapText="1"/>
    </xf>
    <xf numFmtId="3" fontId="11" fillId="16" borderId="0" xfId="0" applyNumberFormat="1" applyFont="1" applyFill="1" applyAlignment="1">
      <alignment horizontal="center" wrapText="1"/>
    </xf>
    <xf numFmtId="0" fontId="11" fillId="16" borderId="0" xfId="0" applyFont="1" applyFill="1" applyAlignment="1">
      <alignment horizontal="right"/>
    </xf>
    <xf numFmtId="0" fontId="11" fillId="16" borderId="0" xfId="0" applyFont="1" applyFill="1" applyAlignment="1">
      <alignment horizontal="left"/>
    </xf>
    <xf numFmtId="0" fontId="18" fillId="16" borderId="0" xfId="0" applyFont="1" applyFill="1" applyAlignment="1">
      <alignment wrapText="1"/>
    </xf>
    <xf numFmtId="168" fontId="18" fillId="16" borderId="0" xfId="1" applyNumberFormat="1" applyFont="1" applyFill="1"/>
    <xf numFmtId="0" fontId="18" fillId="16" borderId="0" xfId="0" applyFont="1" applyFill="1" applyAlignment="1">
      <alignment horizontal="left"/>
    </xf>
    <xf numFmtId="0" fontId="18" fillId="0" borderId="0" xfId="0" applyFont="1" applyAlignment="1">
      <alignment wrapText="1"/>
    </xf>
    <xf numFmtId="3" fontId="18" fillId="0" borderId="0" xfId="0" applyNumberFormat="1" applyFont="1"/>
    <xf numFmtId="168" fontId="18" fillId="0" borderId="0" xfId="1" applyNumberFormat="1" applyFont="1"/>
    <xf numFmtId="0" fontId="18" fillId="0" borderId="0" xfId="0" applyFont="1" applyAlignment="1">
      <alignment horizontal="left"/>
    </xf>
    <xf numFmtId="169" fontId="18" fillId="0" borderId="0" xfId="0" applyNumberFormat="1" applyFont="1" applyAlignment="1">
      <alignment horizontal="center"/>
    </xf>
    <xf numFmtId="1" fontId="18" fillId="0" borderId="0" xfId="0" applyNumberFormat="1" applyFont="1"/>
    <xf numFmtId="0" fontId="11" fillId="2" borderId="7" xfId="0" applyFont="1" applyFill="1" applyBorder="1" applyAlignment="1">
      <alignment horizontal="center" vertical="center"/>
    </xf>
    <xf numFmtId="165" fontId="11" fillId="2" borderId="7" xfId="0" applyNumberFormat="1" applyFont="1" applyFill="1" applyBorder="1" applyAlignment="1">
      <alignment horizontal="center" vertical="center"/>
    </xf>
    <xf numFmtId="3" fontId="18" fillId="0" borderId="7" xfId="0" applyNumberFormat="1" applyFont="1" applyFill="1" applyBorder="1" applyAlignment="1">
      <alignment horizontal="right" vertical="center" wrapText="1"/>
    </xf>
    <xf numFmtId="3" fontId="18" fillId="0" borderId="7" xfId="0" applyNumberFormat="1" applyFont="1" applyBorder="1"/>
    <xf numFmtId="0" fontId="11" fillId="16" borderId="7" xfId="0" applyFont="1" applyFill="1" applyBorder="1" applyAlignment="1">
      <alignment wrapText="1"/>
    </xf>
    <xf numFmtId="167" fontId="11" fillId="16" borderId="7" xfId="1" applyNumberFormat="1" applyFont="1" applyFill="1" applyBorder="1" applyAlignment="1">
      <alignment horizontal="center" wrapText="1"/>
    </xf>
    <xf numFmtId="0" fontId="11" fillId="0" borderId="13" xfId="0" applyFont="1" applyFill="1" applyBorder="1" applyAlignment="1">
      <alignment horizontal="center" vertical="center" wrapText="1"/>
    </xf>
    <xf numFmtId="16" fontId="18" fillId="0" borderId="13" xfId="0" applyNumberFormat="1" applyFont="1" applyFill="1" applyBorder="1" applyAlignment="1">
      <alignment horizontal="right" vertical="center" wrapText="1"/>
    </xf>
    <xf numFmtId="168" fontId="18" fillId="0" borderId="7" xfId="0" applyNumberFormat="1" applyFont="1" applyFill="1" applyBorder="1" applyAlignment="1">
      <alignment horizontal="center" vertical="center" wrapText="1"/>
    </xf>
    <xf numFmtId="168" fontId="18" fillId="0" borderId="0" xfId="0" applyNumberFormat="1" applyFont="1"/>
    <xf numFmtId="0" fontId="11" fillId="0" borderId="0" xfId="0" applyFont="1" applyAlignment="1">
      <alignment horizontal="center" vertical="center"/>
    </xf>
    <xf numFmtId="3" fontId="11" fillId="0" borderId="0" xfId="0" applyNumberFormat="1" applyFont="1" applyAlignment="1">
      <alignment horizontal="center" vertical="center"/>
    </xf>
    <xf numFmtId="0" fontId="11" fillId="0" borderId="0" xfId="0" applyFont="1" applyAlignment="1">
      <alignment horizontal="center" vertical="center" wrapText="1"/>
    </xf>
    <xf numFmtId="168" fontId="11" fillId="0" borderId="0" xfId="0" applyNumberFormat="1" applyFont="1" applyAlignment="1">
      <alignment horizontal="center" vertical="center"/>
    </xf>
    <xf numFmtId="0" fontId="18" fillId="0" borderId="0" xfId="0" applyFont="1" applyAlignment="1">
      <alignment vertical="center"/>
    </xf>
    <xf numFmtId="169" fontId="18" fillId="0" borderId="0" xfId="0" applyNumberFormat="1" applyFont="1" applyAlignment="1">
      <alignment horizontal="center" vertical="center"/>
    </xf>
    <xf numFmtId="1" fontId="18" fillId="0" borderId="0" xfId="0" applyNumberFormat="1" applyFont="1" applyAlignment="1">
      <alignment vertical="center"/>
    </xf>
    <xf numFmtId="3" fontId="18" fillId="0" borderId="0" xfId="0" applyNumberFormat="1" applyFont="1" applyAlignment="1">
      <alignment vertical="center"/>
    </xf>
    <xf numFmtId="0" fontId="24" fillId="0" borderId="0" xfId="0" applyFont="1" applyAlignment="1">
      <alignment horizontal="center" vertical="center"/>
    </xf>
    <xf numFmtId="0" fontId="18" fillId="0" borderId="0" xfId="0" applyFont="1" applyAlignment="1">
      <alignment horizontal="center" vertical="center"/>
    </xf>
    <xf numFmtId="0" fontId="11" fillId="0" borderId="1" xfId="0"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11" fillId="0" borderId="1" xfId="0" applyFont="1" applyBorder="1" applyAlignment="1">
      <alignment horizontal="center"/>
    </xf>
    <xf numFmtId="16" fontId="18" fillId="0" borderId="1" xfId="0" applyNumberFormat="1" applyFont="1" applyFill="1" applyBorder="1" applyAlignment="1">
      <alignment horizontal="right" vertical="center" wrapText="1"/>
    </xf>
    <xf numFmtId="3" fontId="18" fillId="0" borderId="1" xfId="0" applyNumberFormat="1" applyFont="1" applyFill="1" applyBorder="1" applyAlignment="1">
      <alignment horizontal="right" vertical="center" wrapText="1"/>
    </xf>
    <xf numFmtId="168" fontId="18" fillId="0" borderId="1" xfId="0" applyNumberFormat="1" applyFont="1" applyFill="1" applyBorder="1" applyAlignment="1">
      <alignment horizontal="center" vertical="center" wrapText="1"/>
    </xf>
    <xf numFmtId="171" fontId="18" fillId="0" borderId="1" xfId="0" applyNumberFormat="1" applyFont="1" applyBorder="1" applyAlignment="1">
      <alignment horizontal="right"/>
    </xf>
    <xf numFmtId="171" fontId="18" fillId="0" borderId="1" xfId="0" applyNumberFormat="1" applyFont="1" applyBorder="1"/>
    <xf numFmtId="171" fontId="18" fillId="0" borderId="1" xfId="0" applyNumberFormat="1" applyFont="1" applyBorder="1" applyAlignment="1">
      <alignment horizontal="center"/>
    </xf>
    <xf numFmtId="0" fontId="18" fillId="0" borderId="1" xfId="0" applyFont="1" applyBorder="1" applyAlignment="1">
      <alignment horizontal="center"/>
    </xf>
    <xf numFmtId="171" fontId="18" fillId="0" borderId="0" xfId="0" applyNumberFormat="1" applyFont="1" applyAlignment="1">
      <alignment horizontal="right"/>
    </xf>
    <xf numFmtId="3" fontId="11" fillId="0" borderId="0" xfId="0" applyNumberFormat="1" applyFont="1" applyAlignment="1">
      <alignment horizontal="center"/>
    </xf>
    <xf numFmtId="168" fontId="11" fillId="0" borderId="0" xfId="0" applyNumberFormat="1" applyFont="1" applyAlignment="1">
      <alignment horizontal="center"/>
    </xf>
    <xf numFmtId="9" fontId="11" fillId="0" borderId="0" xfId="0" applyNumberFormat="1" applyFont="1" applyAlignment="1">
      <alignment horizontal="center"/>
    </xf>
    <xf numFmtId="0" fontId="11" fillId="0" borderId="84" xfId="0" applyFont="1" applyBorder="1" applyAlignment="1">
      <alignment vertical="center" wrapText="1"/>
    </xf>
    <xf numFmtId="3" fontId="11" fillId="0" borderId="84" xfId="0" applyNumberFormat="1" applyFont="1" applyBorder="1" applyAlignment="1">
      <alignment vertical="center" wrapText="1"/>
    </xf>
    <xf numFmtId="0" fontId="11" fillId="0" borderId="85" xfId="0" applyFont="1" applyBorder="1" applyAlignment="1">
      <alignment vertical="center" wrapText="1"/>
    </xf>
    <xf numFmtId="0" fontId="11" fillId="0" borderId="44" xfId="0" applyFont="1" applyBorder="1" applyAlignment="1">
      <alignment vertical="center" wrapText="1"/>
    </xf>
    <xf numFmtId="0" fontId="11" fillId="0" borderId="31" xfId="0" applyFont="1" applyBorder="1" applyAlignment="1">
      <alignment vertical="center" wrapText="1"/>
    </xf>
    <xf numFmtId="0" fontId="12" fillId="12" borderId="13" xfId="0" applyFont="1" applyFill="1" applyBorder="1" applyAlignment="1">
      <alignment horizontal="center" vertical="center" wrapText="1"/>
    </xf>
    <xf numFmtId="3" fontId="32" fillId="0" borderId="84" xfId="0" applyNumberFormat="1" applyFont="1" applyBorder="1" applyAlignment="1">
      <alignment vertical="center" wrapText="1"/>
    </xf>
    <xf numFmtId="0" fontId="1" fillId="12"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0" fillId="25" borderId="47" xfId="0" applyFill="1" applyBorder="1" applyAlignment="1">
      <alignment horizontal="center" vertical="center"/>
    </xf>
    <xf numFmtId="0" fontId="0" fillId="25" borderId="35" xfId="0" applyFill="1" applyBorder="1"/>
    <xf numFmtId="0" fontId="0" fillId="29" borderId="47" xfId="0" applyFill="1" applyBorder="1" applyAlignment="1">
      <alignment horizontal="center"/>
    </xf>
    <xf numFmtId="165" fontId="24" fillId="0" borderId="17" xfId="0" applyNumberFormat="1" applyFont="1" applyFill="1" applyBorder="1" applyAlignment="1">
      <alignment horizontal="center" vertical="center" wrapText="1"/>
    </xf>
    <xf numFmtId="3" fontId="8" fillId="25" borderId="18" xfId="0" applyNumberFormat="1" applyFont="1" applyFill="1" applyBorder="1" applyAlignment="1">
      <alignment horizontal="center"/>
    </xf>
    <xf numFmtId="3" fontId="8" fillId="25" borderId="29" xfId="0" applyNumberFormat="1" applyFont="1" applyFill="1" applyBorder="1" applyAlignment="1">
      <alignment horizontal="center" vertical="center"/>
    </xf>
    <xf numFmtId="3" fontId="8" fillId="0" borderId="29" xfId="0" applyNumberFormat="1" applyFont="1" applyFill="1" applyBorder="1" applyAlignment="1">
      <alignment horizontal="center"/>
    </xf>
    <xf numFmtId="3" fontId="8" fillId="25" borderId="29" xfId="0" applyNumberFormat="1" applyFont="1" applyFill="1" applyBorder="1" applyAlignment="1">
      <alignment horizontal="center"/>
    </xf>
    <xf numFmtId="3" fontId="8" fillId="0" borderId="29" xfId="0" applyNumberFormat="1" applyFont="1" applyFill="1" applyBorder="1" applyAlignment="1">
      <alignment horizontal="center" vertical="center"/>
    </xf>
    <xf numFmtId="3" fontId="8" fillId="23" borderId="29" xfId="0" applyNumberFormat="1" applyFont="1" applyFill="1" applyBorder="1" applyAlignment="1">
      <alignment horizontal="center"/>
    </xf>
    <xf numFmtId="3" fontId="8" fillId="29" borderId="29" xfId="0" applyNumberFormat="1" applyFont="1" applyFill="1" applyBorder="1" applyAlignment="1">
      <alignment horizontal="center"/>
    </xf>
    <xf numFmtId="3" fontId="8" fillId="22" borderId="29" xfId="0" applyNumberFormat="1" applyFont="1" applyFill="1" applyBorder="1" applyAlignment="1">
      <alignment horizontal="center" vertical="center"/>
    </xf>
    <xf numFmtId="3" fontId="25" fillId="11" borderId="29" xfId="0" applyNumberFormat="1" applyFont="1" applyFill="1" applyBorder="1" applyAlignment="1">
      <alignment horizontal="center" vertical="center" wrapText="1"/>
    </xf>
    <xf numFmtId="3" fontId="11" fillId="9" borderId="95" xfId="0" applyNumberFormat="1" applyFont="1" applyFill="1" applyBorder="1" applyAlignment="1">
      <alignment horizontal="center" vertical="center" wrapText="1"/>
    </xf>
    <xf numFmtId="3" fontId="0" fillId="0" borderId="95" xfId="0" applyNumberFormat="1" applyFill="1" applyBorder="1" applyAlignment="1">
      <alignment horizontal="center" vertical="center"/>
    </xf>
    <xf numFmtId="3" fontId="11" fillId="4" borderId="95" xfId="0" applyNumberFormat="1" applyFont="1" applyFill="1" applyBorder="1" applyAlignment="1">
      <alignment horizontal="center" vertical="center" wrapText="1"/>
    </xf>
    <xf numFmtId="3" fontId="31" fillId="9" borderId="96" xfId="1" applyNumberFormat="1" applyFont="1" applyFill="1" applyBorder="1" applyAlignment="1">
      <alignment horizontal="center" vertical="center" wrapText="1"/>
    </xf>
    <xf numFmtId="3" fontId="8" fillId="22" borderId="95" xfId="0" applyNumberFormat="1" applyFont="1" applyFill="1" applyBorder="1" applyAlignment="1">
      <alignment horizontal="center" vertical="center"/>
    </xf>
    <xf numFmtId="3" fontId="25" fillId="11" borderId="95" xfId="0" applyNumberFormat="1" applyFont="1" applyFill="1" applyBorder="1" applyAlignment="1">
      <alignment horizontal="center" vertical="center" wrapText="1"/>
    </xf>
    <xf numFmtId="3" fontId="31" fillId="5" borderId="31" xfId="0" applyNumberFormat="1" applyFont="1" applyFill="1" applyBorder="1" applyAlignment="1">
      <alignment horizontal="center" vertical="center" wrapText="1"/>
    </xf>
    <xf numFmtId="3" fontId="31" fillId="5" borderId="1" xfId="0" applyNumberFormat="1" applyFont="1" applyFill="1" applyBorder="1" applyAlignment="1">
      <alignment horizontal="center" vertical="center" wrapText="1"/>
    </xf>
    <xf numFmtId="3" fontId="58" fillId="5" borderId="31" xfId="0" applyNumberFormat="1" applyFont="1" applyFill="1" applyBorder="1" applyAlignment="1">
      <alignment horizontal="center" vertical="center" wrapText="1"/>
    </xf>
    <xf numFmtId="3" fontId="58" fillId="5" borderId="1" xfId="0" applyNumberFormat="1" applyFont="1" applyFill="1" applyBorder="1" applyAlignment="1">
      <alignment horizontal="center" vertical="center" wrapText="1"/>
    </xf>
    <xf numFmtId="3" fontId="58" fillId="5" borderId="43" xfId="0" applyNumberFormat="1" applyFont="1" applyFill="1" applyBorder="1" applyAlignment="1">
      <alignment horizontal="center" vertical="center" wrapText="1"/>
    </xf>
    <xf numFmtId="3" fontId="58" fillId="5" borderId="93" xfId="0" applyNumberFormat="1" applyFont="1" applyFill="1" applyBorder="1" applyAlignment="1">
      <alignment horizontal="center" vertical="center" wrapText="1"/>
    </xf>
    <xf numFmtId="0" fontId="31" fillId="5" borderId="1" xfId="0" applyFont="1" applyFill="1" applyBorder="1" applyAlignment="1">
      <alignment horizontal="center" vertical="center" wrapText="1"/>
    </xf>
    <xf numFmtId="1" fontId="31" fillId="5" borderId="1" xfId="0" applyNumberFormat="1" applyFont="1" applyFill="1" applyBorder="1" applyAlignment="1">
      <alignment horizontal="center" vertical="center" wrapText="1"/>
    </xf>
    <xf numFmtId="169" fontId="31" fillId="5" borderId="59" xfId="0" applyNumberFormat="1" applyFont="1" applyFill="1" applyBorder="1" applyAlignment="1">
      <alignment horizontal="center" vertical="center" wrapText="1"/>
    </xf>
    <xf numFmtId="0" fontId="8" fillId="4" borderId="12" xfId="0" applyFont="1" applyFill="1" applyBorder="1" applyAlignment="1">
      <alignment horizontal="center" vertical="center" wrapText="1"/>
    </xf>
    <xf numFmtId="0" fontId="0" fillId="4" borderId="0" xfId="0" applyFill="1" applyBorder="1"/>
    <xf numFmtId="0" fontId="0" fillId="4" borderId="17" xfId="0" applyFill="1" applyBorder="1"/>
    <xf numFmtId="0" fontId="12" fillId="6" borderId="89" xfId="0" applyFont="1" applyFill="1" applyBorder="1" applyAlignment="1">
      <alignment horizontal="center" vertical="center" wrapText="1"/>
    </xf>
    <xf numFmtId="165" fontId="12" fillId="20" borderId="6" xfId="0" applyNumberFormat="1" applyFont="1" applyFill="1" applyBorder="1" applyAlignment="1">
      <alignment horizontal="center" vertical="center" wrapText="1"/>
    </xf>
    <xf numFmtId="0" fontId="7" fillId="6" borderId="6" xfId="0" applyFont="1" applyFill="1" applyBorder="1" applyAlignment="1">
      <alignment horizontal="left" vertical="center" wrapText="1"/>
    </xf>
    <xf numFmtId="0" fontId="7" fillId="6" borderId="97" xfId="0" applyFont="1" applyFill="1" applyBorder="1" applyAlignment="1">
      <alignment horizontal="left" vertical="center" wrapText="1"/>
    </xf>
    <xf numFmtId="165" fontId="8" fillId="4" borderId="1" xfId="0" applyNumberFormat="1" applyFont="1" applyFill="1" applyBorder="1" applyAlignment="1">
      <alignment horizontal="center" vertical="center" wrapText="1"/>
    </xf>
    <xf numFmtId="0" fontId="8" fillId="18" borderId="12" xfId="0" applyFont="1" applyFill="1" applyBorder="1" applyAlignment="1">
      <alignment vertical="center"/>
    </xf>
    <xf numFmtId="0" fontId="28" fillId="6" borderId="7" xfId="0" applyFont="1" applyFill="1" applyBorder="1" applyAlignment="1">
      <alignment horizontal="left" vertical="center" wrapText="1"/>
    </xf>
    <xf numFmtId="0" fontId="28" fillId="6" borderId="23" xfId="0" applyFont="1" applyFill="1" applyBorder="1" applyAlignment="1">
      <alignment horizontal="left" vertical="center" wrapText="1"/>
    </xf>
    <xf numFmtId="0" fontId="28" fillId="23" borderId="7" xfId="0" applyFont="1" applyFill="1" applyBorder="1" applyAlignment="1">
      <alignment horizontal="left" vertical="center" wrapText="1"/>
    </xf>
    <xf numFmtId="0" fontId="28" fillId="23" borderId="23" xfId="0" applyFont="1" applyFill="1" applyBorder="1" applyAlignment="1">
      <alignment horizontal="left" vertical="center" wrapText="1"/>
    </xf>
    <xf numFmtId="0" fontId="28" fillId="12" borderId="7" xfId="0" applyFont="1" applyFill="1" applyBorder="1" applyAlignment="1">
      <alignment horizontal="left" vertical="center" wrapText="1"/>
    </xf>
    <xf numFmtId="0" fontId="59" fillId="12" borderId="7" xfId="0" applyFont="1" applyFill="1" applyBorder="1" applyAlignment="1">
      <alignment horizontal="left" vertical="center" wrapText="1"/>
    </xf>
    <xf numFmtId="0" fontId="59" fillId="12" borderId="23" xfId="0" applyFont="1" applyFill="1" applyBorder="1" applyAlignment="1">
      <alignment horizontal="left" vertical="center" wrapText="1"/>
    </xf>
    <xf numFmtId="0" fontId="0" fillId="5" borderId="69" xfId="0" applyFill="1" applyBorder="1" applyAlignment="1">
      <alignment horizontal="center" vertical="center"/>
    </xf>
    <xf numFmtId="0" fontId="13" fillId="25" borderId="94" xfId="0" applyFont="1" applyFill="1" applyBorder="1" applyAlignment="1">
      <alignment horizontal="center" vertical="center"/>
    </xf>
    <xf numFmtId="3" fontId="0" fillId="25" borderId="95" xfId="0" applyNumberFormat="1" applyFill="1" applyBorder="1" applyAlignment="1">
      <alignment horizontal="center" vertical="center"/>
    </xf>
    <xf numFmtId="0" fontId="0" fillId="25" borderId="95" xfId="0" applyFill="1" applyBorder="1" applyAlignment="1">
      <alignment horizontal="center" vertical="center"/>
    </xf>
    <xf numFmtId="0" fontId="13" fillId="23" borderId="95" xfId="0" applyFont="1" applyFill="1" applyBorder="1" applyAlignment="1">
      <alignment horizontal="center" vertical="center"/>
    </xf>
    <xf numFmtId="0" fontId="13" fillId="29" borderId="95" xfId="0" applyFont="1" applyFill="1" applyBorder="1" applyAlignment="1">
      <alignment horizontal="center" vertical="center"/>
    </xf>
    <xf numFmtId="3" fontId="0" fillId="29" borderId="95" xfId="0" applyNumberFormat="1" applyFill="1" applyBorder="1" applyAlignment="1">
      <alignment horizontal="center" vertical="center"/>
    </xf>
    <xf numFmtId="0" fontId="0" fillId="29" borderId="95" xfId="0" applyFill="1" applyBorder="1" applyAlignment="1">
      <alignment horizontal="center" vertical="center"/>
    </xf>
    <xf numFmtId="0" fontId="0" fillId="0" borderId="88" xfId="0" applyBorder="1" applyAlignment="1">
      <alignment horizontal="center" vertical="center"/>
    </xf>
    <xf numFmtId="3" fontId="60" fillId="7" borderId="7" xfId="0" applyNumberFormat="1" applyFont="1" applyFill="1" applyBorder="1" applyAlignment="1">
      <alignment horizontal="left" vertical="center" wrapText="1"/>
    </xf>
    <xf numFmtId="0" fontId="59" fillId="8" borderId="7" xfId="0" applyFont="1" applyFill="1" applyBorder="1" applyAlignment="1">
      <alignment horizontal="left" vertical="center" wrapText="1"/>
    </xf>
    <xf numFmtId="0" fontId="8" fillId="18" borderId="12" xfId="0" applyFont="1" applyFill="1" applyBorder="1" applyAlignment="1">
      <alignment horizontal="left" vertical="center" wrapText="1"/>
    </xf>
    <xf numFmtId="0" fontId="28" fillId="18" borderId="12" xfId="0" applyFont="1" applyFill="1" applyBorder="1" applyAlignment="1">
      <alignment vertical="center" wrapText="1"/>
    </xf>
    <xf numFmtId="3" fontId="31" fillId="5" borderId="59" xfId="0" applyNumberFormat="1" applyFont="1" applyFill="1" applyBorder="1" applyAlignment="1">
      <alignment horizontal="center" vertical="center" wrapText="1"/>
    </xf>
    <xf numFmtId="3" fontId="31" fillId="5" borderId="71" xfId="0" applyNumberFormat="1" applyFont="1" applyFill="1" applyBorder="1" applyAlignment="1">
      <alignment horizontal="center" vertical="center" wrapText="1"/>
    </xf>
    <xf numFmtId="3" fontId="20" fillId="7" borderId="35" xfId="0" applyNumberFormat="1" applyFont="1" applyFill="1" applyBorder="1" applyAlignment="1">
      <alignment horizontal="left" vertical="center" wrapText="1"/>
    </xf>
    <xf numFmtId="167" fontId="8" fillId="0" borderId="0" xfId="1" applyNumberFormat="1" applyFont="1" applyBorder="1" applyAlignment="1">
      <alignment horizontal="center" wrapText="1"/>
    </xf>
    <xf numFmtId="0" fontId="11" fillId="0" borderId="0" xfId="0" applyFont="1" applyFill="1" applyBorder="1" applyAlignment="1">
      <alignment horizontal="center" vertical="center" wrapText="1"/>
    </xf>
    <xf numFmtId="3" fontId="11" fillId="9" borderId="0" xfId="0" applyNumberFormat="1" applyFont="1" applyFill="1" applyBorder="1" applyAlignment="1">
      <alignment horizontal="center" vertical="center" wrapText="1"/>
    </xf>
    <xf numFmtId="3" fontId="8" fillId="0" borderId="7" xfId="0" applyNumberFormat="1" applyFont="1" applyFill="1" applyBorder="1" applyAlignment="1">
      <alignment horizontal="center" vertical="center"/>
    </xf>
    <xf numFmtId="169" fontId="8" fillId="0" borderId="3" xfId="0" applyNumberFormat="1" applyFont="1" applyFill="1" applyBorder="1" applyAlignment="1">
      <alignment horizontal="center" vertical="center" wrapText="1"/>
    </xf>
    <xf numFmtId="169" fontId="11" fillId="0" borderId="35" xfId="0" applyNumberFormat="1" applyFont="1" applyFill="1" applyBorder="1" applyAlignment="1">
      <alignment horizontal="center" vertical="center" wrapText="1"/>
    </xf>
    <xf numFmtId="0" fontId="12" fillId="6" borderId="7" xfId="0" applyFont="1" applyFill="1" applyBorder="1" applyAlignment="1">
      <alignment horizontal="center" vertical="center" wrapText="1"/>
    </xf>
    <xf numFmtId="0" fontId="8" fillId="8" borderId="7" xfId="0" applyFont="1" applyFill="1" applyBorder="1" applyAlignment="1">
      <alignment horizontal="left" vertical="center" wrapText="1"/>
    </xf>
    <xf numFmtId="0" fontId="12" fillId="13" borderId="7" xfId="0" applyFont="1" applyFill="1" applyBorder="1" applyAlignment="1">
      <alignment horizontal="left" vertical="center" wrapText="1"/>
    </xf>
    <xf numFmtId="0" fontId="8" fillId="10" borderId="7" xfId="0" applyFont="1" applyFill="1" applyBorder="1" applyAlignment="1">
      <alignment horizontal="left" vertical="center" wrapText="1"/>
    </xf>
    <xf numFmtId="169" fontId="8" fillId="0" borderId="3" xfId="0" applyNumberFormat="1" applyFont="1" applyFill="1" applyBorder="1" applyAlignment="1">
      <alignment horizontal="center" vertical="center"/>
    </xf>
    <xf numFmtId="3" fontId="8" fillId="0" borderId="3" xfId="0" applyNumberFormat="1" applyFont="1" applyFill="1" applyBorder="1" applyAlignment="1">
      <alignment horizontal="center" vertical="center"/>
    </xf>
    <xf numFmtId="0" fontId="11" fillId="0" borderId="7" xfId="0" applyFont="1" applyFill="1" applyBorder="1" applyAlignment="1">
      <alignment horizontal="center" vertical="center"/>
    </xf>
    <xf numFmtId="3" fontId="11" fillId="0" borderId="29" xfId="0" applyNumberFormat="1" applyFont="1" applyFill="1" applyBorder="1" applyAlignment="1">
      <alignment horizontal="center" vertical="center"/>
    </xf>
    <xf numFmtId="1" fontId="11" fillId="0" borderId="7" xfId="0" applyNumberFormat="1" applyFont="1" applyFill="1" applyBorder="1" applyAlignment="1">
      <alignment horizontal="center" vertical="center"/>
    </xf>
    <xf numFmtId="3" fontId="11" fillId="0" borderId="35" xfId="0" applyNumberFormat="1" applyFont="1" applyFill="1" applyBorder="1" applyAlignment="1">
      <alignment horizontal="center" vertical="center"/>
    </xf>
    <xf numFmtId="3" fontId="11" fillId="0" borderId="2" xfId="0" applyNumberFormat="1" applyFont="1" applyFill="1" applyBorder="1" applyAlignment="1">
      <alignment horizontal="center" vertical="center"/>
    </xf>
    <xf numFmtId="3" fontId="11" fillId="0" borderId="67" xfId="0" applyNumberFormat="1" applyFont="1" applyFill="1" applyBorder="1" applyAlignment="1">
      <alignment horizontal="center" vertical="center"/>
    </xf>
    <xf numFmtId="3" fontId="11" fillId="0" borderId="3" xfId="0" applyNumberFormat="1" applyFont="1" applyFill="1" applyBorder="1" applyAlignment="1">
      <alignment horizontal="center" vertical="center"/>
    </xf>
    <xf numFmtId="0" fontId="0" fillId="0" borderId="7" xfId="0" applyFill="1" applyBorder="1" applyAlignment="1"/>
    <xf numFmtId="3" fontId="11" fillId="0" borderId="0" xfId="0" applyNumberFormat="1" applyFont="1" applyFill="1" applyBorder="1" applyAlignment="1">
      <alignment horizontal="center" vertical="center"/>
    </xf>
    <xf numFmtId="3" fontId="0" fillId="0" borderId="0" xfId="0" applyNumberFormat="1" applyFill="1" applyAlignment="1"/>
    <xf numFmtId="0" fontId="12" fillId="14" borderId="7" xfId="0" applyFont="1" applyFill="1" applyBorder="1" applyAlignment="1">
      <alignment horizontal="left" vertical="center" wrapText="1"/>
    </xf>
    <xf numFmtId="0" fontId="12" fillId="14" borderId="13" xfId="0" applyFont="1" applyFill="1" applyBorder="1" applyAlignment="1">
      <alignment horizontal="center" vertical="center" wrapText="1"/>
    </xf>
    <xf numFmtId="0" fontId="12" fillId="13" borderId="13"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12" fillId="24" borderId="7" xfId="0" applyFont="1" applyFill="1" applyBorder="1" applyAlignment="1">
      <alignment horizontal="left" vertical="center" wrapText="1"/>
    </xf>
    <xf numFmtId="0" fontId="12" fillId="24" borderId="13" xfId="0" applyFont="1" applyFill="1" applyBorder="1" applyAlignment="1">
      <alignment horizontal="center" vertical="center" wrapText="1"/>
    </xf>
    <xf numFmtId="3" fontId="17" fillId="4" borderId="67" xfId="0" applyNumberFormat="1" applyFont="1" applyFill="1" applyBorder="1" applyAlignment="1">
      <alignment horizontal="center" vertical="center" wrapText="1"/>
    </xf>
    <xf numFmtId="3" fontId="11" fillId="9" borderId="98" xfId="0" applyNumberFormat="1" applyFont="1" applyFill="1" applyBorder="1" applyAlignment="1">
      <alignment horizontal="center" vertical="center" wrapText="1"/>
    </xf>
    <xf numFmtId="0" fontId="1" fillId="6" borderId="13" xfId="0" applyFont="1" applyFill="1" applyBorder="1" applyAlignment="1">
      <alignment horizontal="left" vertical="center" wrapText="1"/>
    </xf>
    <xf numFmtId="0" fontId="16" fillId="6" borderId="13" xfId="0" applyFont="1" applyFill="1" applyBorder="1" applyAlignment="1">
      <alignment horizontal="left" vertical="center" wrapText="1"/>
    </xf>
    <xf numFmtId="0" fontId="7" fillId="6" borderId="13" xfId="0" applyFont="1" applyFill="1" applyBorder="1" applyAlignment="1">
      <alignment horizontal="left" vertical="center" wrapText="1"/>
    </xf>
    <xf numFmtId="0" fontId="7" fillId="10" borderId="13" xfId="0" applyFont="1" applyFill="1" applyBorder="1" applyAlignment="1">
      <alignment horizontal="left" vertical="center" wrapText="1"/>
    </xf>
    <xf numFmtId="0" fontId="16" fillId="13" borderId="13" xfId="0" applyFont="1" applyFill="1" applyBorder="1" applyAlignment="1">
      <alignment horizontal="left" vertical="center" wrapText="1"/>
    </xf>
    <xf numFmtId="0" fontId="7" fillId="14" borderId="13" xfId="0" applyFont="1" applyFill="1" applyBorder="1" applyAlignment="1">
      <alignment horizontal="left" vertical="center" wrapText="1"/>
    </xf>
    <xf numFmtId="0" fontId="1" fillId="14" borderId="13" xfId="0" applyFont="1" applyFill="1" applyBorder="1" applyAlignment="1">
      <alignment horizontal="left" vertical="center" wrapText="1"/>
    </xf>
    <xf numFmtId="0" fontId="7" fillId="24" borderId="13" xfId="0" applyFont="1" applyFill="1" applyBorder="1" applyAlignment="1">
      <alignment horizontal="left" vertical="center" wrapText="1"/>
    </xf>
    <xf numFmtId="0" fontId="8" fillId="0" borderId="12" xfId="0" applyFont="1" applyFill="1" applyBorder="1" applyAlignment="1">
      <alignment wrapText="1"/>
    </xf>
    <xf numFmtId="3" fontId="11" fillId="0" borderId="88" xfId="0" applyNumberFormat="1" applyFont="1" applyFill="1" applyBorder="1" applyAlignment="1">
      <alignment horizontal="center" vertical="center" wrapText="1"/>
    </xf>
    <xf numFmtId="0" fontId="7" fillId="0" borderId="0" xfId="0" applyFont="1" applyFill="1" applyBorder="1"/>
    <xf numFmtId="10" fontId="8" fillId="0" borderId="0" xfId="0" applyNumberFormat="1" applyFont="1" applyFill="1" applyAlignment="1">
      <alignment horizontal="center" vertical="center"/>
    </xf>
    <xf numFmtId="0" fontId="16" fillId="13" borderId="3" xfId="0" applyFont="1" applyFill="1" applyBorder="1" applyAlignment="1">
      <alignment horizontal="center" vertical="center"/>
    </xf>
    <xf numFmtId="0" fontId="1" fillId="6" borderId="23" xfId="0" applyFont="1" applyFill="1" applyBorder="1" applyAlignment="1">
      <alignment horizontal="center" vertical="center" wrapText="1"/>
    </xf>
    <xf numFmtId="0" fontId="1" fillId="6" borderId="23" xfId="0" applyFont="1" applyFill="1" applyBorder="1" applyAlignment="1">
      <alignment horizontal="left" vertical="center"/>
    </xf>
    <xf numFmtId="0" fontId="12" fillId="6" borderId="23" xfId="0" applyFont="1" applyFill="1" applyBorder="1" applyAlignment="1">
      <alignment horizontal="center" vertical="center" wrapText="1"/>
    </xf>
    <xf numFmtId="0" fontId="8" fillId="8" borderId="23" xfId="0" applyFont="1" applyFill="1" applyBorder="1" applyAlignment="1">
      <alignment horizontal="left" vertical="center" wrapText="1"/>
    </xf>
    <xf numFmtId="0" fontId="8" fillId="10" borderId="23" xfId="0" applyFont="1" applyFill="1" applyBorder="1" applyAlignment="1">
      <alignment horizontal="left" vertical="center" wrapText="1"/>
    </xf>
    <xf numFmtId="0" fontId="12" fillId="13" borderId="23" xfId="0" applyFont="1" applyFill="1" applyBorder="1" applyAlignment="1">
      <alignment horizontal="left" vertical="center" wrapText="1"/>
    </xf>
    <xf numFmtId="0" fontId="12" fillId="14" borderId="23" xfId="0" applyFont="1" applyFill="1" applyBorder="1" applyAlignment="1">
      <alignment horizontal="left" vertical="center" wrapText="1"/>
    </xf>
    <xf numFmtId="0" fontId="12" fillId="24" borderId="23" xfId="0" applyFont="1" applyFill="1" applyBorder="1" applyAlignment="1">
      <alignment horizontal="left" vertical="center" wrapText="1"/>
    </xf>
    <xf numFmtId="0" fontId="25" fillId="0" borderId="12" xfId="0" applyFont="1" applyBorder="1"/>
    <xf numFmtId="0" fontId="12" fillId="6" borderId="7" xfId="0" applyFont="1" applyFill="1" applyBorder="1" applyAlignment="1">
      <alignment horizontal="left" vertical="center" wrapText="1"/>
    </xf>
    <xf numFmtId="0" fontId="25" fillId="0" borderId="24" xfId="0" applyFont="1" applyBorder="1"/>
    <xf numFmtId="165" fontId="12" fillId="0" borderId="7" xfId="0" applyNumberFormat="1" applyFont="1" applyFill="1" applyBorder="1" applyAlignment="1">
      <alignment horizontal="center" vertical="center" wrapText="1"/>
    </xf>
    <xf numFmtId="0" fontId="17" fillId="0" borderId="7" xfId="0" applyFont="1" applyFill="1" applyBorder="1" applyAlignment="1">
      <alignment horizontal="center" vertical="center" wrapText="1"/>
    </xf>
    <xf numFmtId="3" fontId="1" fillId="0" borderId="35" xfId="0" applyNumberFormat="1" applyFont="1" applyFill="1" applyBorder="1"/>
    <xf numFmtId="3" fontId="1" fillId="0" borderId="2" xfId="0" applyNumberFormat="1" applyFont="1" applyFill="1" applyBorder="1"/>
    <xf numFmtId="1" fontId="13" fillId="0" borderId="7" xfId="0" applyNumberFormat="1" applyFont="1" applyFill="1" applyBorder="1" applyAlignment="1">
      <alignment horizontal="center"/>
    </xf>
    <xf numFmtId="1" fontId="23" fillId="7" borderId="99" xfId="0" applyNumberFormat="1" applyFont="1" applyFill="1" applyBorder="1" applyAlignment="1">
      <alignment horizontal="left" vertical="center"/>
    </xf>
    <xf numFmtId="1" fontId="1" fillId="0" borderId="23" xfId="0" applyNumberFormat="1" applyFont="1" applyFill="1" applyBorder="1" applyAlignment="1">
      <alignment horizontal="center"/>
    </xf>
    <xf numFmtId="1" fontId="11" fillId="9" borderId="23" xfId="0" applyNumberFormat="1" applyFont="1" applyFill="1" applyBorder="1" applyAlignment="1">
      <alignment horizontal="center" vertical="center" wrapText="1"/>
    </xf>
    <xf numFmtId="1" fontId="13" fillId="23" borderId="23" xfId="0" applyNumberFormat="1" applyFont="1" applyFill="1" applyBorder="1" applyAlignment="1">
      <alignment horizontal="center"/>
    </xf>
    <xf numFmtId="1" fontId="13" fillId="0" borderId="23" xfId="0" applyNumberFormat="1" applyFont="1" applyFill="1" applyBorder="1" applyAlignment="1">
      <alignment horizontal="center"/>
    </xf>
    <xf numFmtId="1" fontId="0" fillId="0" borderId="23" xfId="0" applyNumberFormat="1" applyFill="1" applyBorder="1" applyAlignment="1">
      <alignment horizontal="center"/>
    </xf>
    <xf numFmtId="1" fontId="11" fillId="4" borderId="23" xfId="0" applyNumberFormat="1" applyFont="1" applyFill="1" applyBorder="1" applyAlignment="1">
      <alignment horizontal="center" vertical="center" wrapText="1"/>
    </xf>
    <xf numFmtId="1" fontId="1" fillId="15" borderId="23" xfId="0" applyNumberFormat="1" applyFont="1" applyFill="1" applyBorder="1" applyAlignment="1">
      <alignment horizontal="left" vertical="center"/>
    </xf>
    <xf numFmtId="1" fontId="0" fillId="0" borderId="27" xfId="0" applyNumberFormat="1" applyFill="1" applyBorder="1" applyAlignment="1">
      <alignment horizontal="center"/>
    </xf>
    <xf numFmtId="1" fontId="11" fillId="9" borderId="10" xfId="1" applyNumberFormat="1" applyFont="1" applyFill="1" applyBorder="1" applyAlignment="1">
      <alignment horizontal="center" wrapText="1"/>
    </xf>
    <xf numFmtId="3" fontId="1" fillId="15" borderId="3" xfId="0" applyNumberFormat="1" applyFont="1" applyFill="1" applyBorder="1" applyAlignment="1">
      <alignment horizontal="left" vertical="center"/>
    </xf>
    <xf numFmtId="3" fontId="11" fillId="9" borderId="9" xfId="1" applyNumberFormat="1" applyFont="1" applyFill="1" applyBorder="1" applyAlignment="1">
      <alignment horizontal="center" wrapText="1"/>
    </xf>
    <xf numFmtId="3" fontId="23" fillId="7" borderId="13" xfId="0" applyNumberFormat="1" applyFont="1" applyFill="1" applyBorder="1" applyAlignment="1">
      <alignment horizontal="left" vertical="center" wrapText="1"/>
    </xf>
    <xf numFmtId="0" fontId="1" fillId="8" borderId="13" xfId="0" applyFont="1" applyFill="1" applyBorder="1" applyAlignment="1">
      <alignment horizontal="left" vertical="center" wrapText="1"/>
    </xf>
    <xf numFmtId="0" fontId="1" fillId="15" borderId="13" xfId="0" applyFont="1" applyFill="1" applyBorder="1" applyAlignment="1">
      <alignment horizontal="left" vertical="center" wrapText="1"/>
    </xf>
    <xf numFmtId="3" fontId="29" fillId="13" borderId="14" xfId="2" applyNumberFormat="1" applyFont="1" applyFill="1" applyBorder="1" applyAlignment="1">
      <alignment horizontal="left" vertical="center" wrapText="1"/>
    </xf>
    <xf numFmtId="3" fontId="29" fillId="13" borderId="27" xfId="2" applyNumberFormat="1" applyFont="1" applyFill="1" applyBorder="1" applyAlignment="1">
      <alignment horizontal="left" vertical="center" wrapText="1"/>
    </xf>
    <xf numFmtId="0" fontId="17" fillId="21" borderId="13" xfId="0" applyFont="1" applyFill="1" applyBorder="1" applyAlignment="1">
      <alignment horizontal="center" vertical="center" wrapText="1"/>
    </xf>
    <xf numFmtId="3" fontId="29" fillId="21" borderId="7" xfId="2" applyNumberFormat="1" applyFont="1" applyFill="1" applyBorder="1" applyAlignment="1">
      <alignment horizontal="left" vertical="center" wrapText="1"/>
    </xf>
    <xf numFmtId="3" fontId="29" fillId="21" borderId="14" xfId="2" applyNumberFormat="1" applyFont="1" applyFill="1" applyBorder="1" applyAlignment="1">
      <alignment horizontal="left" vertical="center" wrapText="1"/>
    </xf>
    <xf numFmtId="3" fontId="29" fillId="21" borderId="27" xfId="2" applyNumberFormat="1" applyFont="1" applyFill="1" applyBorder="1" applyAlignment="1">
      <alignment horizontal="left" vertical="center" wrapText="1"/>
    </xf>
    <xf numFmtId="3" fontId="29" fillId="24" borderId="7" xfId="2" applyNumberFormat="1" applyFont="1" applyFill="1" applyBorder="1" applyAlignment="1">
      <alignment horizontal="left" vertical="center" wrapText="1"/>
    </xf>
    <xf numFmtId="3" fontId="29" fillId="24" borderId="14" xfId="2" applyNumberFormat="1" applyFont="1" applyFill="1" applyBorder="1" applyAlignment="1">
      <alignment horizontal="left" vertical="center" wrapText="1"/>
    </xf>
    <xf numFmtId="3" fontId="29" fillId="24" borderId="27" xfId="2" applyNumberFormat="1" applyFont="1" applyFill="1" applyBorder="1" applyAlignment="1">
      <alignment horizontal="left" vertical="center" wrapText="1"/>
    </xf>
    <xf numFmtId="0" fontId="17" fillId="24" borderId="13" xfId="0" applyFont="1" applyFill="1" applyBorder="1" applyAlignment="1">
      <alignment horizontal="center" vertical="center" wrapText="1"/>
    </xf>
    <xf numFmtId="0" fontId="1" fillId="13" borderId="47" xfId="0" applyFont="1" applyFill="1" applyBorder="1" applyAlignment="1">
      <alignment horizontal="left" vertical="center"/>
    </xf>
    <xf numFmtId="1" fontId="1" fillId="0" borderId="3"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169" fontId="1" fillId="0" borderId="35" xfId="0" applyNumberFormat="1" applyFont="1" applyFill="1" applyBorder="1" applyAlignment="1">
      <alignment horizontal="center"/>
    </xf>
    <xf numFmtId="3" fontId="1" fillId="0" borderId="3" xfId="0" applyNumberFormat="1" applyFont="1" applyFill="1" applyBorder="1" applyAlignment="1">
      <alignment horizontal="center" vertical="center"/>
    </xf>
    <xf numFmtId="3" fontId="1" fillId="0" borderId="7" xfId="0" applyNumberFormat="1" applyFont="1" applyFill="1" applyBorder="1" applyAlignment="1">
      <alignment horizontal="center" vertical="center"/>
    </xf>
    <xf numFmtId="169" fontId="1" fillId="23" borderId="100" xfId="0" applyNumberFormat="1" applyFont="1" applyFill="1" applyBorder="1" applyAlignment="1">
      <alignment horizontal="center" vertical="center"/>
    </xf>
    <xf numFmtId="0" fontId="7" fillId="0" borderId="3" xfId="0" applyFont="1" applyFill="1" applyBorder="1"/>
    <xf numFmtId="0" fontId="8" fillId="0" borderId="7" xfId="0" applyFont="1" applyFill="1" applyBorder="1"/>
    <xf numFmtId="169" fontId="1" fillId="0" borderId="7" xfId="0" applyNumberFormat="1" applyFont="1" applyFill="1" applyBorder="1" applyAlignment="1">
      <alignment horizontal="center"/>
    </xf>
    <xf numFmtId="3" fontId="7" fillId="23" borderId="7" xfId="0" applyNumberFormat="1" applyFont="1" applyFill="1" applyBorder="1" applyAlignment="1">
      <alignment horizontal="center" vertical="center"/>
    </xf>
    <xf numFmtId="3" fontId="14" fillId="0" borderId="0" xfId="0" applyNumberFormat="1" applyFont="1" applyFill="1"/>
    <xf numFmtId="0" fontId="13" fillId="0" borderId="0" xfId="0" applyFont="1" applyFill="1" applyAlignment="1">
      <alignment horizontal="center"/>
    </xf>
    <xf numFmtId="0" fontId="14" fillId="0" borderId="0" xfId="0" applyFont="1" applyFill="1"/>
    <xf numFmtId="0" fontId="8" fillId="4" borderId="14" xfId="0" applyFont="1" applyFill="1" applyBorder="1" applyAlignment="1">
      <alignment horizontal="left" vertical="center"/>
    </xf>
    <xf numFmtId="0" fontId="8" fillId="4" borderId="27" xfId="0" applyFont="1" applyFill="1" applyBorder="1" applyAlignment="1">
      <alignment horizontal="left" vertical="center"/>
    </xf>
    <xf numFmtId="3" fontId="8" fillId="4" borderId="35" xfId="0" applyNumberFormat="1" applyFont="1" applyFill="1" applyBorder="1" applyAlignment="1">
      <alignment horizontal="center" vertical="center" wrapText="1"/>
    </xf>
    <xf numFmtId="169" fontId="1" fillId="18" borderId="100" xfId="0" applyNumberFormat="1" applyFont="1" applyFill="1" applyBorder="1" applyAlignment="1">
      <alignment horizontal="center" vertical="center"/>
    </xf>
    <xf numFmtId="0" fontId="7" fillId="18" borderId="3" xfId="0" applyFont="1" applyFill="1" applyBorder="1"/>
    <xf numFmtId="0" fontId="1" fillId="18" borderId="7" xfId="0" applyFont="1" applyFill="1" applyBorder="1" applyAlignment="1">
      <alignment horizontal="center"/>
    </xf>
    <xf numFmtId="165" fontId="14" fillId="23" borderId="0" xfId="0" applyNumberFormat="1" applyFont="1" applyFill="1" applyAlignment="1">
      <alignment horizontal="center"/>
    </xf>
    <xf numFmtId="0" fontId="17" fillId="17" borderId="28" xfId="0" applyFont="1" applyFill="1" applyBorder="1" applyAlignment="1">
      <alignment horizontal="left" vertical="center" wrapText="1"/>
    </xf>
    <xf numFmtId="0" fontId="17" fillId="6" borderId="23" xfId="0" applyFont="1" applyFill="1" applyBorder="1" applyAlignment="1">
      <alignment horizontal="left" vertical="center" wrapText="1"/>
    </xf>
    <xf numFmtId="0" fontId="11" fillId="10" borderId="13" xfId="0" applyFont="1" applyFill="1" applyBorder="1" applyAlignment="1">
      <alignment horizontal="center" wrapText="1"/>
    </xf>
    <xf numFmtId="3" fontId="1" fillId="0" borderId="35" xfId="0" applyNumberFormat="1" applyFont="1" applyFill="1" applyBorder="1" applyAlignment="1">
      <alignment horizontal="center" vertical="center"/>
    </xf>
    <xf numFmtId="0" fontId="11" fillId="16" borderId="24" xfId="0" applyFont="1" applyFill="1" applyBorder="1"/>
    <xf numFmtId="3" fontId="11" fillId="0" borderId="60" xfId="0" applyNumberFormat="1" applyFont="1" applyFill="1" applyBorder="1" applyAlignment="1">
      <alignment horizontal="center" vertical="center" wrapText="1"/>
    </xf>
    <xf numFmtId="169" fontId="11" fillId="0" borderId="2" xfId="0" applyNumberFormat="1" applyFont="1" applyFill="1" applyBorder="1" applyAlignment="1">
      <alignment horizontal="center" vertical="center" wrapText="1"/>
    </xf>
    <xf numFmtId="0" fontId="11" fillId="20" borderId="22" xfId="0" applyFont="1" applyFill="1" applyBorder="1" applyAlignment="1">
      <alignment horizontal="center" vertical="center" wrapText="1"/>
    </xf>
    <xf numFmtId="0" fontId="17" fillId="64" borderId="28" xfId="0" applyFont="1" applyFill="1" applyBorder="1" applyAlignment="1">
      <alignment horizontal="left" vertical="center" wrapText="1"/>
    </xf>
    <xf numFmtId="0" fontId="11" fillId="20" borderId="14" xfId="0" applyFont="1" applyFill="1" applyBorder="1" applyAlignment="1">
      <alignment horizontal="center" vertical="center" wrapText="1"/>
    </xf>
    <xf numFmtId="0" fontId="11" fillId="20" borderId="27" xfId="0" applyFont="1" applyFill="1" applyBorder="1" applyAlignment="1">
      <alignment horizontal="center" vertical="center" wrapText="1"/>
    </xf>
    <xf numFmtId="3" fontId="11" fillId="65" borderId="14" xfId="0" applyNumberFormat="1" applyFont="1" applyFill="1" applyBorder="1" applyAlignment="1">
      <alignment horizontal="center" vertical="center" wrapText="1"/>
    </xf>
    <xf numFmtId="49" fontId="18" fillId="0" borderId="7" xfId="0" applyNumberFormat="1" applyFont="1" applyFill="1" applyBorder="1" applyAlignment="1">
      <alignment horizontal="right" vertical="center" wrapText="1"/>
    </xf>
    <xf numFmtId="3" fontId="11" fillId="2" borderId="33"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3" fontId="0" fillId="5" borderId="0" xfId="0" applyNumberFormat="1" applyFill="1" applyBorder="1" applyAlignment="1">
      <alignment horizontal="center"/>
    </xf>
    <xf numFmtId="3" fontId="0" fillId="5" borderId="19" xfId="0" applyNumberFormat="1" applyFill="1" applyBorder="1" applyAlignment="1">
      <alignment horizontal="center"/>
    </xf>
    <xf numFmtId="167" fontId="8" fillId="0" borderId="0" xfId="1" applyNumberFormat="1" applyFont="1" applyBorder="1" applyAlignment="1">
      <alignment horizontal="center" wrapText="1"/>
    </xf>
    <xf numFmtId="165" fontId="26" fillId="0" borderId="0" xfId="0" applyNumberFormat="1" applyFont="1" applyAlignment="1">
      <alignment horizontal="center" wrapText="1"/>
    </xf>
    <xf numFmtId="0" fontId="31" fillId="0" borderId="0" xfId="0" applyFont="1" applyBorder="1" applyAlignment="1">
      <alignment horizontal="center" vertical="center"/>
    </xf>
    <xf numFmtId="0" fontId="28" fillId="0" borderId="0" xfId="0" applyFont="1" applyBorder="1" applyAlignment="1">
      <alignment horizontal="center" vertical="top"/>
    </xf>
    <xf numFmtId="0" fontId="24" fillId="64" borderId="28" xfId="0" applyFont="1" applyFill="1" applyBorder="1" applyAlignment="1">
      <alignment horizontal="left" vertical="center"/>
    </xf>
    <xf numFmtId="0" fontId="18" fillId="20" borderId="22" xfId="0" applyFont="1" applyFill="1" applyBorder="1" applyAlignment="1">
      <alignment horizontal="center" vertical="center" wrapText="1"/>
    </xf>
    <xf numFmtId="0" fontId="18" fillId="20" borderId="14" xfId="0" applyFont="1" applyFill="1" applyBorder="1" applyAlignment="1">
      <alignment horizontal="left" vertical="center"/>
    </xf>
    <xf numFmtId="0" fontId="11" fillId="20" borderId="14" xfId="0" applyFont="1" applyFill="1" applyBorder="1" applyAlignment="1">
      <alignment horizontal="left" vertical="center" wrapText="1"/>
    </xf>
    <xf numFmtId="0" fontId="18" fillId="20" borderId="27" xfId="0" applyFont="1" applyFill="1" applyBorder="1" applyAlignment="1">
      <alignment horizontal="left" vertical="center"/>
    </xf>
    <xf numFmtId="169" fontId="18" fillId="0" borderId="5" xfId="0" applyNumberFormat="1" applyFont="1" applyFill="1" applyBorder="1" applyAlignment="1">
      <alignment horizontal="center" vertical="center" wrapText="1"/>
    </xf>
    <xf numFmtId="0" fontId="1" fillId="15" borderId="13" xfId="0" applyFont="1" applyFill="1" applyBorder="1" applyAlignment="1">
      <alignment horizontal="left" vertical="center"/>
    </xf>
    <xf numFmtId="169" fontId="1" fillId="0" borderId="3" xfId="0" applyNumberFormat="1" applyFont="1" applyFill="1" applyBorder="1" applyAlignment="1">
      <alignment horizontal="center" vertical="center"/>
    </xf>
    <xf numFmtId="0" fontId="24" fillId="0" borderId="7" xfId="0" applyFont="1" applyFill="1" applyBorder="1" applyAlignment="1">
      <alignment horizontal="center" vertical="center"/>
    </xf>
    <xf numFmtId="1" fontId="24" fillId="0" borderId="7" xfId="0" applyNumberFormat="1" applyFont="1" applyFill="1" applyBorder="1" applyAlignment="1">
      <alignment horizontal="center" vertical="center"/>
    </xf>
    <xf numFmtId="3" fontId="1" fillId="0" borderId="3" xfId="0" applyNumberFormat="1" applyFont="1" applyFill="1" applyBorder="1" applyAlignment="1"/>
    <xf numFmtId="3" fontId="1" fillId="0" borderId="7" xfId="0" applyNumberFormat="1" applyFont="1" applyFill="1" applyBorder="1" applyAlignment="1"/>
    <xf numFmtId="3" fontId="1" fillId="0" borderId="35" xfId="0" applyNumberFormat="1" applyFont="1" applyFill="1" applyBorder="1" applyAlignment="1"/>
    <xf numFmtId="3" fontId="7" fillId="0" borderId="0" xfId="0" applyNumberFormat="1" applyFont="1" applyFill="1" applyAlignment="1"/>
    <xf numFmtId="165" fontId="17" fillId="0" borderId="7" xfId="0" applyNumberFormat="1" applyFont="1" applyFill="1" applyBorder="1" applyAlignment="1">
      <alignment horizontal="center" vertical="center"/>
    </xf>
    <xf numFmtId="1" fontId="17" fillId="0" borderId="7" xfId="0" applyNumberFormat="1" applyFont="1" applyFill="1" applyBorder="1" applyAlignment="1">
      <alignment horizontal="center" vertical="center"/>
    </xf>
    <xf numFmtId="0" fontId="28" fillId="0" borderId="0" xfId="0" applyFont="1" applyBorder="1" applyAlignment="1">
      <alignment vertical="top"/>
    </xf>
    <xf numFmtId="0" fontId="0" fillId="18" borderId="0" xfId="0" applyFill="1" applyBorder="1" applyAlignment="1">
      <alignment vertical="center" wrapText="1"/>
    </xf>
    <xf numFmtId="0" fontId="7" fillId="0" borderId="32" xfId="0" applyFont="1" applyBorder="1" applyAlignment="1">
      <alignment horizontal="center" wrapText="1"/>
    </xf>
    <xf numFmtId="0" fontId="7" fillId="0" borderId="34" xfId="0" applyFont="1" applyBorder="1" applyAlignment="1">
      <alignment horizontal="center" wrapText="1"/>
    </xf>
    <xf numFmtId="3" fontId="52" fillId="2" borderId="33" xfId="0" applyNumberFormat="1" applyFont="1" applyFill="1" applyBorder="1" applyAlignment="1">
      <alignment horizontal="center" vertical="center" wrapText="1"/>
    </xf>
    <xf numFmtId="3" fontId="52" fillId="0" borderId="33" xfId="0" applyNumberFormat="1" applyFont="1" applyBorder="1" applyAlignment="1">
      <alignment horizontal="center" vertical="center" wrapText="1"/>
    </xf>
    <xf numFmtId="3" fontId="52" fillId="0" borderId="86" xfId="0" applyNumberFormat="1" applyFont="1" applyBorder="1" applyAlignment="1">
      <alignment horizontal="center" vertical="center" wrapText="1"/>
    </xf>
    <xf numFmtId="3" fontId="52" fillId="2" borderId="1" xfId="0" applyNumberFormat="1" applyFont="1" applyFill="1" applyBorder="1" applyAlignment="1">
      <alignment horizontal="center" vertical="center" wrapText="1"/>
    </xf>
    <xf numFmtId="3" fontId="52" fillId="0" borderId="1" xfId="0" applyNumberFormat="1" applyFont="1" applyBorder="1" applyAlignment="1">
      <alignment horizontal="center" vertical="center" wrapText="1"/>
    </xf>
    <xf numFmtId="3" fontId="52" fillId="0" borderId="59" xfId="0" applyNumberFormat="1"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44" xfId="0" applyFont="1" applyBorder="1" applyAlignment="1">
      <alignment horizontal="center" vertical="center" wrapText="1"/>
    </xf>
    <xf numFmtId="0" fontId="7" fillId="18" borderId="12" xfId="0" applyFont="1" applyFill="1" applyBorder="1" applyAlignment="1">
      <alignment vertical="center" wrapText="1"/>
    </xf>
    <xf numFmtId="0" fontId="8" fillId="18" borderId="12" xfId="0" applyFont="1" applyFill="1" applyBorder="1" applyAlignment="1">
      <alignment vertical="center" wrapText="1"/>
    </xf>
    <xf numFmtId="0" fontId="8" fillId="18" borderId="0" xfId="0" applyFont="1" applyFill="1" applyBorder="1" applyAlignment="1">
      <alignment vertical="center" wrapText="1"/>
    </xf>
    <xf numFmtId="0" fontId="31" fillId="0" borderId="16" xfId="0" applyFont="1" applyBorder="1" applyAlignment="1">
      <alignment horizontal="center" vertical="center"/>
    </xf>
    <xf numFmtId="0" fontId="31" fillId="0" borderId="0" xfId="0" applyFont="1" applyAlignment="1">
      <alignment horizontal="center" vertical="center"/>
    </xf>
    <xf numFmtId="0" fontId="28" fillId="0" borderId="0" xfId="0" applyFont="1" applyAlignment="1">
      <alignment horizontal="center" vertical="center"/>
    </xf>
    <xf numFmtId="0" fontId="28" fillId="18" borderId="12" xfId="0" applyFont="1" applyFill="1" applyBorder="1"/>
    <xf numFmtId="0" fontId="28" fillId="18" borderId="0" xfId="0" applyFont="1" applyFill="1" applyBorder="1"/>
    <xf numFmtId="3" fontId="0" fillId="5" borderId="45" xfId="0" applyNumberFormat="1" applyFill="1" applyBorder="1" applyAlignment="1">
      <alignment horizontal="center"/>
    </xf>
    <xf numFmtId="0" fontId="0" fillId="5" borderId="45" xfId="0" applyFill="1" applyBorder="1" applyAlignment="1">
      <alignment horizontal="center"/>
    </xf>
    <xf numFmtId="0" fontId="0" fillId="5" borderId="87" xfId="0" applyFill="1" applyBorder="1" applyAlignment="1">
      <alignment horizontal="center"/>
    </xf>
    <xf numFmtId="3" fontId="0" fillId="5" borderId="0" xfId="0" applyNumberFormat="1" applyFill="1" applyBorder="1" applyAlignment="1">
      <alignment horizontal="center"/>
    </xf>
    <xf numFmtId="0" fontId="0" fillId="5" borderId="0" xfId="0" applyFill="1" applyBorder="1" applyAlignment="1">
      <alignment horizontal="center"/>
    </xf>
    <xf numFmtId="0" fontId="0" fillId="5" borderId="88" xfId="0" applyFill="1" applyBorder="1" applyAlignment="1">
      <alignment horizontal="center"/>
    </xf>
    <xf numFmtId="3" fontId="0" fillId="5" borderId="19" xfId="0" applyNumberFormat="1" applyFill="1" applyBorder="1" applyAlignment="1">
      <alignment horizontal="center"/>
    </xf>
    <xf numFmtId="0" fontId="0" fillId="5" borderId="19" xfId="0" applyFill="1" applyBorder="1" applyAlignment="1">
      <alignment horizontal="center"/>
    </xf>
    <xf numFmtId="0" fontId="0" fillId="5" borderId="66" xfId="0" applyFill="1" applyBorder="1" applyAlignment="1">
      <alignment horizontal="center"/>
    </xf>
    <xf numFmtId="0" fontId="0" fillId="18" borderId="12" xfId="0" applyFill="1" applyBorder="1"/>
    <xf numFmtId="0" fontId="0" fillId="18" borderId="0" xfId="0" applyFill="1" applyBorder="1"/>
    <xf numFmtId="0" fontId="7" fillId="18" borderId="12" xfId="0" applyFont="1" applyFill="1" applyBorder="1"/>
    <xf numFmtId="0" fontId="8" fillId="18" borderId="12" xfId="0" applyFont="1" applyFill="1" applyBorder="1" applyAlignment="1">
      <alignment horizontal="left" vertical="center"/>
    </xf>
    <xf numFmtId="0" fontId="8" fillId="18" borderId="0" xfId="0" applyFont="1" applyFill="1" applyBorder="1" applyAlignment="1">
      <alignment horizontal="left" vertical="center"/>
    </xf>
    <xf numFmtId="3" fontId="51" fillId="2" borderId="33" xfId="0" applyNumberFormat="1" applyFont="1" applyFill="1" applyBorder="1" applyAlignment="1">
      <alignment horizontal="center" vertical="center" wrapText="1"/>
    </xf>
    <xf numFmtId="3" fontId="51" fillId="0" borderId="33" xfId="0" applyNumberFormat="1" applyFont="1" applyBorder="1" applyAlignment="1">
      <alignment horizontal="center" vertical="center" wrapText="1"/>
    </xf>
    <xf numFmtId="3" fontId="51" fillId="0" borderId="86" xfId="0" applyNumberFormat="1" applyFont="1" applyBorder="1" applyAlignment="1">
      <alignment horizontal="center" vertical="center" wrapText="1"/>
    </xf>
    <xf numFmtId="3" fontId="51" fillId="2" borderId="1" xfId="0" applyNumberFormat="1" applyFont="1" applyFill="1" applyBorder="1" applyAlignment="1">
      <alignment horizontal="center" vertical="center" wrapText="1"/>
    </xf>
    <xf numFmtId="3" fontId="51" fillId="0" borderId="1" xfId="0" applyNumberFormat="1" applyFont="1" applyBorder="1" applyAlignment="1">
      <alignment horizontal="center" vertical="center" wrapText="1"/>
    </xf>
    <xf numFmtId="3" fontId="51" fillId="0" borderId="59" xfId="0" applyNumberFormat="1" applyFont="1" applyBorder="1" applyAlignment="1">
      <alignment horizontal="center" vertical="center" wrapText="1"/>
    </xf>
    <xf numFmtId="167" fontId="8" fillId="0" borderId="0" xfId="1" applyNumberFormat="1" applyFont="1" applyBorder="1" applyAlignment="1">
      <alignment horizontal="center" wrapText="1"/>
    </xf>
    <xf numFmtId="0" fontId="31" fillId="0" borderId="0"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Border="1" applyAlignment="1">
      <alignment horizontal="center" vertical="top"/>
    </xf>
    <xf numFmtId="3" fontId="54" fillId="0" borderId="33" xfId="0" applyNumberFormat="1" applyFont="1" applyBorder="1" applyAlignment="1">
      <alignment horizontal="center" vertical="center" wrapText="1"/>
    </xf>
    <xf numFmtId="3" fontId="54" fillId="0" borderId="86" xfId="0" applyNumberFormat="1" applyFont="1" applyBorder="1" applyAlignment="1">
      <alignment horizontal="center" vertical="center" wrapText="1"/>
    </xf>
    <xf numFmtId="0" fontId="18" fillId="0" borderId="1" xfId="0" applyFont="1" applyBorder="1" applyAlignment="1">
      <alignment horizontal="center" vertical="center"/>
    </xf>
    <xf numFmtId="0" fontId="18" fillId="18" borderId="12" xfId="0" applyFont="1" applyFill="1" applyBorder="1"/>
    <xf numFmtId="0" fontId="18" fillId="18" borderId="0" xfId="0" applyFont="1" applyFill="1" applyBorder="1"/>
    <xf numFmtId="0" fontId="11" fillId="18" borderId="12" xfId="0" applyFont="1" applyFill="1" applyBorder="1" applyAlignment="1">
      <alignment horizontal="left" vertical="center"/>
    </xf>
    <xf numFmtId="0" fontId="11" fillId="18" borderId="0" xfId="0" applyFont="1" applyFill="1" applyBorder="1" applyAlignment="1">
      <alignment horizontal="left" vertical="center"/>
    </xf>
    <xf numFmtId="0" fontId="11" fillId="0" borderId="0" xfId="0" applyFont="1" applyFill="1" applyBorder="1" applyAlignment="1">
      <alignment horizontal="center" vertical="center" wrapText="1"/>
    </xf>
    <xf numFmtId="0" fontId="18" fillId="0" borderId="32" xfId="0" applyFont="1" applyBorder="1" applyAlignment="1">
      <alignment horizontal="center" wrapText="1"/>
    </xf>
    <xf numFmtId="0" fontId="18" fillId="0" borderId="34" xfId="0" applyFont="1" applyBorder="1" applyAlignment="1">
      <alignment horizontal="center" wrapText="1"/>
    </xf>
    <xf numFmtId="3" fontId="17" fillId="2" borderId="33" xfId="0" applyNumberFormat="1" applyFont="1" applyFill="1" applyBorder="1" applyAlignment="1">
      <alignment horizontal="center" vertical="center" wrapText="1"/>
    </xf>
    <xf numFmtId="3" fontId="17" fillId="0" borderId="33" xfId="0" applyNumberFormat="1" applyFont="1" applyBorder="1" applyAlignment="1">
      <alignment horizontal="center" vertical="center" wrapText="1"/>
    </xf>
    <xf numFmtId="3" fontId="17" fillId="0" borderId="86" xfId="0" applyNumberFormat="1" applyFont="1" applyBorder="1" applyAlignment="1">
      <alignment horizontal="center" vertical="center" wrapText="1"/>
    </xf>
    <xf numFmtId="3" fontId="17" fillId="2" borderId="1" xfId="0" applyNumberFormat="1" applyFont="1" applyFill="1" applyBorder="1" applyAlignment="1">
      <alignment horizontal="center" vertical="center" wrapText="1"/>
    </xf>
    <xf numFmtId="3" fontId="17" fillId="0" borderId="1" xfId="0" applyNumberFormat="1" applyFont="1" applyBorder="1" applyAlignment="1">
      <alignment horizontal="center" vertical="center" wrapText="1"/>
    </xf>
    <xf numFmtId="3" fontId="17" fillId="0" borderId="59" xfId="0" applyNumberFormat="1" applyFont="1" applyBorder="1" applyAlignment="1">
      <alignment horizontal="center" vertical="center" wrapText="1"/>
    </xf>
    <xf numFmtId="0" fontId="7" fillId="0" borderId="1" xfId="0" applyFont="1" applyBorder="1" applyAlignment="1">
      <alignment horizontal="center" wrapText="1"/>
    </xf>
    <xf numFmtId="3" fontId="7" fillId="2" borderId="1" xfId="0" applyNumberFormat="1" applyFont="1" applyFill="1" applyBorder="1" applyAlignment="1">
      <alignment horizontal="center" vertical="center" wrapText="1"/>
    </xf>
    <xf numFmtId="3" fontId="12"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0" fontId="32" fillId="0" borderId="31" xfId="0" applyFont="1" applyBorder="1" applyAlignment="1">
      <alignment horizontal="center" vertical="center" wrapText="1"/>
    </xf>
    <xf numFmtId="0" fontId="0" fillId="18" borderId="41" xfId="0" applyFill="1" applyBorder="1"/>
  </cellXfs>
  <cellStyles count="47">
    <cellStyle name="20% - Énfasis1" xfId="22" builtinId="30" customBuiltin="1"/>
    <cellStyle name="20% - Énfasis2" xfId="26" builtinId="34" customBuiltin="1"/>
    <cellStyle name="20% - Énfasis3" xfId="30" builtinId="38" customBuiltin="1"/>
    <cellStyle name="20% - Énfasis4" xfId="34" builtinId="42" customBuiltin="1"/>
    <cellStyle name="20% - Énfasis5" xfId="38" builtinId="46" customBuiltin="1"/>
    <cellStyle name="20% - Énfasis6" xfId="42" builtinId="50" customBuiltin="1"/>
    <cellStyle name="40% - Énfasis1" xfId="23" builtinId="31" customBuiltin="1"/>
    <cellStyle name="40% - Énfasis2" xfId="27" builtinId="35" customBuiltin="1"/>
    <cellStyle name="40% - Énfasis3" xfId="31" builtinId="39" customBuiltin="1"/>
    <cellStyle name="40% - Énfasis4" xfId="35" builtinId="43" customBuiltin="1"/>
    <cellStyle name="40% - Énfasis5" xfId="39" builtinId="47" customBuiltin="1"/>
    <cellStyle name="40% - Énfasis6" xfId="43" builtinId="51" customBuiltin="1"/>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a" xfId="10" builtinId="26" customBuiltin="1"/>
    <cellStyle name="Cálculo" xfId="15" builtinId="22" customBuiltin="1"/>
    <cellStyle name="Celda de comprobación" xfId="17" builtinId="23" customBuiltin="1"/>
    <cellStyle name="Celda vinculada" xfId="16" builtinId="24" customBuiltin="1"/>
    <cellStyle name="Encabezado 4" xfId="9"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3" builtinId="20" customBuiltin="1"/>
    <cellStyle name="Incorrecto" xfId="11" builtinId="27" customBuiltin="1"/>
    <cellStyle name="Millares" xfId="1" builtinId="3"/>
    <cellStyle name="Neutral" xfId="12" builtinId="28" customBuiltin="1"/>
    <cellStyle name="Normal" xfId="0" builtinId="0"/>
    <cellStyle name="Normal 2" xfId="4"/>
    <cellStyle name="Normal 3" xfId="2"/>
    <cellStyle name="Normal 4" xfId="45"/>
    <cellStyle name="Normal 5" xfId="3"/>
    <cellStyle name="Notas 2" xfId="46"/>
    <cellStyle name="Salida" xfId="14" builtinId="21" customBuiltin="1"/>
    <cellStyle name="Texto de advertencia" xfId="18" builtinId="11" customBuiltin="1"/>
    <cellStyle name="Texto explicativo" xfId="19" builtinId="53" customBuiltin="1"/>
    <cellStyle name="Título" xfId="5" builtinId="15" customBuiltin="1"/>
    <cellStyle name="Título 1" xfId="6" builtinId="16" customBuiltin="1"/>
    <cellStyle name="Título 2" xfId="7" builtinId="17" customBuiltin="1"/>
    <cellStyle name="Título 3" xfId="8" builtinId="18" customBuiltin="1"/>
    <cellStyle name="Total" xfId="20" builtinId="25" customBuiltin="1"/>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00"/>
      <color rgb="FFFFFFFF"/>
      <color rgb="FFFF9900"/>
      <color rgb="FFFFCC66"/>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35719</xdr:rowOff>
    </xdr:from>
    <xdr:to>
      <xdr:col>0</xdr:col>
      <xdr:colOff>1257300</xdr:colOff>
      <xdr:row>1</xdr:row>
      <xdr:rowOff>492919</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35719"/>
          <a:ext cx="1066800" cy="1004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988219</xdr:colOff>
      <xdr:row>41</xdr:row>
      <xdr:rowOff>238124</xdr:rowOff>
    </xdr:from>
    <xdr:to>
      <xdr:col>4</xdr:col>
      <xdr:colOff>1000125</xdr:colOff>
      <xdr:row>41</xdr:row>
      <xdr:rowOff>238124</xdr:rowOff>
    </xdr:to>
    <xdr:cxnSp macro="">
      <xdr:nvCxnSpPr>
        <xdr:cNvPr id="8" name="Conector recto 7"/>
        <xdr:cNvCxnSpPr/>
      </xdr:nvCxnSpPr>
      <xdr:spPr>
        <a:xfrm>
          <a:off x="3905250" y="10715624"/>
          <a:ext cx="29289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511969</xdr:colOff>
      <xdr:row>41</xdr:row>
      <xdr:rowOff>261937</xdr:rowOff>
    </xdr:from>
    <xdr:to>
      <xdr:col>6</xdr:col>
      <xdr:colOff>916781</xdr:colOff>
      <xdr:row>41</xdr:row>
      <xdr:rowOff>261937</xdr:rowOff>
    </xdr:to>
    <xdr:cxnSp macro="">
      <xdr:nvCxnSpPr>
        <xdr:cNvPr id="10" name="Conector recto 9"/>
        <xdr:cNvCxnSpPr/>
      </xdr:nvCxnSpPr>
      <xdr:spPr>
        <a:xfrm>
          <a:off x="7334250" y="8477250"/>
          <a:ext cx="2095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202405</xdr:colOff>
      <xdr:row>0</xdr:row>
      <xdr:rowOff>59531</xdr:rowOff>
    </xdr:from>
    <xdr:to>
      <xdr:col>0</xdr:col>
      <xdr:colOff>1273968</xdr:colOff>
      <xdr:row>1</xdr:row>
      <xdr:rowOff>516731</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405" y="59531"/>
          <a:ext cx="1071563" cy="1004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547686</xdr:colOff>
      <xdr:row>57</xdr:row>
      <xdr:rowOff>0</xdr:rowOff>
    </xdr:from>
    <xdr:to>
      <xdr:col>3</xdr:col>
      <xdr:colOff>1643061</xdr:colOff>
      <xdr:row>57</xdr:row>
      <xdr:rowOff>0</xdr:rowOff>
    </xdr:to>
    <xdr:cxnSp macro="">
      <xdr:nvCxnSpPr>
        <xdr:cNvPr id="4" name="Conector recto 3"/>
        <xdr:cNvCxnSpPr/>
      </xdr:nvCxnSpPr>
      <xdr:spPr>
        <a:xfrm>
          <a:off x="3536155" y="15728156"/>
          <a:ext cx="29765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928687</xdr:colOff>
      <xdr:row>57</xdr:row>
      <xdr:rowOff>0</xdr:rowOff>
    </xdr:from>
    <xdr:to>
      <xdr:col>6</xdr:col>
      <xdr:colOff>923343</xdr:colOff>
      <xdr:row>57</xdr:row>
      <xdr:rowOff>0</xdr:rowOff>
    </xdr:to>
    <xdr:cxnSp macro="">
      <xdr:nvCxnSpPr>
        <xdr:cNvPr id="5" name="Conector recto 4"/>
        <xdr:cNvCxnSpPr/>
      </xdr:nvCxnSpPr>
      <xdr:spPr>
        <a:xfrm>
          <a:off x="8036718" y="15728156"/>
          <a:ext cx="38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416718</xdr:colOff>
      <xdr:row>0</xdr:row>
      <xdr:rowOff>59531</xdr:rowOff>
    </xdr:from>
    <xdr:to>
      <xdr:col>0</xdr:col>
      <xdr:colOff>1316718</xdr:colOff>
      <xdr:row>1</xdr:row>
      <xdr:rowOff>492628</xdr:rowOff>
    </xdr:to>
    <xdr:pic>
      <xdr:nvPicPr>
        <xdr:cNvPr id="5"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718" y="59531"/>
          <a:ext cx="900000" cy="968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690562</xdr:colOff>
      <xdr:row>55</xdr:row>
      <xdr:rowOff>0</xdr:rowOff>
    </xdr:from>
    <xdr:to>
      <xdr:col>4</xdr:col>
      <xdr:colOff>2274094</xdr:colOff>
      <xdr:row>55</xdr:row>
      <xdr:rowOff>0</xdr:rowOff>
    </xdr:to>
    <xdr:cxnSp macro="">
      <xdr:nvCxnSpPr>
        <xdr:cNvPr id="6" name="Conector recto 5"/>
        <xdr:cNvCxnSpPr/>
      </xdr:nvCxnSpPr>
      <xdr:spPr>
        <a:xfrm>
          <a:off x="5512593" y="19240500"/>
          <a:ext cx="341709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619125</xdr:colOff>
      <xdr:row>55</xdr:row>
      <xdr:rowOff>0</xdr:rowOff>
    </xdr:from>
    <xdr:to>
      <xdr:col>6</xdr:col>
      <xdr:colOff>1321594</xdr:colOff>
      <xdr:row>55</xdr:row>
      <xdr:rowOff>0</xdr:rowOff>
    </xdr:to>
    <xdr:cxnSp macro="">
      <xdr:nvCxnSpPr>
        <xdr:cNvPr id="7" name="Conector recto 6"/>
        <xdr:cNvCxnSpPr/>
      </xdr:nvCxnSpPr>
      <xdr:spPr>
        <a:xfrm>
          <a:off x="9989344" y="19240500"/>
          <a:ext cx="33932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321467</xdr:colOff>
      <xdr:row>0</xdr:row>
      <xdr:rowOff>59531</xdr:rowOff>
    </xdr:from>
    <xdr:to>
      <xdr:col>0</xdr:col>
      <xdr:colOff>1654968</xdr:colOff>
      <xdr:row>1</xdr:row>
      <xdr:rowOff>492628</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467" y="59531"/>
          <a:ext cx="1333501" cy="966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583406</xdr:colOff>
      <xdr:row>40</xdr:row>
      <xdr:rowOff>164306</xdr:rowOff>
    </xdr:from>
    <xdr:to>
      <xdr:col>3</xdr:col>
      <xdr:colOff>1559531</xdr:colOff>
      <xdr:row>40</xdr:row>
      <xdr:rowOff>164306</xdr:rowOff>
    </xdr:to>
    <xdr:cxnSp macro="">
      <xdr:nvCxnSpPr>
        <xdr:cNvPr id="3" name="Conector recto 2"/>
        <xdr:cNvCxnSpPr/>
      </xdr:nvCxnSpPr>
      <xdr:spPr>
        <a:xfrm>
          <a:off x="4174331" y="12537281"/>
          <a:ext cx="30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535781</xdr:colOff>
      <xdr:row>40</xdr:row>
      <xdr:rowOff>154781</xdr:rowOff>
    </xdr:from>
    <xdr:to>
      <xdr:col>6</xdr:col>
      <xdr:colOff>1214437</xdr:colOff>
      <xdr:row>40</xdr:row>
      <xdr:rowOff>154781</xdr:rowOff>
    </xdr:to>
    <xdr:cxnSp macro="">
      <xdr:nvCxnSpPr>
        <xdr:cNvPr id="4" name="Conector recto 3"/>
        <xdr:cNvCxnSpPr/>
      </xdr:nvCxnSpPr>
      <xdr:spPr>
        <a:xfrm>
          <a:off x="9527381" y="12527756"/>
          <a:ext cx="237410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321467</xdr:colOff>
      <xdr:row>0</xdr:row>
      <xdr:rowOff>59531</xdr:rowOff>
    </xdr:from>
    <xdr:to>
      <xdr:col>0</xdr:col>
      <xdr:colOff>1654968</xdr:colOff>
      <xdr:row>1</xdr:row>
      <xdr:rowOff>492628</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467" y="59531"/>
          <a:ext cx="1333501" cy="968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583406</xdr:colOff>
      <xdr:row>40</xdr:row>
      <xdr:rowOff>164306</xdr:rowOff>
    </xdr:from>
    <xdr:to>
      <xdr:col>3</xdr:col>
      <xdr:colOff>1559531</xdr:colOff>
      <xdr:row>40</xdr:row>
      <xdr:rowOff>164306</xdr:rowOff>
    </xdr:to>
    <xdr:cxnSp macro="">
      <xdr:nvCxnSpPr>
        <xdr:cNvPr id="3" name="Conector recto 2"/>
        <xdr:cNvCxnSpPr/>
      </xdr:nvCxnSpPr>
      <xdr:spPr>
        <a:xfrm>
          <a:off x="4179094" y="10415587"/>
          <a:ext cx="30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535781</xdr:colOff>
      <xdr:row>40</xdr:row>
      <xdr:rowOff>154781</xdr:rowOff>
    </xdr:from>
    <xdr:to>
      <xdr:col>6</xdr:col>
      <xdr:colOff>1214437</xdr:colOff>
      <xdr:row>40</xdr:row>
      <xdr:rowOff>154781</xdr:rowOff>
    </xdr:to>
    <xdr:cxnSp macro="">
      <xdr:nvCxnSpPr>
        <xdr:cNvPr id="4" name="Conector recto 3"/>
        <xdr:cNvCxnSpPr/>
      </xdr:nvCxnSpPr>
      <xdr:spPr>
        <a:xfrm>
          <a:off x="8012906" y="10894219"/>
          <a:ext cx="20597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284513</xdr:colOff>
      <xdr:row>0</xdr:row>
      <xdr:rowOff>98961</xdr:rowOff>
    </xdr:from>
    <xdr:to>
      <xdr:col>0</xdr:col>
      <xdr:colOff>1523215</xdr:colOff>
      <xdr:row>1</xdr:row>
      <xdr:rowOff>467045</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4513" y="98961"/>
          <a:ext cx="1238702"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1619094</xdr:colOff>
      <xdr:row>65</xdr:row>
      <xdr:rowOff>210292</xdr:rowOff>
    </xdr:from>
    <xdr:to>
      <xdr:col>5</xdr:col>
      <xdr:colOff>903019</xdr:colOff>
      <xdr:row>65</xdr:row>
      <xdr:rowOff>238650</xdr:rowOff>
    </xdr:to>
    <xdr:cxnSp macro="">
      <xdr:nvCxnSpPr>
        <xdr:cNvPr id="3" name="Conector recto 2"/>
        <xdr:cNvCxnSpPr/>
      </xdr:nvCxnSpPr>
      <xdr:spPr>
        <a:xfrm flipV="1">
          <a:off x="5033250" y="20113831"/>
          <a:ext cx="4801003" cy="283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210138</xdr:colOff>
      <xdr:row>65</xdr:row>
      <xdr:rowOff>222663</xdr:rowOff>
    </xdr:from>
    <xdr:to>
      <xdr:col>6</xdr:col>
      <xdr:colOff>2560618</xdr:colOff>
      <xdr:row>65</xdr:row>
      <xdr:rowOff>222663</xdr:rowOff>
    </xdr:to>
    <xdr:cxnSp macro="">
      <xdr:nvCxnSpPr>
        <xdr:cNvPr id="4" name="Conector recto 3"/>
        <xdr:cNvCxnSpPr/>
      </xdr:nvCxnSpPr>
      <xdr:spPr>
        <a:xfrm>
          <a:off x="12184424" y="20126202"/>
          <a:ext cx="23504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476250</xdr:colOff>
      <xdr:row>0</xdr:row>
      <xdr:rowOff>47625</xdr:rowOff>
    </xdr:from>
    <xdr:to>
      <xdr:col>0</xdr:col>
      <xdr:colOff>1924050</xdr:colOff>
      <xdr:row>1</xdr:row>
      <xdr:rowOff>504825</xdr:rowOff>
    </xdr:to>
    <xdr:pic>
      <xdr:nvPicPr>
        <xdr:cNvPr id="2" name="1 Imagen" descr="IDPCBY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47625"/>
          <a:ext cx="14478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476250</xdr:colOff>
      <xdr:row>0</xdr:row>
      <xdr:rowOff>47625</xdr:rowOff>
    </xdr:from>
    <xdr:to>
      <xdr:col>0</xdr:col>
      <xdr:colOff>1924050</xdr:colOff>
      <xdr:row>1</xdr:row>
      <xdr:rowOff>504825</xdr:rowOff>
    </xdr:to>
    <xdr:pic>
      <xdr:nvPicPr>
        <xdr:cNvPr id="3" name="1 Imagen" descr="IDPCBY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47625"/>
          <a:ext cx="14478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476250</xdr:colOff>
      <xdr:row>0</xdr:row>
      <xdr:rowOff>47625</xdr:rowOff>
    </xdr:from>
    <xdr:to>
      <xdr:col>0</xdr:col>
      <xdr:colOff>1924050</xdr:colOff>
      <xdr:row>1</xdr:row>
      <xdr:rowOff>504825</xdr:rowOff>
    </xdr:to>
    <xdr:pic>
      <xdr:nvPicPr>
        <xdr:cNvPr id="4" name="1 Imagen" descr="IDPCBY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47625"/>
          <a:ext cx="14478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476250</xdr:colOff>
      <xdr:row>0</xdr:row>
      <xdr:rowOff>47625</xdr:rowOff>
    </xdr:from>
    <xdr:to>
      <xdr:col>0</xdr:col>
      <xdr:colOff>1924050</xdr:colOff>
      <xdr:row>1</xdr:row>
      <xdr:rowOff>504825</xdr:rowOff>
    </xdr:to>
    <xdr:pic>
      <xdr:nvPicPr>
        <xdr:cNvPr id="5" name="1 Imagen" descr="IDPCBY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47625"/>
          <a:ext cx="14478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Orlando_Arias\2018\PAA\5.Mayo\SEGUIMIENTO_PAA_POAI_MAY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lando_Arias\2018\Reporte_PREDIS\8.Agosto\1112_OP_AGO1-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Orlando_Arias\2018\Reporte_PREDIS\8.Agosto\1112_OP_AGO1-14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24"/>
      <sheetName val="1107"/>
      <sheetName val="1110"/>
      <sheetName val="1112"/>
      <sheetName val="1114"/>
      <sheetName val="Listas"/>
      <sheetName val="Seguimiento_PAA"/>
      <sheetName val="SECOP"/>
      <sheetName val="Hoja1"/>
      <sheetName val="Seguimiento POAI"/>
      <sheetName val="Validación_Conceptos"/>
      <sheetName val="Validación_Componentes"/>
      <sheetName val="Estimación CRP"/>
    </sheetNames>
    <sheetDataSet>
      <sheetData sheetId="0"/>
      <sheetData sheetId="1"/>
      <sheetData sheetId="2"/>
      <sheetData sheetId="3"/>
      <sheetData sheetId="4"/>
      <sheetData sheetId="5">
        <row r="60">
          <cell r="A60" t="str">
            <v>Licitación pública</v>
          </cell>
        </row>
        <row r="61">
          <cell r="A61" t="str">
            <v>Concurso de méritos con precalificación</v>
          </cell>
        </row>
        <row r="62">
          <cell r="A62" t="str">
            <v>Concurso de méritos</v>
          </cell>
        </row>
        <row r="63">
          <cell r="A63" t="str">
            <v>Contratación directa (con ofertas)</v>
          </cell>
        </row>
        <row r="64">
          <cell r="A64" t="str">
            <v>Menor cuantía</v>
          </cell>
        </row>
        <row r="65">
          <cell r="A65" t="str">
            <v>Subasta inversa</v>
          </cell>
        </row>
        <row r="66">
          <cell r="A66" t="str">
            <v>Mínima cuantía</v>
          </cell>
        </row>
        <row r="67">
          <cell r="A67" t="str">
            <v>Contratación directa</v>
          </cell>
        </row>
        <row r="68">
          <cell r="A68" t="str">
            <v>Contratación directa / Contrato Interadministrativo</v>
          </cell>
        </row>
        <row r="69">
          <cell r="A69" t="str">
            <v>Contratación directa / Convenio de Asociación</v>
          </cell>
        </row>
        <row r="70">
          <cell r="A70" t="str">
            <v>Contratación directa / Convenio Interadministrativo</v>
          </cell>
        </row>
        <row r="71">
          <cell r="A71" t="str">
            <v>Contratación directa / Prestación de servicios profesionales y de apoyo a la gestión</v>
          </cell>
        </row>
        <row r="72">
          <cell r="A72" t="str">
            <v>Acuerdo marco de precios</v>
          </cell>
        </row>
        <row r="73">
          <cell r="A73" t="str">
            <v>No aplica</v>
          </cell>
        </row>
        <row r="77">
          <cell r="A77" t="str">
            <v>Juan Fernando Acosta Mirkow (Subdirección de Gestión Corporativa)</v>
          </cell>
        </row>
        <row r="78">
          <cell r="A78" t="str">
            <v>Dorys Patricia Noy (Subdirección de Intervención)</v>
          </cell>
        </row>
        <row r="79">
          <cell r="A79" t="str">
            <v>Margarita Lucía Castañeda Vargas (Subdirección de Divulgación)</v>
          </cell>
        </row>
        <row r="80">
          <cell r="A80" t="str">
            <v>María Victoria Villamil Páez (Subdirección General)</v>
          </cell>
        </row>
        <row r="85">
          <cell r="I85" t="str">
            <v>01-Recursos del Distrito 12-Otros Distrito</v>
          </cell>
        </row>
        <row r="86">
          <cell r="I86" t="str">
            <v>01-Recursos del Distrito 265-Recursos de Balance Plusvalía</v>
          </cell>
        </row>
        <row r="87">
          <cell r="I87" t="str">
            <v>01-Recursos del Distrito 41-Plusvalía</v>
          </cell>
        </row>
        <row r="88">
          <cell r="I88" t="str">
            <v>01-Recursos del Distrito 555-Impuesto al Consumo de Telefonía Móvil</v>
          </cell>
        </row>
        <row r="89">
          <cell r="I89" t="str">
            <v>03-Recursos Administrados 20-Administrados de Destinación Específica</v>
          </cell>
        </row>
        <row r="90">
          <cell r="I90" t="str">
            <v>03-Recursos Administrados 21-Administrados de Libre Destinación</v>
          </cell>
        </row>
        <row r="91">
          <cell r="I91" t="str">
            <v>03-Recursos Administrados 490-Rendimientos Financieros de Libre Destinación</v>
          </cell>
        </row>
        <row r="108">
          <cell r="A108" t="str">
            <v>1024  Formación en patrimonio cultural</v>
          </cell>
        </row>
        <row r="109">
          <cell r="A109" t="str">
            <v>1107. Divulgación y apropiación del patrimonio cultural del Distrito Capital</v>
          </cell>
        </row>
        <row r="110">
          <cell r="A110" t="str">
            <v>1110. Fortalecimiento y desarrollo de la gestión institucional</v>
          </cell>
        </row>
        <row r="111">
          <cell r="A111" t="str">
            <v>1112. Instrumentos de planeación y gestión para la preservación y sostenibilidad del patrimonio cultural</v>
          </cell>
        </row>
        <row r="112">
          <cell r="A112" t="str">
            <v>1114. Intervención y conservación de los bienes muebles e inmuebles en sectores de interés cultural del Distrito Capital</v>
          </cell>
        </row>
        <row r="113">
          <cell r="A113" t="str">
            <v>Funcionamiento Gastos Generales</v>
          </cell>
        </row>
        <row r="114">
          <cell r="A114" t="str">
            <v>Funcionamiento Servicios Personales</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2">
          <cell r="N2">
            <v>44</v>
          </cell>
          <cell r="O2">
            <v>8</v>
          </cell>
          <cell r="P2" t="str">
            <v>Camilo hernando trujillo ruiz</v>
          </cell>
          <cell r="Q2" t="str">
            <v>CONTRATO DE PRESTACION DE SERVICIOS</v>
          </cell>
          <cell r="R2">
            <v>4</v>
          </cell>
          <cell r="S2" t="str">
            <v>VIGENTE</v>
          </cell>
          <cell r="T2">
            <v>3770800</v>
          </cell>
        </row>
        <row r="3">
          <cell r="N3">
            <v>32</v>
          </cell>
          <cell r="O3">
            <v>10</v>
          </cell>
          <cell r="P3" t="str">
            <v>catalina  ROA martinez</v>
          </cell>
          <cell r="Q3" t="str">
            <v>CONTRATO DE PRESTACION DE SERVICIOS</v>
          </cell>
          <cell r="R3">
            <v>9</v>
          </cell>
          <cell r="S3" t="str">
            <v>VIGENTE</v>
          </cell>
          <cell r="T3">
            <v>3656533</v>
          </cell>
        </row>
        <row r="4">
          <cell r="N4">
            <v>17</v>
          </cell>
          <cell r="O4">
            <v>11</v>
          </cell>
          <cell r="P4" t="str">
            <v>cristhian camilo bernal l ruiz</v>
          </cell>
          <cell r="Q4" t="str">
            <v>CONTRATO DE PRESTACION DE SERVICIOS</v>
          </cell>
          <cell r="R4">
            <v>10</v>
          </cell>
          <cell r="S4" t="str">
            <v>VIGENTE</v>
          </cell>
          <cell r="T4">
            <v>3542267</v>
          </cell>
        </row>
        <row r="5">
          <cell r="N5">
            <v>51</v>
          </cell>
          <cell r="O5">
            <v>20</v>
          </cell>
          <cell r="P5" t="str">
            <v>sandra paola linares avila</v>
          </cell>
          <cell r="Q5" t="str">
            <v>CONTRATO DE PRESTACION DE SERVICIOS</v>
          </cell>
          <cell r="R5">
            <v>16</v>
          </cell>
          <cell r="S5" t="str">
            <v>VIGENTE</v>
          </cell>
          <cell r="T5">
            <v>3656533</v>
          </cell>
        </row>
        <row r="6">
          <cell r="N6">
            <v>50</v>
          </cell>
          <cell r="O6">
            <v>16</v>
          </cell>
          <cell r="P6" t="str">
            <v>jessica juliana londoño ramirez</v>
          </cell>
          <cell r="Q6" t="str">
            <v>CONTRATO DE PRESTACION DE SERVICIOS</v>
          </cell>
          <cell r="R6">
            <v>20</v>
          </cell>
          <cell r="S6" t="str">
            <v>VIGENTE</v>
          </cell>
          <cell r="T6">
            <v>3542267</v>
          </cell>
        </row>
        <row r="7">
          <cell r="N7">
            <v>98</v>
          </cell>
          <cell r="O7">
            <v>19</v>
          </cell>
          <cell r="P7" t="str">
            <v>LIZETH PAOLA MARTINEZ PULIDO</v>
          </cell>
          <cell r="Q7" t="str">
            <v>CONTRATO DE PRESTACION DE SERVICIOS</v>
          </cell>
          <cell r="R7">
            <v>40</v>
          </cell>
          <cell r="S7" t="str">
            <v>VIGENTE</v>
          </cell>
          <cell r="T7">
            <v>3542267</v>
          </cell>
        </row>
        <row r="8">
          <cell r="N8">
            <v>149</v>
          </cell>
          <cell r="O8">
            <v>65</v>
          </cell>
          <cell r="P8" t="str">
            <v>ANA GABRIELA PINILLA GONZALEZ</v>
          </cell>
          <cell r="Q8" t="str">
            <v>CONTRATO DE PRESTACION DE SERVICIOS</v>
          </cell>
          <cell r="R8">
            <v>116</v>
          </cell>
          <cell r="S8" t="str">
            <v>VIGENTE</v>
          </cell>
          <cell r="T8">
            <v>5000000</v>
          </cell>
        </row>
        <row r="9">
          <cell r="N9">
            <v>150</v>
          </cell>
          <cell r="O9">
            <v>66</v>
          </cell>
          <cell r="P9" t="str">
            <v>DIEGO IVAN MENESES FIGUEROA</v>
          </cell>
          <cell r="Q9" t="str">
            <v>CONTRATO DE PRESTACION DE SERVICIOS</v>
          </cell>
          <cell r="R9">
            <v>117</v>
          </cell>
          <cell r="S9" t="str">
            <v>VIGENTE</v>
          </cell>
          <cell r="T9">
            <v>5000000</v>
          </cell>
        </row>
        <row r="10">
          <cell r="N10">
            <v>151</v>
          </cell>
          <cell r="O10">
            <v>98</v>
          </cell>
          <cell r="P10" t="str">
            <v>LEONOR ISBELIA GOMEZ HERNANDEZ</v>
          </cell>
          <cell r="Q10" t="str">
            <v>CONTRATO DE PRESTACION DE SERVICIOS</v>
          </cell>
          <cell r="R10">
            <v>126</v>
          </cell>
          <cell r="S10" t="str">
            <v>VIGENTE</v>
          </cell>
          <cell r="T10">
            <v>7210000</v>
          </cell>
        </row>
        <row r="11">
          <cell r="N11">
            <v>153</v>
          </cell>
          <cell r="O11">
            <v>35</v>
          </cell>
          <cell r="P11" t="str">
            <v>jhon edwin morales herrera</v>
          </cell>
          <cell r="Q11" t="str">
            <v>CONTRATO DE PRESTACION DE SERVICIOS</v>
          </cell>
          <cell r="R11">
            <v>140</v>
          </cell>
          <cell r="S11" t="str">
            <v>VIGENTE</v>
          </cell>
          <cell r="T11">
            <v>4133333</v>
          </cell>
        </row>
        <row r="12">
          <cell r="N12">
            <v>155</v>
          </cell>
          <cell r="O12">
            <v>129</v>
          </cell>
          <cell r="P12" t="str">
            <v>MARIA CLAUDIA CARRIZOSA RICAURTE</v>
          </cell>
          <cell r="Q12" t="str">
            <v>CONTRATO DE PRESTACION DE SERVICIOS</v>
          </cell>
          <cell r="R12">
            <v>141</v>
          </cell>
          <cell r="S12" t="str">
            <v>VIGENTE</v>
          </cell>
          <cell r="T12">
            <v>8000000</v>
          </cell>
        </row>
        <row r="13">
          <cell r="N13">
            <v>154</v>
          </cell>
          <cell r="O13">
            <v>173</v>
          </cell>
          <cell r="P13" t="str">
            <v>ALEXANDER  CABRERA MONTENEGRO</v>
          </cell>
          <cell r="Q13" t="str">
            <v>CONTRATO DE PRESTACION DE SERVICIOS</v>
          </cell>
          <cell r="R13">
            <v>142</v>
          </cell>
          <cell r="S13" t="str">
            <v>VIGENTE</v>
          </cell>
          <cell r="T13">
            <v>5000000</v>
          </cell>
        </row>
        <row r="14">
          <cell r="N14">
            <v>162</v>
          </cell>
          <cell r="O14">
            <v>176</v>
          </cell>
          <cell r="P14" t="str">
            <v>LINA MARCELA MORENO ROA</v>
          </cell>
          <cell r="Q14" t="str">
            <v>CONTRATO DE PRESTACION DE SERVICIOS</v>
          </cell>
          <cell r="R14">
            <v>146</v>
          </cell>
          <cell r="S14" t="str">
            <v>VIGENTE</v>
          </cell>
          <cell r="T14">
            <v>5200000</v>
          </cell>
        </row>
        <row r="15">
          <cell r="N15">
            <v>170</v>
          </cell>
          <cell r="O15">
            <v>130</v>
          </cell>
          <cell r="P15" t="str">
            <v>PAULA ANDREA MENDEZ ROMERO</v>
          </cell>
          <cell r="Q15" t="str">
            <v>CONTRATO DE PRESTACION DE SERVICIOS</v>
          </cell>
          <cell r="R15">
            <v>149</v>
          </cell>
          <cell r="S15" t="str">
            <v>VIGENTE</v>
          </cell>
          <cell r="T15">
            <v>4200000</v>
          </cell>
        </row>
        <row r="16">
          <cell r="N16">
            <v>169</v>
          </cell>
          <cell r="O16">
            <v>160</v>
          </cell>
          <cell r="P16" t="str">
            <v>SERGIO IVAN ROJAS BERRIO</v>
          </cell>
          <cell r="Q16" t="str">
            <v>CONTRATO DE PRESTACION DE SERVICIOS</v>
          </cell>
          <cell r="R16">
            <v>150</v>
          </cell>
          <cell r="S16" t="str">
            <v>VIGENTE</v>
          </cell>
          <cell r="T16">
            <v>5200000</v>
          </cell>
        </row>
        <row r="17">
          <cell r="N17">
            <v>211</v>
          </cell>
          <cell r="O17">
            <v>58</v>
          </cell>
          <cell r="P17" t="str">
            <v>MARIA DEL PILAR ZAMBRANO GOMEZ</v>
          </cell>
          <cell r="Q17" t="str">
            <v>CONTRATO DE PRESTACION DE SERVICIOS PROFESIONALES</v>
          </cell>
          <cell r="R17">
            <v>151</v>
          </cell>
          <cell r="S17" t="str">
            <v>VIGENTE</v>
          </cell>
          <cell r="T17">
            <v>8000000</v>
          </cell>
        </row>
        <row r="18">
          <cell r="N18">
            <v>210</v>
          </cell>
          <cell r="O18">
            <v>38</v>
          </cell>
          <cell r="P18" t="str">
            <v>JENNIFER  AYALA SERRANO</v>
          </cell>
          <cell r="Q18" t="str">
            <v>CONTRATO DE PRESTACION DE SERVICIOS PROFESIONALES</v>
          </cell>
          <cell r="R18">
            <v>156</v>
          </cell>
          <cell r="S18" t="str">
            <v>VIGENTE</v>
          </cell>
          <cell r="T18">
            <v>4133333</v>
          </cell>
        </row>
        <row r="19">
          <cell r="N19">
            <v>212</v>
          </cell>
          <cell r="O19">
            <v>215</v>
          </cell>
          <cell r="P19" t="str">
            <v>KATERINE  MANZANARES RICO</v>
          </cell>
          <cell r="Q19" t="str">
            <v>CONTRATO DE PRESTACION DE SERVICIOS PROFESIONALES</v>
          </cell>
          <cell r="R19">
            <v>162</v>
          </cell>
          <cell r="S19" t="str">
            <v>VIGENTE</v>
          </cell>
          <cell r="T19">
            <v>5200000</v>
          </cell>
        </row>
        <row r="20">
          <cell r="N20">
            <v>201</v>
          </cell>
          <cell r="O20">
            <v>214</v>
          </cell>
          <cell r="P20" t="str">
            <v>DEBORATH LUCIA GASCON OLARTE</v>
          </cell>
          <cell r="Q20" t="str">
            <v>CONTRATO DE PRESTACION DE SERVICIOS PROFESIONALES</v>
          </cell>
          <cell r="R20">
            <v>168</v>
          </cell>
          <cell r="S20" t="str">
            <v>VIGENTE</v>
          </cell>
          <cell r="T20">
            <v>5200000</v>
          </cell>
        </row>
        <row r="21">
          <cell r="N21">
            <v>208</v>
          </cell>
          <cell r="O21">
            <v>162</v>
          </cell>
          <cell r="P21" t="str">
            <v>JAVIER FERNANDO MATEUS TOVAR</v>
          </cell>
          <cell r="Q21" t="str">
            <v>CONTRATO DE PRESTACION DE SERVICIOS PROFESIONALES</v>
          </cell>
          <cell r="R21">
            <v>172</v>
          </cell>
          <cell r="S21" t="str">
            <v>VIGENTE</v>
          </cell>
          <cell r="T21">
            <v>4133333</v>
          </cell>
        </row>
        <row r="22">
          <cell r="N22">
            <v>206</v>
          </cell>
          <cell r="O22">
            <v>200</v>
          </cell>
          <cell r="P22" t="str">
            <v>DANIEL FELIPE GUTIERREZ VARGAS</v>
          </cell>
          <cell r="Q22" t="str">
            <v>CONTRATO DE PRESTACION DE SERVICIOS PROFESIONALES</v>
          </cell>
          <cell r="R22">
            <v>183</v>
          </cell>
          <cell r="S22" t="str">
            <v>VIGENTE</v>
          </cell>
          <cell r="T22">
            <v>1500000</v>
          </cell>
        </row>
        <row r="23">
          <cell r="N23">
            <v>205</v>
          </cell>
          <cell r="O23">
            <v>175</v>
          </cell>
          <cell r="P23" t="str">
            <v>MONICA  COY DE MARQUEZ</v>
          </cell>
          <cell r="Q23" t="str">
            <v>CONTRATO DE PRESTACION DE SERVICIOS PROFESIONALES</v>
          </cell>
          <cell r="R23">
            <v>185</v>
          </cell>
          <cell r="S23" t="str">
            <v>VIGENTE</v>
          </cell>
          <cell r="T23">
            <v>4500000</v>
          </cell>
        </row>
        <row r="24">
          <cell r="N24">
            <v>234</v>
          </cell>
          <cell r="O24">
            <v>194</v>
          </cell>
          <cell r="P24" t="str">
            <v>JUAN CAMILO GONZALEZ MEDINA</v>
          </cell>
          <cell r="Q24" t="str">
            <v>CONTRATO DE PRESTACION DE SERVICIOS PROFESIONALES</v>
          </cell>
          <cell r="R24">
            <v>186</v>
          </cell>
          <cell r="S24" t="str">
            <v>VIGENTE</v>
          </cell>
          <cell r="T24">
            <v>3200000</v>
          </cell>
        </row>
        <row r="25">
          <cell r="N25">
            <v>637</v>
          </cell>
          <cell r="O25">
            <v>494</v>
          </cell>
          <cell r="P25" t="str">
            <v>JUAN CAMILO GONZALEZ MEDINA</v>
          </cell>
          <cell r="Q25" t="str">
            <v>CONTRATO DE PRESTACION DE SERVICIOS PROFESIONALES</v>
          </cell>
          <cell r="R25">
            <v>186</v>
          </cell>
          <cell r="S25" t="str">
            <v>VIGENTE</v>
          </cell>
          <cell r="T25">
            <v>800000</v>
          </cell>
        </row>
        <row r="26">
          <cell r="N26">
            <v>202</v>
          </cell>
          <cell r="O26">
            <v>59</v>
          </cell>
          <cell r="P26" t="str">
            <v>DAVID HUMBERTO DELGADO RODRIGUEZ</v>
          </cell>
          <cell r="Q26" t="str">
            <v>CONTRATO DE PRESTACION DE SERVICIOS PROFESIONALES</v>
          </cell>
          <cell r="R26">
            <v>188</v>
          </cell>
          <cell r="S26" t="str">
            <v>VIGENTE</v>
          </cell>
          <cell r="T26">
            <v>9360000</v>
          </cell>
        </row>
        <row r="27">
          <cell r="N27">
            <v>204</v>
          </cell>
          <cell r="O27">
            <v>167</v>
          </cell>
          <cell r="P27" t="str">
            <v>MAGDA FABIOLA ROJAS RAMIREZ</v>
          </cell>
          <cell r="Q27" t="str">
            <v>CONTRATO DE PRESTACION DE SERVICIOS PROFESIONALES</v>
          </cell>
          <cell r="R27">
            <v>192</v>
          </cell>
          <cell r="S27" t="str">
            <v>VIGENTE</v>
          </cell>
          <cell r="T27">
            <v>5200000</v>
          </cell>
        </row>
        <row r="28">
          <cell r="N28">
            <v>207</v>
          </cell>
          <cell r="O28">
            <v>195</v>
          </cell>
          <cell r="P28" t="str">
            <v>NATALIA  ACHIARDI ORTIZ</v>
          </cell>
          <cell r="Q28" t="str">
            <v>CONTRATO DE PRESTACION DE SERVICIOS PROFESIONALES</v>
          </cell>
          <cell r="R28">
            <v>193</v>
          </cell>
          <cell r="S28" t="str">
            <v>VIGENTE</v>
          </cell>
          <cell r="T28">
            <v>2100000</v>
          </cell>
        </row>
        <row r="29">
          <cell r="N29">
            <v>275</v>
          </cell>
          <cell r="O29">
            <v>37</v>
          </cell>
          <cell r="P29" t="str">
            <v>LAURA ANGELICA MORENO LEMUS</v>
          </cell>
          <cell r="Q29" t="str">
            <v>CONTRATO DE PRESTACION DE SERVICIOS PROFESIONALES</v>
          </cell>
          <cell r="R29">
            <v>200</v>
          </cell>
          <cell r="S29" t="str">
            <v>VIGENTE</v>
          </cell>
          <cell r="T29">
            <v>4133333</v>
          </cell>
        </row>
        <row r="30">
          <cell r="N30">
            <v>587</v>
          </cell>
          <cell r="O30">
            <v>461</v>
          </cell>
          <cell r="P30" t="str">
            <v>FRANCISCO ALBERTO LOPEZ SALGADO</v>
          </cell>
          <cell r="Q30" t="str">
            <v>CONTRATO DE PRESTACION DE SERVICIOS PROFESIONALES</v>
          </cell>
          <cell r="R30">
            <v>201</v>
          </cell>
          <cell r="S30" t="str">
            <v>VIGENTE</v>
          </cell>
          <cell r="T30">
            <v>5000000</v>
          </cell>
        </row>
        <row r="31">
          <cell r="N31">
            <v>220</v>
          </cell>
          <cell r="O31">
            <v>227</v>
          </cell>
          <cell r="P31" t="str">
            <v>MONICA ELIANA FLOREZ BUSTAMANTE</v>
          </cell>
          <cell r="Q31" t="str">
            <v>CONTRATO DE PRESTACION DE SERVICIOS PROFESIONALES</v>
          </cell>
          <cell r="R31">
            <v>203</v>
          </cell>
          <cell r="S31" t="str">
            <v>VIGENTE</v>
          </cell>
          <cell r="T31">
            <v>4000000</v>
          </cell>
        </row>
        <row r="32">
          <cell r="N32">
            <v>244</v>
          </cell>
          <cell r="O32">
            <v>218</v>
          </cell>
          <cell r="P32" t="str">
            <v>JULIAN ALBERTO GUTIERREZ LOPEZ</v>
          </cell>
          <cell r="Q32" t="str">
            <v>CONTRATO DE PRESTACION DE SERVICIOS PROFESIONALES</v>
          </cell>
          <cell r="R32">
            <v>205</v>
          </cell>
          <cell r="S32" t="str">
            <v>VIGENTE</v>
          </cell>
          <cell r="T32">
            <v>6000000</v>
          </cell>
        </row>
        <row r="33">
          <cell r="N33">
            <v>218</v>
          </cell>
          <cell r="O33">
            <v>201</v>
          </cell>
          <cell r="P33" t="str">
            <v>LEYDA ISABEL CARDOZO MARROQUIN</v>
          </cell>
          <cell r="Q33" t="str">
            <v>CONTRATO DE PRESTACION DE SERVICIOS PROFESIONALES</v>
          </cell>
          <cell r="R33">
            <v>206</v>
          </cell>
          <cell r="S33" t="str">
            <v>VIGENTE</v>
          </cell>
          <cell r="T33">
            <v>4320000</v>
          </cell>
        </row>
        <row r="34">
          <cell r="N34">
            <v>249</v>
          </cell>
          <cell r="O34">
            <v>213</v>
          </cell>
          <cell r="P34" t="str">
            <v>SANDRA CAROLINA NORIEGA AGUILAR</v>
          </cell>
          <cell r="Q34" t="str">
            <v>CONTRATO DE PRESTACION DE SERVICIOS PROFESIONALES</v>
          </cell>
          <cell r="R34">
            <v>207</v>
          </cell>
          <cell r="S34" t="str">
            <v>VIGENTE</v>
          </cell>
          <cell r="T34">
            <v>4166667</v>
          </cell>
        </row>
        <row r="35">
          <cell r="N35">
            <v>232</v>
          </cell>
          <cell r="O35">
            <v>92</v>
          </cell>
          <cell r="P35" t="str">
            <v>ANA MARIA FLOREZ FLOREZ</v>
          </cell>
          <cell r="Q35" t="str">
            <v>CONTRATO DE PRESTACION DE SERVICIOS PROFESIONALES</v>
          </cell>
          <cell r="R35">
            <v>214</v>
          </cell>
          <cell r="S35" t="str">
            <v>VIGENTE</v>
          </cell>
          <cell r="T35">
            <v>7300000</v>
          </cell>
        </row>
        <row r="36">
          <cell r="N36">
            <v>322</v>
          </cell>
          <cell r="O36">
            <v>36</v>
          </cell>
          <cell r="P36" t="str">
            <v>EFRAIN JOSE CANEDO CASTRO</v>
          </cell>
          <cell r="Q36" t="str">
            <v>CONTRATO DE PRESTACION DE SERVICIOS PROFESIONALES</v>
          </cell>
          <cell r="R36">
            <v>216</v>
          </cell>
          <cell r="S36" t="str">
            <v>VIGENTE</v>
          </cell>
          <cell r="T36">
            <v>4133333</v>
          </cell>
        </row>
        <row r="37">
          <cell r="N37">
            <v>250</v>
          </cell>
          <cell r="O37">
            <v>159</v>
          </cell>
          <cell r="P37" t="str">
            <v xml:space="preserve">LAURA FLAVIE ZIMMERMANN </v>
          </cell>
          <cell r="Q37" t="str">
            <v>CONTRATO DE PRESTACION DE SERVICIOS PROFESIONALES</v>
          </cell>
          <cell r="R37">
            <v>231</v>
          </cell>
          <cell r="S37" t="str">
            <v>VIGENTE</v>
          </cell>
          <cell r="T37">
            <v>4533333</v>
          </cell>
        </row>
        <row r="38">
          <cell r="N38">
            <v>276</v>
          </cell>
          <cell r="O38">
            <v>212</v>
          </cell>
          <cell r="P38" t="str">
            <v>antonio  bermudez obregon</v>
          </cell>
          <cell r="Q38" t="str">
            <v>CONTRATO DE PRESTACION DE SERVICIOS PROFESIONALES</v>
          </cell>
          <cell r="R38">
            <v>246</v>
          </cell>
          <cell r="S38" t="str">
            <v>VIGENTE</v>
          </cell>
          <cell r="T38">
            <v>4200000</v>
          </cell>
        </row>
        <row r="39">
          <cell r="N39">
            <v>302</v>
          </cell>
          <cell r="O39">
            <v>128</v>
          </cell>
          <cell r="P39" t="str">
            <v xml:space="preserve">ANGULO &amp; VELANDIA S A S   </v>
          </cell>
          <cell r="Q39" t="str">
            <v>CONTRATO DE PRESTACION DE SERVICIOS PROFESIONALES</v>
          </cell>
          <cell r="R39">
            <v>275</v>
          </cell>
          <cell r="S39" t="str">
            <v>VIGENTE</v>
          </cell>
          <cell r="T39">
            <v>8000000</v>
          </cell>
        </row>
        <row r="40">
          <cell r="N40">
            <v>301</v>
          </cell>
          <cell r="O40">
            <v>122</v>
          </cell>
          <cell r="P40" t="str">
            <v xml:space="preserve">JUAN FELIPE PINILLA &amp; ASOCIADOS DERECHO-URBANO SAS   </v>
          </cell>
          <cell r="Q40" t="str">
            <v>CONTRATO DE PRESTACION DE SERVICIOS PROFESIONALES</v>
          </cell>
          <cell r="R40">
            <v>276</v>
          </cell>
          <cell r="S40" t="str">
            <v>VIGENTE</v>
          </cell>
          <cell r="T40">
            <v>8000000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
          <cell r="N1">
            <v>244</v>
          </cell>
          <cell r="O1">
            <v>218</v>
          </cell>
          <cell r="P1" t="str">
            <v>ALEX SMITH ARAQUE SOLANO</v>
          </cell>
          <cell r="Q1" t="str">
            <v>CONTRATO DE PRESTACION DE SERVICIOS PROFESIONALES</v>
          </cell>
          <cell r="R1">
            <v>205</v>
          </cell>
          <cell r="S1" t="str">
            <v>VIGENTE</v>
          </cell>
          <cell r="T1">
            <v>6200000</v>
          </cell>
        </row>
        <row r="2">
          <cell r="N2">
            <v>154</v>
          </cell>
          <cell r="O2">
            <v>173</v>
          </cell>
          <cell r="P2" t="str">
            <v>ALEXANDER  CABRERA MONTENEGRO</v>
          </cell>
          <cell r="Q2" t="str">
            <v>CONTRATO DE PRESTACION DE SERVICIOS</v>
          </cell>
          <cell r="R2">
            <v>142</v>
          </cell>
          <cell r="S2" t="str">
            <v>VIGENTE</v>
          </cell>
          <cell r="T2">
            <v>5000000</v>
          </cell>
        </row>
        <row r="3">
          <cell r="N3">
            <v>217</v>
          </cell>
          <cell r="O3">
            <v>191</v>
          </cell>
          <cell r="P3" t="str">
            <v>ALFREDO  FERREIRA BARROS</v>
          </cell>
          <cell r="Q3" t="str">
            <v>CONTRATO DE PRESTACION DE SERVICIOS PROFESIONALES</v>
          </cell>
          <cell r="R3">
            <v>204</v>
          </cell>
          <cell r="S3" t="str">
            <v>VIGENTE</v>
          </cell>
          <cell r="T3">
            <v>4166667</v>
          </cell>
        </row>
        <row r="4">
          <cell r="N4">
            <v>156</v>
          </cell>
          <cell r="O4">
            <v>163</v>
          </cell>
          <cell r="P4" t="str">
            <v>ALICIA VICTORIA BELLO DURAN</v>
          </cell>
          <cell r="Q4" t="str">
            <v>CONTRATO DE PRESTACION DE SERVICIOS</v>
          </cell>
          <cell r="R4">
            <v>144</v>
          </cell>
          <cell r="S4" t="str">
            <v>VIGENTE</v>
          </cell>
          <cell r="T4">
            <v>1533333</v>
          </cell>
        </row>
        <row r="5">
          <cell r="N5">
            <v>149</v>
          </cell>
          <cell r="O5">
            <v>65</v>
          </cell>
          <cell r="P5" t="str">
            <v>ANA GABRIELA PINILLA GONZALEZ</v>
          </cell>
          <cell r="Q5" t="str">
            <v>CONTRATO DE PRESTACION DE SERVICIOS</v>
          </cell>
          <cell r="R5">
            <v>116</v>
          </cell>
          <cell r="S5" t="str">
            <v>VIGENTE</v>
          </cell>
          <cell r="T5">
            <v>5000000</v>
          </cell>
        </row>
        <row r="6">
          <cell r="N6">
            <v>232</v>
          </cell>
          <cell r="O6">
            <v>92</v>
          </cell>
          <cell r="P6" t="str">
            <v>ANA MARIA FLOREZ FLOREZ</v>
          </cell>
          <cell r="Q6" t="str">
            <v>CONTRATO DE PRESTACION DE SERVICIOS PROFESIONALES</v>
          </cell>
          <cell r="R6">
            <v>214</v>
          </cell>
          <cell r="S6" t="str">
            <v>VIGENTE</v>
          </cell>
          <cell r="T6">
            <v>7300000</v>
          </cell>
        </row>
        <row r="7">
          <cell r="N7">
            <v>23</v>
          </cell>
          <cell r="O7">
            <v>21</v>
          </cell>
          <cell r="P7" t="str">
            <v>ANA STEFANIA SANCHEZ MINGAN</v>
          </cell>
          <cell r="Q7" t="str">
            <v>CONTRATO DE PRESTACION DE SERVICIOS</v>
          </cell>
          <cell r="R7">
            <v>6</v>
          </cell>
          <cell r="S7" t="str">
            <v>VIGENTE</v>
          </cell>
          <cell r="T7">
            <v>3656533</v>
          </cell>
        </row>
        <row r="8">
          <cell r="N8">
            <v>16</v>
          </cell>
          <cell r="O8">
            <v>5</v>
          </cell>
          <cell r="P8" t="str">
            <v>ANGELA PATRICIA BUSTOS CIFUENTES</v>
          </cell>
          <cell r="Q8" t="str">
            <v>CONTRATO DE PRESTACION DE SERVICIOS</v>
          </cell>
          <cell r="R8">
            <v>13</v>
          </cell>
          <cell r="S8" t="str">
            <v>VIGENTE</v>
          </cell>
          <cell r="T8">
            <v>3656533</v>
          </cell>
        </row>
        <row r="9">
          <cell r="N9">
            <v>302</v>
          </cell>
          <cell r="O9">
            <v>128</v>
          </cell>
          <cell r="P9" t="str">
            <v xml:space="preserve">ANGULO &amp; VELANDIA S A S   </v>
          </cell>
          <cell r="Q9" t="str">
            <v>CONTRATO DE PRESTACION DE SERVICIOS PROFESIONALES</v>
          </cell>
          <cell r="R9">
            <v>275</v>
          </cell>
          <cell r="S9" t="str">
            <v>VIGENTE</v>
          </cell>
          <cell r="T9">
            <v>8000000</v>
          </cell>
        </row>
        <row r="10">
          <cell r="N10">
            <v>276</v>
          </cell>
          <cell r="O10">
            <v>212</v>
          </cell>
          <cell r="P10" t="str">
            <v>antonio  bermudez obregon</v>
          </cell>
          <cell r="Q10" t="str">
            <v>CONTRATO DE PRESTACION DE SERVICIOS PROFESIONALES</v>
          </cell>
          <cell r="R10">
            <v>246</v>
          </cell>
          <cell r="S10" t="str">
            <v>VIGENTE</v>
          </cell>
          <cell r="T10">
            <v>4200000</v>
          </cell>
        </row>
        <row r="11">
          <cell r="N11">
            <v>15</v>
          </cell>
          <cell r="O11">
            <v>6</v>
          </cell>
          <cell r="P11" t="str">
            <v>CAMILO ANDRES BECERRA SANCHEZ</v>
          </cell>
          <cell r="Q11" t="str">
            <v>CONTRATO DE PRESTACION DE SERVICIOS</v>
          </cell>
          <cell r="R11">
            <v>5</v>
          </cell>
          <cell r="S11" t="str">
            <v>VIGENTE</v>
          </cell>
          <cell r="T11">
            <v>3656533</v>
          </cell>
        </row>
        <row r="12">
          <cell r="N12">
            <v>44</v>
          </cell>
          <cell r="O12">
            <v>8</v>
          </cell>
          <cell r="P12" t="str">
            <v>Camilo hernando trujillo ruiz</v>
          </cell>
          <cell r="Q12" t="str">
            <v>CONTRATO DE PRESTACION DE SERVICIOS</v>
          </cell>
          <cell r="R12">
            <v>4</v>
          </cell>
          <cell r="S12" t="str">
            <v>VIGENTE</v>
          </cell>
          <cell r="T12">
            <v>3770800</v>
          </cell>
        </row>
        <row r="13">
          <cell r="N13">
            <v>32</v>
          </cell>
          <cell r="O13">
            <v>10</v>
          </cell>
          <cell r="P13" t="str">
            <v>catalina  ROA martinez</v>
          </cell>
          <cell r="Q13" t="str">
            <v>CONTRATO DE PRESTACION DE SERVICIOS</v>
          </cell>
          <cell r="R13">
            <v>9</v>
          </cell>
          <cell r="S13" t="str">
            <v>VIGENTE</v>
          </cell>
          <cell r="T13">
            <v>3656533</v>
          </cell>
        </row>
        <row r="14">
          <cell r="N14">
            <v>283</v>
          </cell>
          <cell r="O14">
            <v>309</v>
          </cell>
          <cell r="P14" t="str">
            <v>CRISTHIAN  ORTEGA AVILA</v>
          </cell>
          <cell r="Q14" t="str">
            <v>CONTRATO DE PRESTACION DE SERVICIOS PROFESIONALES</v>
          </cell>
          <cell r="R14">
            <v>242</v>
          </cell>
          <cell r="S14" t="str">
            <v>VIGENTE</v>
          </cell>
          <cell r="T14">
            <v>1830650</v>
          </cell>
        </row>
        <row r="15">
          <cell r="N15">
            <v>17</v>
          </cell>
          <cell r="O15">
            <v>11</v>
          </cell>
          <cell r="P15" t="str">
            <v>cristhian camilo bernal l ruiz</v>
          </cell>
          <cell r="Q15" t="str">
            <v>CONTRATO DE PRESTACION DE SERVICIOS</v>
          </cell>
          <cell r="R15">
            <v>10</v>
          </cell>
          <cell r="S15" t="str">
            <v>VIGENTE</v>
          </cell>
          <cell r="T15">
            <v>3542267</v>
          </cell>
        </row>
        <row r="16">
          <cell r="N16">
            <v>45</v>
          </cell>
          <cell r="O16">
            <v>12</v>
          </cell>
          <cell r="P16" t="str">
            <v>DANIEL ANDRES HUERTAS PAEZ</v>
          </cell>
          <cell r="Q16" t="str">
            <v>CONTRATO DE PRESTACION DE SERVICIOS</v>
          </cell>
          <cell r="R16">
            <v>3</v>
          </cell>
          <cell r="S16" t="str">
            <v>VIGENTE</v>
          </cell>
          <cell r="T16">
            <v>3656533</v>
          </cell>
        </row>
        <row r="17">
          <cell r="N17">
            <v>206</v>
          </cell>
          <cell r="O17">
            <v>200</v>
          </cell>
          <cell r="P17" t="str">
            <v>DANIEL FELIPE GUTIERREZ VARGAS</v>
          </cell>
          <cell r="Q17" t="str">
            <v>CONTRATO DE PRESTACION DE SERVICIOS PROFESIONALES</v>
          </cell>
          <cell r="R17">
            <v>183</v>
          </cell>
          <cell r="S17" t="str">
            <v>VIGENTE</v>
          </cell>
          <cell r="T17">
            <v>1500000</v>
          </cell>
        </row>
        <row r="18">
          <cell r="N18">
            <v>33</v>
          </cell>
          <cell r="O18">
            <v>14</v>
          </cell>
          <cell r="P18" t="str">
            <v>DANIELA MARIA ESCAMILLA OSPINA</v>
          </cell>
          <cell r="Q18" t="str">
            <v>CONTRATO DE PRESTACION DE SERVICIOS</v>
          </cell>
          <cell r="R18">
            <v>8</v>
          </cell>
          <cell r="S18" t="str">
            <v>VIGENTE</v>
          </cell>
          <cell r="T18">
            <v>3656533</v>
          </cell>
        </row>
        <row r="19">
          <cell r="N19">
            <v>202</v>
          </cell>
          <cell r="O19">
            <v>59</v>
          </cell>
          <cell r="P19" t="str">
            <v>DAVID HUMBERTO DELGADO RODRIGUEZ</v>
          </cell>
          <cell r="Q19" t="str">
            <v>CONTRATO DE PRESTACION DE SERVICIOS PROFESIONALES</v>
          </cell>
          <cell r="R19">
            <v>188</v>
          </cell>
          <cell r="S19" t="str">
            <v>VIGENTE</v>
          </cell>
          <cell r="T19">
            <v>9360000</v>
          </cell>
        </row>
        <row r="20">
          <cell r="N20">
            <v>201</v>
          </cell>
          <cell r="O20">
            <v>214</v>
          </cell>
          <cell r="P20" t="str">
            <v>DEBORATH LUCIA GASCON OLARTE</v>
          </cell>
          <cell r="Q20" t="str">
            <v>CONTRATO DE PRESTACION DE SERVICIOS PROFESIONALES</v>
          </cell>
          <cell r="R20">
            <v>168</v>
          </cell>
          <cell r="S20" t="str">
            <v>VIGENTE</v>
          </cell>
          <cell r="T20">
            <v>5200000</v>
          </cell>
        </row>
        <row r="21">
          <cell r="N21">
            <v>150</v>
          </cell>
          <cell r="O21">
            <v>66</v>
          </cell>
          <cell r="P21" t="str">
            <v>DIEGO IVAN MENESES FIGUEROA</v>
          </cell>
          <cell r="Q21" t="str">
            <v>CONTRATO DE PRESTACION DE SERVICIOS</v>
          </cell>
          <cell r="R21">
            <v>117</v>
          </cell>
          <cell r="S21" t="str">
            <v>VIGENTE</v>
          </cell>
          <cell r="T21">
            <v>5000000</v>
          </cell>
        </row>
        <row r="22">
          <cell r="N22">
            <v>322</v>
          </cell>
          <cell r="O22">
            <v>36</v>
          </cell>
          <cell r="P22" t="str">
            <v>EFRAIN JOSE CANEDO CASTRO</v>
          </cell>
          <cell r="Q22" t="str">
            <v>CONTRATO DE PRESTACION DE SERVICIOS PROFESIONALES</v>
          </cell>
          <cell r="R22">
            <v>216</v>
          </cell>
          <cell r="S22" t="str">
            <v>VIGENTE</v>
          </cell>
          <cell r="T22">
            <v>4133333</v>
          </cell>
        </row>
        <row r="23">
          <cell r="N23">
            <v>263</v>
          </cell>
          <cell r="O23">
            <v>190</v>
          </cell>
          <cell r="P23" t="str">
            <v>FELIPE  OVALLE VILLAREAL</v>
          </cell>
          <cell r="Q23" t="str">
            <v>CONTRATO DE PRESTACION DE SERVICIOS PROFESIONALES</v>
          </cell>
          <cell r="R23">
            <v>169</v>
          </cell>
          <cell r="S23" t="str">
            <v>VIGENTE</v>
          </cell>
          <cell r="T23">
            <v>4400000</v>
          </cell>
        </row>
        <row r="24">
          <cell r="N24">
            <v>587</v>
          </cell>
          <cell r="O24">
            <v>461</v>
          </cell>
          <cell r="P24" t="str">
            <v>FRANCISCO ALBERTO LOPEZ SALGADO</v>
          </cell>
          <cell r="Q24" t="str">
            <v>CONTRATO DE PRESTACION DE SERVICIOS PROFESIONALES</v>
          </cell>
          <cell r="R24">
            <v>201</v>
          </cell>
          <cell r="S24" t="str">
            <v>VIGENTE</v>
          </cell>
          <cell r="T24">
            <v>5000000</v>
          </cell>
        </row>
        <row r="25">
          <cell r="N25">
            <v>208</v>
          </cell>
          <cell r="O25">
            <v>162</v>
          </cell>
          <cell r="P25" t="str">
            <v>JAVIER FERNANDO MATEUS TOVAR</v>
          </cell>
          <cell r="Q25" t="str">
            <v>CONTRATO DE PRESTACION DE SERVICIOS PROFESIONALES</v>
          </cell>
          <cell r="R25">
            <v>172</v>
          </cell>
          <cell r="S25" t="str">
            <v>VIGENTE</v>
          </cell>
          <cell r="T25">
            <v>4133333</v>
          </cell>
        </row>
        <row r="26">
          <cell r="N26">
            <v>210</v>
          </cell>
          <cell r="O26">
            <v>38</v>
          </cell>
          <cell r="P26" t="str">
            <v>JENNIFER  AYALA SERRANO</v>
          </cell>
          <cell r="Q26" t="str">
            <v>CONTRATO DE PRESTACION DE SERVICIOS PROFESIONALES</v>
          </cell>
          <cell r="R26">
            <v>156</v>
          </cell>
          <cell r="S26" t="str">
            <v>VIGENTE</v>
          </cell>
          <cell r="T26">
            <v>4133333</v>
          </cell>
        </row>
        <row r="27">
          <cell r="N27">
            <v>50</v>
          </cell>
          <cell r="O27">
            <v>16</v>
          </cell>
          <cell r="P27" t="str">
            <v>jessica juliana londoño ramirez</v>
          </cell>
          <cell r="Q27" t="str">
            <v>CONTRATO DE PRESTACION DE SERVICIOS</v>
          </cell>
          <cell r="R27">
            <v>20</v>
          </cell>
          <cell r="S27" t="str">
            <v>VIGENTE</v>
          </cell>
          <cell r="T27">
            <v>3542267</v>
          </cell>
        </row>
        <row r="28">
          <cell r="N28">
            <v>153</v>
          </cell>
          <cell r="O28">
            <v>35</v>
          </cell>
          <cell r="P28" t="str">
            <v>jhon edwin morales herrera</v>
          </cell>
          <cell r="Q28" t="str">
            <v>CONTRATO DE PRESTACION DE SERVICIOS</v>
          </cell>
          <cell r="R28">
            <v>140</v>
          </cell>
          <cell r="S28" t="str">
            <v>VIGENTE</v>
          </cell>
          <cell r="T28">
            <v>4133333</v>
          </cell>
        </row>
        <row r="29">
          <cell r="N29">
            <v>234</v>
          </cell>
          <cell r="O29">
            <v>194</v>
          </cell>
          <cell r="P29" t="str">
            <v>JUAN CAMILO GONZALEZ MEDINA</v>
          </cell>
          <cell r="Q29" t="str">
            <v>CONTRATO DE PRESTACION DE SERVICIOS PROFESIONALES</v>
          </cell>
          <cell r="R29">
            <v>186</v>
          </cell>
          <cell r="S29" t="str">
            <v>VIGENTE</v>
          </cell>
          <cell r="T29">
            <v>3200000</v>
          </cell>
        </row>
        <row r="30">
          <cell r="N30">
            <v>637</v>
          </cell>
          <cell r="O30">
            <v>494</v>
          </cell>
          <cell r="P30" t="str">
            <v>JUAN CAMILO GONZALEZ MEDINA</v>
          </cell>
          <cell r="Q30" t="str">
            <v>CONTRATO DE PRESTACION DE SERVICIOS PROFESIONALES</v>
          </cell>
          <cell r="R30">
            <v>186</v>
          </cell>
          <cell r="S30" t="str">
            <v>VIGENTE</v>
          </cell>
          <cell r="T30">
            <v>800000</v>
          </cell>
        </row>
        <row r="31">
          <cell r="N31">
            <v>301</v>
          </cell>
          <cell r="O31">
            <v>122</v>
          </cell>
          <cell r="P31" t="str">
            <v xml:space="preserve">JUAN FELIPE PINILLA &amp; ASOCIADOS DERECHO-URBANO SAS   </v>
          </cell>
          <cell r="Q31" t="str">
            <v>CONTRATO DE PRESTACION DE SERVICIOS PROFESIONALES</v>
          </cell>
          <cell r="R31">
            <v>276</v>
          </cell>
          <cell r="S31" t="str">
            <v>VIGENTE</v>
          </cell>
          <cell r="T31">
            <v>8000000</v>
          </cell>
        </row>
        <row r="32">
          <cell r="N32">
            <v>244</v>
          </cell>
          <cell r="O32">
            <v>218</v>
          </cell>
          <cell r="P32" t="str">
            <v>JULIAN ALBERTO GUTIERREZ LOPEZ</v>
          </cell>
          <cell r="Q32" t="str">
            <v>CONTRATO DE PRESTACION DE SERVICIOS PROFESIONALES</v>
          </cell>
          <cell r="R32">
            <v>205</v>
          </cell>
          <cell r="S32" t="str">
            <v>VIGENTE</v>
          </cell>
          <cell r="T32">
            <v>6000000</v>
          </cell>
        </row>
        <row r="33">
          <cell r="N33">
            <v>223</v>
          </cell>
          <cell r="O33">
            <v>93</v>
          </cell>
          <cell r="P33" t="str">
            <v>JULIAN ANDRES QUIÑONEZ ZORRILLA</v>
          </cell>
          <cell r="Q33" t="str">
            <v>CONTRATO DE PRESTACION DE SERVICIOS PROFESIONALES</v>
          </cell>
          <cell r="R33">
            <v>48</v>
          </cell>
          <cell r="S33" t="str">
            <v>VIGENTE</v>
          </cell>
          <cell r="T33">
            <v>5000000</v>
          </cell>
        </row>
        <row r="34">
          <cell r="N34">
            <v>212</v>
          </cell>
          <cell r="O34">
            <v>215</v>
          </cell>
          <cell r="P34" t="str">
            <v>KATERINE  MANZANARES RICO</v>
          </cell>
          <cell r="Q34" t="str">
            <v>CONTRATO DE PRESTACION DE SERVICIOS PROFESIONALES</v>
          </cell>
          <cell r="R34">
            <v>162</v>
          </cell>
          <cell r="S34" t="str">
            <v>VIGENTE</v>
          </cell>
          <cell r="T34">
            <v>5200000</v>
          </cell>
        </row>
        <row r="35">
          <cell r="N35">
            <v>275</v>
          </cell>
          <cell r="O35">
            <v>37</v>
          </cell>
          <cell r="P35" t="str">
            <v>LAURA ANGELICA MORENO LEMUS</v>
          </cell>
          <cell r="Q35" t="str">
            <v>CONTRATO DE PRESTACION DE SERVICIOS PROFESIONALES</v>
          </cell>
          <cell r="R35">
            <v>200</v>
          </cell>
          <cell r="S35" t="str">
            <v>VIGENTE</v>
          </cell>
          <cell r="T35">
            <v>4133333</v>
          </cell>
        </row>
        <row r="36">
          <cell r="N36">
            <v>250</v>
          </cell>
          <cell r="O36">
            <v>159</v>
          </cell>
          <cell r="P36" t="str">
            <v xml:space="preserve">LAURA FLAVIE ZIMMERMANN </v>
          </cell>
          <cell r="Q36" t="str">
            <v>CONTRATO DE PRESTACION DE SERVICIOS PROFESIONALES</v>
          </cell>
          <cell r="R36">
            <v>231</v>
          </cell>
          <cell r="S36" t="str">
            <v>VIGENTE</v>
          </cell>
          <cell r="T36">
            <v>4533333</v>
          </cell>
        </row>
        <row r="37">
          <cell r="N37">
            <v>62</v>
          </cell>
          <cell r="O37">
            <v>17</v>
          </cell>
          <cell r="P37" t="str">
            <v>LAURA PAOLA CASTILLO SALAMANCA</v>
          </cell>
          <cell r="Q37" t="str">
            <v>CONTRATO DE PRESTACION DE SERVICIOS</v>
          </cell>
          <cell r="R37">
            <v>18</v>
          </cell>
          <cell r="S37" t="str">
            <v>VIGENTE</v>
          </cell>
          <cell r="T37">
            <v>3770800</v>
          </cell>
        </row>
        <row r="38">
          <cell r="N38">
            <v>151</v>
          </cell>
          <cell r="O38">
            <v>98</v>
          </cell>
          <cell r="P38" t="str">
            <v>LEONOR ISBELIA GOMEZ HERNANDEZ</v>
          </cell>
          <cell r="Q38" t="str">
            <v>CONTRATO DE PRESTACION DE SERVICIOS</v>
          </cell>
          <cell r="R38">
            <v>126</v>
          </cell>
          <cell r="S38" t="str">
            <v>VIGENTE</v>
          </cell>
          <cell r="T38">
            <v>7210000</v>
          </cell>
        </row>
        <row r="39">
          <cell r="N39">
            <v>218</v>
          </cell>
          <cell r="O39">
            <v>201</v>
          </cell>
          <cell r="P39" t="str">
            <v>LEYDA ISABEL CARDOZO MARROQUIN</v>
          </cell>
          <cell r="Q39" t="str">
            <v>CONTRATO DE PRESTACION DE SERVICIOS PROFESIONALES</v>
          </cell>
          <cell r="R39">
            <v>206</v>
          </cell>
          <cell r="S39" t="str">
            <v>VIGENTE</v>
          </cell>
          <cell r="T39">
            <v>4320000</v>
          </cell>
        </row>
        <row r="40">
          <cell r="N40">
            <v>162</v>
          </cell>
          <cell r="O40">
            <v>176</v>
          </cell>
          <cell r="P40" t="str">
            <v>LINA MARCELA MORENO ROA</v>
          </cell>
          <cell r="Q40" t="str">
            <v>CONTRATO DE PRESTACION DE SERVICIOS</v>
          </cell>
          <cell r="R40">
            <v>146</v>
          </cell>
          <cell r="S40" t="str">
            <v>VIGENTE</v>
          </cell>
          <cell r="T40">
            <v>5200000</v>
          </cell>
        </row>
        <row r="41">
          <cell r="N41">
            <v>98</v>
          </cell>
          <cell r="O41">
            <v>19</v>
          </cell>
          <cell r="P41" t="str">
            <v>LIZETH PAOLA MARTINEZ PULIDO</v>
          </cell>
          <cell r="Q41" t="str">
            <v>CONTRATO DE PRESTACION DE SERVICIOS</v>
          </cell>
          <cell r="R41">
            <v>40</v>
          </cell>
          <cell r="S41" t="str">
            <v>VIGENTE</v>
          </cell>
          <cell r="T41">
            <v>3542267</v>
          </cell>
        </row>
        <row r="42">
          <cell r="N42">
            <v>22</v>
          </cell>
          <cell r="O42">
            <v>18</v>
          </cell>
          <cell r="P42" t="str">
            <v>lizeth vanessa garcia arbelaez</v>
          </cell>
          <cell r="Q42" t="str">
            <v>CONTRATO DE PRESTACION DE SERVICIOS</v>
          </cell>
          <cell r="R42">
            <v>7</v>
          </cell>
          <cell r="S42" t="str">
            <v>VIGENTE</v>
          </cell>
          <cell r="T42">
            <v>3656533</v>
          </cell>
        </row>
        <row r="43">
          <cell r="N43">
            <v>204</v>
          </cell>
          <cell r="O43">
            <v>167</v>
          </cell>
          <cell r="P43" t="str">
            <v>MAGDA FABIOLA ROJAS RAMIREZ</v>
          </cell>
          <cell r="Q43" t="str">
            <v>CONTRATO DE PRESTACION DE SERVICIOS PROFESIONALES</v>
          </cell>
          <cell r="R43">
            <v>192</v>
          </cell>
          <cell r="S43" t="str">
            <v>VIGENTE</v>
          </cell>
          <cell r="T43">
            <v>5200000</v>
          </cell>
        </row>
        <row r="44">
          <cell r="N44">
            <v>155</v>
          </cell>
          <cell r="O44">
            <v>129</v>
          </cell>
          <cell r="P44" t="str">
            <v>MARIA CLAUDIA CARRIZOSA RICAURTE</v>
          </cell>
          <cell r="Q44" t="str">
            <v>CONTRATO DE PRESTACION DE SERVICIOS</v>
          </cell>
          <cell r="R44">
            <v>141</v>
          </cell>
          <cell r="S44" t="str">
            <v>VIGENTE</v>
          </cell>
          <cell r="T44">
            <v>8000000</v>
          </cell>
        </row>
        <row r="45">
          <cell r="N45">
            <v>211</v>
          </cell>
          <cell r="O45">
            <v>58</v>
          </cell>
          <cell r="P45" t="str">
            <v>MARIA DEL PILAR ZAMBRANO GOMEZ</v>
          </cell>
          <cell r="Q45" t="str">
            <v>CONTRATO DE PRESTACION DE SERVICIOS PROFESIONALES</v>
          </cell>
          <cell r="R45">
            <v>151</v>
          </cell>
          <cell r="S45" t="str">
            <v>VIGENTE</v>
          </cell>
          <cell r="T45">
            <v>8000000</v>
          </cell>
        </row>
        <row r="46">
          <cell r="N46">
            <v>205</v>
          </cell>
          <cell r="O46">
            <v>175</v>
          </cell>
          <cell r="P46" t="str">
            <v>MONICA  COY DE MARQUEZ</v>
          </cell>
          <cell r="Q46" t="str">
            <v>CONTRATO DE PRESTACION DE SERVICIOS PROFESIONALES</v>
          </cell>
          <cell r="R46">
            <v>185</v>
          </cell>
          <cell r="S46" t="str">
            <v>VIGENTE</v>
          </cell>
          <cell r="T46">
            <v>4500000</v>
          </cell>
        </row>
        <row r="47">
          <cell r="N47">
            <v>220</v>
          </cell>
          <cell r="O47">
            <v>227</v>
          </cell>
          <cell r="P47" t="str">
            <v>MONICA ELIANA FLOREZ BUSTAMANTE</v>
          </cell>
          <cell r="Q47" t="str">
            <v>CONTRATO DE PRESTACION DE SERVICIOS PROFESIONALES</v>
          </cell>
          <cell r="R47">
            <v>203</v>
          </cell>
          <cell r="S47" t="str">
            <v>VIGENTE</v>
          </cell>
          <cell r="T47">
            <v>4000000</v>
          </cell>
        </row>
        <row r="48">
          <cell r="N48">
            <v>207</v>
          </cell>
          <cell r="O48">
            <v>195</v>
          </cell>
          <cell r="P48" t="str">
            <v>NATALIA  ACHIARDI ORTIZ</v>
          </cell>
          <cell r="Q48" t="str">
            <v>CONTRATO DE PRESTACION DE SERVICIOS PROFESIONALES</v>
          </cell>
          <cell r="R48">
            <v>193</v>
          </cell>
          <cell r="S48" t="str">
            <v>VIGENTE</v>
          </cell>
          <cell r="T48">
            <v>2100000</v>
          </cell>
        </row>
        <row r="49">
          <cell r="N49">
            <v>170</v>
          </cell>
          <cell r="O49">
            <v>130</v>
          </cell>
          <cell r="P49" t="str">
            <v>PAULA ANDREA MENDEZ ROMERO</v>
          </cell>
          <cell r="Q49" t="str">
            <v>CONTRATO DE PRESTACION DE SERVICIOS</v>
          </cell>
          <cell r="R49">
            <v>149</v>
          </cell>
          <cell r="S49" t="str">
            <v>VIGENTE</v>
          </cell>
          <cell r="T49">
            <v>4200000</v>
          </cell>
        </row>
        <row r="50">
          <cell r="N50">
            <v>249</v>
          </cell>
          <cell r="O50">
            <v>213</v>
          </cell>
          <cell r="P50" t="str">
            <v>SANDRA CAROLINA NORIEGA AGUILAR</v>
          </cell>
          <cell r="Q50" t="str">
            <v>CONTRATO DE PRESTACION DE SERVICIOS PROFESIONALES</v>
          </cell>
          <cell r="R50">
            <v>207</v>
          </cell>
          <cell r="S50" t="str">
            <v>VIGENTE</v>
          </cell>
          <cell r="T50">
            <v>4166667</v>
          </cell>
        </row>
        <row r="51">
          <cell r="N51">
            <v>51</v>
          </cell>
          <cell r="O51">
            <v>20</v>
          </cell>
          <cell r="P51" t="str">
            <v>sandra paola linares avila</v>
          </cell>
          <cell r="Q51" t="str">
            <v>CONTRATO DE PRESTACION DE SERVICIOS</v>
          </cell>
          <cell r="R51">
            <v>16</v>
          </cell>
          <cell r="S51" t="str">
            <v>VIGENTE</v>
          </cell>
          <cell r="T51">
            <v>3656533</v>
          </cell>
        </row>
        <row r="52">
          <cell r="N52">
            <v>169</v>
          </cell>
          <cell r="O52">
            <v>160</v>
          </cell>
          <cell r="P52" t="str">
            <v>SERGIO IVAN ROJAS BERRIO</v>
          </cell>
          <cell r="Q52" t="str">
            <v>CONTRATO DE PRESTACION DE SERVICIOS</v>
          </cell>
          <cell r="R52">
            <v>150</v>
          </cell>
          <cell r="S52" t="str">
            <v>VIGENTE</v>
          </cell>
          <cell r="T52">
            <v>5200000</v>
          </cell>
        </row>
        <row r="53">
          <cell r="N53">
            <v>24</v>
          </cell>
          <cell r="O53">
            <v>4</v>
          </cell>
          <cell r="P53" t="str">
            <v>yenifer andrea lagos bueno</v>
          </cell>
          <cell r="Q53" t="str">
            <v>CONTRATO DE PRESTACION DE SERVICIOS</v>
          </cell>
          <cell r="R53">
            <v>12</v>
          </cell>
          <cell r="S53" t="str">
            <v>VIGENTE</v>
          </cell>
          <cell r="T53">
            <v>3656533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0"/>
  <sheetViews>
    <sheetView showGridLines="0" tabSelected="1" zoomScale="80" zoomScaleNormal="80" zoomScaleSheetLayoutView="84" workbookViewId="0">
      <selection activeCell="E27" sqref="E27"/>
    </sheetView>
  </sheetViews>
  <sheetFormatPr baseColWidth="10" defaultRowHeight="12.75"/>
  <cols>
    <col min="1" max="1" width="28.42578125" customWidth="1"/>
    <col min="2" max="2" width="15.42578125" style="149" customWidth="1"/>
    <col min="3" max="3" width="20" customWidth="1"/>
    <col min="4" max="4" width="23.7109375" customWidth="1"/>
    <col min="5" max="5" width="30.85546875" customWidth="1"/>
    <col min="6" max="6" width="32.7109375" customWidth="1"/>
    <col min="7" max="7" width="23.7109375" customWidth="1"/>
    <col min="8" max="8" width="11" style="170" customWidth="1"/>
    <col min="9" max="9" width="10.85546875" style="211" bestFit="1" customWidth="1"/>
    <col min="10" max="10" width="9" style="171" customWidth="1"/>
    <col min="11" max="11" width="15" style="149" customWidth="1"/>
    <col min="12" max="12" width="15" style="139" customWidth="1"/>
    <col min="13" max="13" width="15" style="149" customWidth="1"/>
    <col min="14" max="14" width="13.5703125" style="82" customWidth="1"/>
    <col min="15" max="16" width="11.42578125" style="151" customWidth="1"/>
    <col min="17" max="21" width="12.7109375" style="151" customWidth="1"/>
    <col min="22" max="22" width="14.28515625" style="151" bestFit="1" customWidth="1"/>
    <col min="23" max="23" width="13.42578125" style="151" bestFit="1" customWidth="1"/>
    <col min="24" max="24" width="11.42578125" style="151"/>
    <col min="25" max="25" width="13.42578125" style="151" customWidth="1"/>
    <col min="26" max="26" width="12.140625" style="151" customWidth="1"/>
    <col min="27" max="27" width="13.85546875" style="609" bestFit="1" customWidth="1"/>
    <col min="28" max="28" width="13.85546875" style="151" bestFit="1" customWidth="1"/>
    <col min="29" max="29" width="8.28515625" style="151" customWidth="1"/>
    <col min="30" max="30" width="28" style="165" customWidth="1"/>
    <col min="31" max="31" width="13.28515625" style="165" customWidth="1"/>
    <col min="32" max="32" width="12.140625" style="177" customWidth="1"/>
    <col min="33" max="33" width="17.28515625" style="149" customWidth="1"/>
    <col min="34" max="34" width="13.5703125" customWidth="1"/>
    <col min="35" max="35" width="11.42578125" customWidth="1"/>
  </cols>
  <sheetData>
    <row r="1" spans="1:34" ht="42.75" customHeight="1">
      <c r="A1" s="1550"/>
      <c r="B1" s="891" t="s">
        <v>0</v>
      </c>
      <c r="C1" s="1558" t="s">
        <v>1</v>
      </c>
      <c r="D1" s="1559"/>
      <c r="E1" s="1559"/>
      <c r="F1" s="1559"/>
      <c r="G1" s="1559"/>
      <c r="H1" s="1559"/>
      <c r="I1" s="979"/>
      <c r="J1" s="979"/>
      <c r="K1" s="979"/>
      <c r="L1" s="979"/>
      <c r="M1" s="979"/>
      <c r="N1" s="979"/>
      <c r="O1" s="979"/>
      <c r="P1" s="979"/>
      <c r="Q1" s="979"/>
      <c r="R1" s="979"/>
      <c r="S1" s="979"/>
      <c r="T1" s="979"/>
      <c r="U1" s="979"/>
      <c r="V1" s="979"/>
      <c r="W1" s="980"/>
      <c r="X1" s="1552" t="s">
        <v>2</v>
      </c>
      <c r="Y1" s="1552"/>
      <c r="Z1" s="1552"/>
      <c r="AA1" s="1553" t="s">
        <v>3</v>
      </c>
      <c r="AB1" s="1554"/>
      <c r="AC1" s="438"/>
      <c r="AD1" s="2"/>
    </row>
    <row r="2" spans="1:34" ht="42.75" customHeight="1">
      <c r="A2" s="1551"/>
      <c r="B2" s="154" t="s">
        <v>4</v>
      </c>
      <c r="C2" s="1560" t="s">
        <v>5</v>
      </c>
      <c r="D2" s="1561"/>
      <c r="E2" s="1561"/>
      <c r="F2" s="1561"/>
      <c r="G2" s="1561"/>
      <c r="H2" s="977"/>
      <c r="I2" s="977"/>
      <c r="J2" s="977"/>
      <c r="K2" s="977"/>
      <c r="L2" s="977"/>
      <c r="M2" s="977"/>
      <c r="N2" s="977"/>
      <c r="O2" s="977"/>
      <c r="P2" s="977"/>
      <c r="Q2" s="977"/>
      <c r="R2" s="977"/>
      <c r="S2" s="977"/>
      <c r="T2" s="977"/>
      <c r="U2" s="977"/>
      <c r="V2" s="977"/>
      <c r="W2" s="978"/>
      <c r="X2" s="1555" t="s">
        <v>6</v>
      </c>
      <c r="Y2" s="1555"/>
      <c r="Z2" s="1555"/>
      <c r="AA2" s="1556">
        <v>1</v>
      </c>
      <c r="AB2" s="1557"/>
      <c r="AC2" s="438"/>
      <c r="AD2" s="3"/>
    </row>
    <row r="3" spans="1:34" s="402" customFormat="1" ht="12" customHeight="1">
      <c r="A3" s="1402" t="s">
        <v>7</v>
      </c>
      <c r="B3" s="883"/>
      <c r="C3" s="883"/>
      <c r="D3" s="883"/>
      <c r="E3" s="883"/>
      <c r="F3" s="883"/>
      <c r="G3" s="883"/>
      <c r="H3" s="411"/>
      <c r="I3" s="779"/>
      <c r="J3" s="401"/>
      <c r="K3" s="401"/>
      <c r="L3" s="401"/>
      <c r="M3" s="401"/>
      <c r="N3" s="401"/>
      <c r="O3" s="401"/>
      <c r="P3" s="401"/>
      <c r="Q3" s="401"/>
      <c r="R3" s="401"/>
      <c r="S3" s="401"/>
      <c r="T3" s="401"/>
      <c r="U3" s="401"/>
      <c r="V3" s="401"/>
      <c r="W3" s="401"/>
      <c r="X3" s="401"/>
      <c r="Y3" s="401"/>
      <c r="Z3" s="401"/>
      <c r="AA3" s="401"/>
      <c r="AB3" s="892"/>
      <c r="AC3" s="43"/>
      <c r="AF3" s="403"/>
      <c r="AG3" s="464"/>
    </row>
    <row r="4" spans="1:34" s="402" customFormat="1">
      <c r="A4" s="1562" t="s">
        <v>381</v>
      </c>
      <c r="B4" s="1549"/>
      <c r="C4" s="1549"/>
      <c r="D4" s="1549"/>
      <c r="E4" s="1549"/>
      <c r="F4" s="1549"/>
      <c r="G4" s="1549"/>
      <c r="H4" s="404"/>
      <c r="I4" s="780"/>
      <c r="J4" s="412"/>
      <c r="K4" s="412"/>
      <c r="L4" s="412"/>
      <c r="M4" s="412"/>
      <c r="N4" s="412"/>
      <c r="O4" s="412"/>
      <c r="P4" s="412"/>
      <c r="Q4" s="412"/>
      <c r="R4" s="412"/>
      <c r="S4" s="412"/>
      <c r="T4" s="412"/>
      <c r="U4" s="412"/>
      <c r="V4" s="412"/>
      <c r="W4" s="412"/>
      <c r="X4" s="412"/>
      <c r="Y4" s="412"/>
      <c r="Z4" s="412"/>
      <c r="AA4" s="684"/>
      <c r="AB4" s="893"/>
      <c r="AC4" s="412"/>
      <c r="AF4" s="403"/>
      <c r="AG4" s="464"/>
    </row>
    <row r="5" spans="1:34" s="402" customFormat="1">
      <c r="A5" s="1562" t="s">
        <v>346</v>
      </c>
      <c r="B5" s="1549"/>
      <c r="C5" s="1549"/>
      <c r="D5" s="1549"/>
      <c r="E5" s="1549"/>
      <c r="F5" s="1549"/>
      <c r="G5" s="1549"/>
      <c r="H5" s="404"/>
      <c r="I5" s="780"/>
      <c r="J5" s="412"/>
      <c r="K5" s="412"/>
      <c r="L5" s="412"/>
      <c r="M5" s="412"/>
      <c r="N5" s="412"/>
      <c r="O5" s="412"/>
      <c r="P5" s="412"/>
      <c r="Q5" s="412"/>
      <c r="R5" s="412"/>
      <c r="S5" s="412"/>
      <c r="T5" s="412"/>
      <c r="U5" s="412"/>
      <c r="V5" s="412"/>
      <c r="W5" s="412"/>
      <c r="X5" s="412"/>
      <c r="Y5" s="412"/>
      <c r="Z5" s="412"/>
      <c r="AA5" s="684"/>
      <c r="AB5" s="893"/>
      <c r="AC5" s="412"/>
      <c r="AF5" s="403"/>
      <c r="AG5" s="464"/>
    </row>
    <row r="6" spans="1:34" s="402" customFormat="1">
      <c r="A6" s="1562" t="s">
        <v>345</v>
      </c>
      <c r="B6" s="1549"/>
      <c r="C6" s="1549"/>
      <c r="D6" s="1549"/>
      <c r="E6" s="1549"/>
      <c r="F6" s="1549"/>
      <c r="G6" s="1549"/>
      <c r="H6" s="404"/>
      <c r="I6" s="780"/>
      <c r="J6" s="412"/>
      <c r="K6" s="412"/>
      <c r="L6" s="412"/>
      <c r="M6" s="412"/>
      <c r="N6" s="412"/>
      <c r="O6" s="412"/>
      <c r="P6" s="412"/>
      <c r="Q6" s="412"/>
      <c r="R6" s="412"/>
      <c r="S6" s="412"/>
      <c r="T6" s="412"/>
      <c r="U6" s="412"/>
      <c r="V6" s="412"/>
      <c r="W6" s="412"/>
      <c r="X6" s="412"/>
      <c r="Y6" s="412"/>
      <c r="Z6" s="412"/>
      <c r="AA6" s="684"/>
      <c r="AB6" s="893"/>
      <c r="AC6" s="412"/>
      <c r="AF6" s="403"/>
      <c r="AG6" s="464"/>
    </row>
    <row r="7" spans="1:34" s="402" customFormat="1">
      <c r="A7" s="1562" t="s">
        <v>344</v>
      </c>
      <c r="B7" s="1549"/>
      <c r="C7" s="1549"/>
      <c r="D7" s="1549"/>
      <c r="E7" s="1549"/>
      <c r="F7" s="1549"/>
      <c r="G7" s="1549"/>
      <c r="H7" s="404"/>
      <c r="I7" s="780"/>
      <c r="J7" s="412"/>
      <c r="K7" s="412"/>
      <c r="L7" s="412"/>
      <c r="M7" s="412"/>
      <c r="N7" s="412"/>
      <c r="O7" s="412"/>
      <c r="P7" s="412"/>
      <c r="Q7" s="412"/>
      <c r="R7" s="412"/>
      <c r="S7" s="412"/>
      <c r="T7" s="412"/>
      <c r="U7" s="412"/>
      <c r="V7" s="412"/>
      <c r="W7" s="412"/>
      <c r="X7" s="412"/>
      <c r="Y7" s="412"/>
      <c r="Z7" s="412"/>
      <c r="AA7" s="684"/>
      <c r="AB7" s="893"/>
      <c r="AC7" s="412"/>
      <c r="AF7" s="403"/>
      <c r="AG7" s="464"/>
    </row>
    <row r="8" spans="1:34" s="402" customFormat="1">
      <c r="A8" s="1563" t="s">
        <v>8</v>
      </c>
      <c r="B8" s="1564"/>
      <c r="C8" s="1564"/>
      <c r="D8" s="1564"/>
      <c r="E8" s="1564"/>
      <c r="F8" s="1564"/>
      <c r="G8" s="1564"/>
      <c r="H8" s="404"/>
      <c r="I8" s="780"/>
      <c r="J8" s="412"/>
      <c r="K8" s="412"/>
      <c r="L8" s="412"/>
      <c r="M8" s="412"/>
      <c r="N8" s="412"/>
      <c r="O8" s="412"/>
      <c r="P8" s="412"/>
      <c r="Q8" s="412"/>
      <c r="R8" s="412"/>
      <c r="S8" s="412"/>
      <c r="T8" s="412"/>
      <c r="U8" s="412"/>
      <c r="V8" s="412"/>
      <c r="W8" s="412"/>
      <c r="X8" s="412"/>
      <c r="Y8" s="412"/>
      <c r="Z8" s="412"/>
      <c r="AA8" s="684"/>
      <c r="AB8" s="893"/>
      <c r="AC8" s="412"/>
      <c r="AF8" s="403"/>
      <c r="AG8" s="464"/>
    </row>
    <row r="9" spans="1:34" s="405" customFormat="1">
      <c r="A9" s="1401" t="s">
        <v>9</v>
      </c>
      <c r="B9" s="1549" t="s">
        <v>10</v>
      </c>
      <c r="C9" s="1549"/>
      <c r="D9" s="1549"/>
      <c r="E9" s="420"/>
      <c r="F9" s="420"/>
      <c r="G9" s="420"/>
      <c r="H9" s="404"/>
      <c r="I9" s="780"/>
      <c r="J9" s="412"/>
      <c r="K9" s="412"/>
      <c r="L9" s="412"/>
      <c r="M9" s="412"/>
      <c r="N9" s="412"/>
      <c r="O9" s="412"/>
      <c r="P9" s="412"/>
      <c r="Q9" s="412"/>
      <c r="R9" s="412"/>
      <c r="S9" s="412"/>
      <c r="T9" s="412"/>
      <c r="U9" s="412"/>
      <c r="V9" s="412"/>
      <c r="W9" s="412"/>
      <c r="X9" s="412"/>
      <c r="Y9" s="412"/>
      <c r="Z9" s="412"/>
      <c r="AA9" s="684"/>
      <c r="AB9" s="893"/>
      <c r="AC9" s="412"/>
      <c r="AF9" s="406"/>
      <c r="AG9" s="407"/>
    </row>
    <row r="10" spans="1:34" s="405" customFormat="1">
      <c r="A10" s="1401" t="s">
        <v>11</v>
      </c>
      <c r="B10" s="1549" t="s">
        <v>12</v>
      </c>
      <c r="C10" s="1549"/>
      <c r="D10" s="1549"/>
      <c r="E10" s="1549"/>
      <c r="F10" s="1549"/>
      <c r="G10" s="1549"/>
      <c r="H10" s="404"/>
      <c r="I10" s="780"/>
      <c r="J10" s="412"/>
      <c r="K10" s="412"/>
      <c r="L10" s="412"/>
      <c r="M10" s="412"/>
      <c r="N10" s="412"/>
      <c r="O10" s="412"/>
      <c r="P10" s="412"/>
      <c r="Q10" s="412"/>
      <c r="R10" s="412"/>
      <c r="S10" s="412"/>
      <c r="T10" s="412"/>
      <c r="U10" s="412"/>
      <c r="V10" s="412"/>
      <c r="W10" s="412"/>
      <c r="X10" s="412"/>
      <c r="Y10" s="412"/>
      <c r="Z10" s="412"/>
      <c r="AA10" s="684"/>
      <c r="AB10" s="893"/>
      <c r="AC10" s="412"/>
      <c r="AF10" s="406"/>
      <c r="AG10" s="407"/>
    </row>
    <row r="11" spans="1:34" s="405" customFormat="1">
      <c r="A11" s="894" t="s">
        <v>13</v>
      </c>
      <c r="B11" s="1549" t="s">
        <v>14</v>
      </c>
      <c r="C11" s="1549"/>
      <c r="D11" s="1549"/>
      <c r="E11" s="1549"/>
      <c r="F11" s="1549"/>
      <c r="G11" s="1549"/>
      <c r="H11" s="404"/>
      <c r="I11" s="780"/>
      <c r="J11" s="412"/>
      <c r="K11" s="412"/>
      <c r="L11" s="412"/>
      <c r="M11" s="412"/>
      <c r="N11" s="412"/>
      <c r="O11" s="412"/>
      <c r="P11" s="412"/>
      <c r="Q11" s="412"/>
      <c r="R11" s="412"/>
      <c r="S11" s="412"/>
      <c r="T11" s="412"/>
      <c r="U11" s="412"/>
      <c r="V11" s="412"/>
      <c r="W11" s="412"/>
      <c r="X11" s="412"/>
      <c r="Y11" s="412"/>
      <c r="Z11" s="412"/>
      <c r="AA11" s="684"/>
      <c r="AB11" s="893"/>
      <c r="AC11" s="412"/>
      <c r="AF11" s="406"/>
      <c r="AG11" s="407"/>
    </row>
    <row r="12" spans="1:34" s="405" customFormat="1">
      <c r="A12" s="895" t="s">
        <v>15</v>
      </c>
      <c r="B12" s="421">
        <v>43475</v>
      </c>
      <c r="C12" s="883"/>
      <c r="D12" s="422"/>
      <c r="E12" s="422"/>
      <c r="F12" s="422"/>
      <c r="G12" s="422"/>
      <c r="H12" s="404"/>
      <c r="I12" s="780"/>
      <c r="J12" s="412"/>
      <c r="K12" s="412"/>
      <c r="L12" s="412"/>
      <c r="M12" s="412"/>
      <c r="N12" s="412"/>
      <c r="O12" s="412"/>
      <c r="P12" s="412"/>
      <c r="Q12" s="412"/>
      <c r="R12" s="412"/>
      <c r="S12" s="412"/>
      <c r="T12" s="412"/>
      <c r="U12" s="412"/>
      <c r="V12" s="412"/>
      <c r="W12" s="412"/>
      <c r="X12" s="412"/>
      <c r="Y12" s="412"/>
      <c r="Z12" s="412"/>
      <c r="AA12" s="684"/>
      <c r="AB12" s="893"/>
      <c r="AC12" s="412"/>
      <c r="AF12" s="406"/>
      <c r="AG12" s="407"/>
    </row>
    <row r="13" spans="1:34" s="405" customFormat="1">
      <c r="A13" s="896" t="s">
        <v>16</v>
      </c>
      <c r="B13" s="460"/>
      <c r="C13" s="461"/>
      <c r="D13" s="462"/>
      <c r="E13" s="462"/>
      <c r="F13" s="462"/>
      <c r="G13" s="462"/>
      <c r="H13" s="408"/>
      <c r="I13" s="781"/>
      <c r="J13" s="413"/>
      <c r="K13" s="413"/>
      <c r="L13" s="413"/>
      <c r="M13" s="413"/>
      <c r="N13" s="413"/>
      <c r="O13" s="413"/>
      <c r="P13" s="413"/>
      <c r="Q13" s="413"/>
      <c r="R13" s="413"/>
      <c r="S13" s="413"/>
      <c r="T13" s="413"/>
      <c r="U13" s="413"/>
      <c r="V13" s="413"/>
      <c r="W13" s="413"/>
      <c r="X13" s="413"/>
      <c r="Y13" s="413"/>
      <c r="Z13" s="413"/>
      <c r="AA13" s="685"/>
      <c r="AB13" s="897"/>
      <c r="AC13" s="412"/>
      <c r="AF13" s="406"/>
      <c r="AG13" s="407"/>
    </row>
    <row r="14" spans="1:34" s="405" customFormat="1">
      <c r="A14" s="898" t="s">
        <v>17</v>
      </c>
      <c r="B14" s="423">
        <f>(B16+B25+B32)+C13-D13</f>
        <v>740000000</v>
      </c>
      <c r="C14" s="423"/>
      <c r="D14" s="883"/>
      <c r="E14" s="883"/>
      <c r="F14" s="883"/>
      <c r="G14" s="883"/>
      <c r="H14" s="249"/>
      <c r="I14" s="771"/>
      <c r="J14" s="249"/>
      <c r="K14" s="409"/>
      <c r="L14" s="409"/>
      <c r="M14" s="410"/>
      <c r="N14" s="410"/>
      <c r="O14" s="410"/>
      <c r="P14" s="410"/>
      <c r="Q14" s="410"/>
      <c r="R14" s="410"/>
      <c r="S14" s="410"/>
      <c r="T14" s="410"/>
      <c r="U14" s="410"/>
      <c r="V14" s="410"/>
      <c r="W14" s="410"/>
      <c r="X14" s="410"/>
      <c r="Y14" s="410"/>
      <c r="Z14" s="410"/>
      <c r="AA14" s="686"/>
      <c r="AB14" s="899"/>
      <c r="AC14" s="463"/>
      <c r="AF14" s="406"/>
      <c r="AG14" s="407"/>
    </row>
    <row r="15" spans="1:34" ht="25.5">
      <c r="A15" s="900" t="s">
        <v>18</v>
      </c>
      <c r="B15" s="155" t="s">
        <v>19</v>
      </c>
      <c r="C15" s="155" t="s">
        <v>20</v>
      </c>
      <c r="D15" s="4" t="s">
        <v>21</v>
      </c>
      <c r="E15" s="4" t="s">
        <v>22</v>
      </c>
      <c r="F15" s="4" t="s">
        <v>379</v>
      </c>
      <c r="G15" s="4" t="s">
        <v>24</v>
      </c>
      <c r="H15" s="5" t="s">
        <v>126</v>
      </c>
      <c r="I15" s="381" t="s">
        <v>279</v>
      </c>
      <c r="J15" s="141" t="s">
        <v>127</v>
      </c>
      <c r="K15" s="6" t="s">
        <v>25</v>
      </c>
      <c r="L15" s="132" t="s">
        <v>128</v>
      </c>
      <c r="M15" s="6" t="s">
        <v>26</v>
      </c>
      <c r="N15" s="326" t="s">
        <v>129</v>
      </c>
      <c r="O15" s="1365" t="s">
        <v>130</v>
      </c>
      <c r="P15" s="1366" t="s">
        <v>131</v>
      </c>
      <c r="Q15" s="1366" t="s">
        <v>132</v>
      </c>
      <c r="R15" s="1366" t="s">
        <v>133</v>
      </c>
      <c r="S15" s="1366" t="s">
        <v>134</v>
      </c>
      <c r="T15" s="1366" t="s">
        <v>135</v>
      </c>
      <c r="U15" s="1366" t="s">
        <v>136</v>
      </c>
      <c r="V15" s="1366" t="s">
        <v>137</v>
      </c>
      <c r="W15" s="1366" t="s">
        <v>138</v>
      </c>
      <c r="X15" s="1366" t="s">
        <v>139</v>
      </c>
      <c r="Y15" s="1366" t="s">
        <v>140</v>
      </c>
      <c r="Z15" s="1366" t="s">
        <v>141</v>
      </c>
      <c r="AA15" s="1403" t="s">
        <v>142</v>
      </c>
      <c r="AB15" s="1404" t="s">
        <v>143</v>
      </c>
      <c r="AC15" s="465" t="s">
        <v>312</v>
      </c>
      <c r="AD15" s="394" t="s">
        <v>145</v>
      </c>
      <c r="AE15" s="394" t="s">
        <v>146</v>
      </c>
      <c r="AF15" s="394" t="s">
        <v>253</v>
      </c>
      <c r="AG15" s="147" t="s">
        <v>258</v>
      </c>
      <c r="AH15" s="623" t="s">
        <v>313</v>
      </c>
    </row>
    <row r="16" spans="1:34" s="7" customFormat="1" ht="99.75" customHeight="1">
      <c r="A16" s="1377" t="s">
        <v>31</v>
      </c>
      <c r="B16" s="156">
        <v>637000000</v>
      </c>
      <c r="C16" s="1383" t="s">
        <v>28</v>
      </c>
      <c r="D16" s="1383" t="s">
        <v>29</v>
      </c>
      <c r="E16" s="1383" t="s">
        <v>334</v>
      </c>
      <c r="F16" s="1383" t="s">
        <v>372</v>
      </c>
      <c r="G16" s="1383" t="s">
        <v>30</v>
      </c>
      <c r="H16" s="473"/>
      <c r="I16" s="782"/>
      <c r="J16" s="474"/>
      <c r="K16" s="475"/>
      <c r="L16" s="476"/>
      <c r="M16" s="475"/>
      <c r="N16" s="477"/>
      <c r="O16" s="478"/>
      <c r="P16" s="479"/>
      <c r="Q16" s="479"/>
      <c r="R16" s="479"/>
      <c r="S16" s="479"/>
      <c r="T16" s="479"/>
      <c r="U16" s="479"/>
      <c r="V16" s="479"/>
      <c r="W16" s="479"/>
      <c r="X16" s="479"/>
      <c r="Y16" s="479"/>
      <c r="Z16" s="479"/>
      <c r="AA16" s="687"/>
      <c r="AB16" s="680"/>
      <c r="AC16" s="495"/>
      <c r="AD16" s="480"/>
      <c r="AE16" s="480"/>
      <c r="AF16" s="481"/>
      <c r="AG16" s="482"/>
      <c r="AH16" s="335"/>
    </row>
    <row r="17" spans="1:34" s="975" customFormat="1">
      <c r="A17" s="969" t="s">
        <v>31</v>
      </c>
      <c r="B17" s="195">
        <f>I17</f>
        <v>0</v>
      </c>
      <c r="C17" s="99" t="s">
        <v>28</v>
      </c>
      <c r="D17" s="99" t="s">
        <v>29</v>
      </c>
      <c r="E17" s="99" t="s">
        <v>334</v>
      </c>
      <c r="F17" s="99" t="s">
        <v>372</v>
      </c>
      <c r="G17" s="99" t="s">
        <v>30</v>
      </c>
      <c r="H17" s="944">
        <v>0</v>
      </c>
      <c r="I17" s="195"/>
      <c r="J17" s="970"/>
      <c r="K17" s="971"/>
      <c r="L17" s="972"/>
      <c r="M17" s="973"/>
      <c r="N17" s="327"/>
      <c r="O17" s="311"/>
      <c r="P17" s="194"/>
      <c r="Q17" s="194"/>
      <c r="R17" s="194"/>
      <c r="S17" s="194"/>
      <c r="T17" s="194"/>
      <c r="U17" s="194"/>
      <c r="V17" s="194"/>
      <c r="W17" s="194"/>
      <c r="X17" s="194"/>
      <c r="Y17" s="194"/>
      <c r="Z17" s="194"/>
      <c r="AA17" s="622">
        <f>SUM(O17:Z17)</f>
        <v>0</v>
      </c>
      <c r="AB17" s="592">
        <f>M17-AA17</f>
        <v>0</v>
      </c>
      <c r="AC17" s="311"/>
      <c r="AD17" s="455"/>
      <c r="AE17" s="466"/>
      <c r="AF17" s="224"/>
      <c r="AG17" s="974"/>
      <c r="AH17" s="974"/>
    </row>
    <row r="18" spans="1:34" s="9" customFormat="1">
      <c r="A18" s="104" t="s">
        <v>31</v>
      </c>
      <c r="B18" s="167">
        <f t="shared" ref="B18:B23" si="0">I18</f>
        <v>0</v>
      </c>
      <c r="C18" s="99" t="s">
        <v>28</v>
      </c>
      <c r="D18" s="99" t="s">
        <v>29</v>
      </c>
      <c r="E18" s="99" t="s">
        <v>334</v>
      </c>
      <c r="F18" s="99" t="s">
        <v>372</v>
      </c>
      <c r="G18" s="99" t="s">
        <v>30</v>
      </c>
      <c r="H18" s="131">
        <v>0</v>
      </c>
      <c r="I18" s="167"/>
      <c r="J18" s="142"/>
      <c r="K18" s="143"/>
      <c r="L18" s="134"/>
      <c r="M18" s="179"/>
      <c r="N18" s="327"/>
      <c r="O18" s="311"/>
      <c r="P18" s="194"/>
      <c r="Q18" s="194"/>
      <c r="R18" s="194"/>
      <c r="S18" s="194"/>
      <c r="T18" s="194"/>
      <c r="U18" s="194"/>
      <c r="V18" s="194"/>
      <c r="W18" s="194"/>
      <c r="X18" s="194"/>
      <c r="Y18" s="194"/>
      <c r="Z18" s="194"/>
      <c r="AA18" s="622">
        <f t="shared" ref="AA18:AA23" si="1">SUM(O18:Z18)</f>
        <v>0</v>
      </c>
      <c r="AB18" s="592">
        <f t="shared" ref="AB18:AB23" si="2">M18-AA18</f>
        <v>0</v>
      </c>
      <c r="AC18" s="311"/>
      <c r="AD18" s="455"/>
      <c r="AE18" s="455"/>
      <c r="AF18" s="224"/>
      <c r="AG18" s="446"/>
      <c r="AH18" s="446"/>
    </row>
    <row r="19" spans="1:34" s="9" customFormat="1">
      <c r="A19" s="104" t="s">
        <v>31</v>
      </c>
      <c r="B19" s="167">
        <f t="shared" si="0"/>
        <v>0</v>
      </c>
      <c r="C19" s="99" t="s">
        <v>28</v>
      </c>
      <c r="D19" s="99" t="s">
        <v>29</v>
      </c>
      <c r="E19" s="99" t="s">
        <v>334</v>
      </c>
      <c r="F19" s="99" t="s">
        <v>372</v>
      </c>
      <c r="G19" s="99" t="s">
        <v>30</v>
      </c>
      <c r="H19" s="131">
        <v>0</v>
      </c>
      <c r="I19" s="167"/>
      <c r="J19" s="142"/>
      <c r="K19" s="143"/>
      <c r="L19" s="134"/>
      <c r="M19" s="179"/>
      <c r="N19" s="327"/>
      <c r="O19" s="311"/>
      <c r="P19" s="194"/>
      <c r="Q19" s="194"/>
      <c r="R19" s="194"/>
      <c r="S19" s="194"/>
      <c r="T19" s="194"/>
      <c r="U19" s="194"/>
      <c r="V19" s="194"/>
      <c r="W19" s="194"/>
      <c r="X19" s="194"/>
      <c r="Y19" s="194"/>
      <c r="Z19" s="194"/>
      <c r="AA19" s="622">
        <f t="shared" si="1"/>
        <v>0</v>
      </c>
      <c r="AB19" s="592">
        <f t="shared" si="2"/>
        <v>0</v>
      </c>
      <c r="AC19" s="311"/>
      <c r="AD19" s="455"/>
      <c r="AE19" s="455"/>
      <c r="AF19" s="224"/>
      <c r="AG19" s="446"/>
      <c r="AH19" s="446"/>
    </row>
    <row r="20" spans="1:34" s="9" customFormat="1">
      <c r="A20" s="104" t="s">
        <v>31</v>
      </c>
      <c r="B20" s="167">
        <f t="shared" si="0"/>
        <v>0</v>
      </c>
      <c r="C20" s="99" t="s">
        <v>28</v>
      </c>
      <c r="D20" s="99" t="s">
        <v>29</v>
      </c>
      <c r="E20" s="99" t="s">
        <v>334</v>
      </c>
      <c r="F20" s="99" t="s">
        <v>372</v>
      </c>
      <c r="G20" s="99" t="s">
        <v>30</v>
      </c>
      <c r="H20" s="131">
        <v>0</v>
      </c>
      <c r="I20" s="167"/>
      <c r="J20" s="142"/>
      <c r="K20" s="143"/>
      <c r="L20" s="134"/>
      <c r="M20" s="179"/>
      <c r="N20" s="327"/>
      <c r="O20" s="311"/>
      <c r="P20" s="194"/>
      <c r="Q20" s="194"/>
      <c r="R20" s="194"/>
      <c r="S20" s="194"/>
      <c r="T20" s="194"/>
      <c r="U20" s="194"/>
      <c r="V20" s="194"/>
      <c r="W20" s="194"/>
      <c r="X20" s="194"/>
      <c r="Y20" s="194"/>
      <c r="Z20" s="194"/>
      <c r="AA20" s="622">
        <f t="shared" si="1"/>
        <v>0</v>
      </c>
      <c r="AB20" s="592">
        <f t="shared" si="2"/>
        <v>0</v>
      </c>
      <c r="AC20" s="311"/>
      <c r="AD20" s="455"/>
      <c r="AE20" s="455"/>
      <c r="AF20" s="224"/>
      <c r="AG20" s="446"/>
      <c r="AH20" s="446"/>
    </row>
    <row r="21" spans="1:34" s="9" customFormat="1">
      <c r="A21" s="104" t="s">
        <v>31</v>
      </c>
      <c r="B21" s="167">
        <f t="shared" si="0"/>
        <v>0</v>
      </c>
      <c r="C21" s="99" t="s">
        <v>28</v>
      </c>
      <c r="D21" s="99" t="s">
        <v>29</v>
      </c>
      <c r="E21" s="99" t="s">
        <v>334</v>
      </c>
      <c r="F21" s="99" t="s">
        <v>372</v>
      </c>
      <c r="G21" s="99" t="s">
        <v>30</v>
      </c>
      <c r="H21" s="131">
        <v>0</v>
      </c>
      <c r="I21" s="167"/>
      <c r="J21" s="142"/>
      <c r="K21" s="143"/>
      <c r="L21" s="134"/>
      <c r="M21" s="179"/>
      <c r="N21" s="327"/>
      <c r="O21" s="311"/>
      <c r="P21" s="194"/>
      <c r="Q21" s="194"/>
      <c r="R21" s="194"/>
      <c r="S21" s="194"/>
      <c r="T21" s="194"/>
      <c r="U21" s="194"/>
      <c r="V21" s="194"/>
      <c r="W21" s="194"/>
      <c r="X21" s="194"/>
      <c r="Y21" s="194"/>
      <c r="Z21" s="194"/>
      <c r="AA21" s="622">
        <f t="shared" si="1"/>
        <v>0</v>
      </c>
      <c r="AB21" s="592">
        <f t="shared" si="2"/>
        <v>0</v>
      </c>
      <c r="AC21" s="311"/>
      <c r="AD21" s="455"/>
      <c r="AE21" s="455"/>
      <c r="AF21" s="224"/>
      <c r="AG21" s="446"/>
      <c r="AH21" s="446"/>
    </row>
    <row r="22" spans="1:34" s="9" customFormat="1">
      <c r="A22" s="104" t="s">
        <v>31</v>
      </c>
      <c r="B22" s="167">
        <f t="shared" si="0"/>
        <v>0</v>
      </c>
      <c r="C22" s="99" t="s">
        <v>28</v>
      </c>
      <c r="D22" s="99" t="s">
        <v>29</v>
      </c>
      <c r="E22" s="99" t="s">
        <v>334</v>
      </c>
      <c r="F22" s="99" t="s">
        <v>372</v>
      </c>
      <c r="G22" s="99" t="s">
        <v>30</v>
      </c>
      <c r="H22" s="131">
        <v>0</v>
      </c>
      <c r="I22" s="167"/>
      <c r="J22" s="142"/>
      <c r="K22" s="143"/>
      <c r="L22" s="134"/>
      <c r="M22" s="179"/>
      <c r="N22" s="327"/>
      <c r="O22" s="311"/>
      <c r="P22" s="194"/>
      <c r="Q22" s="194"/>
      <c r="R22" s="194"/>
      <c r="S22" s="194"/>
      <c r="T22" s="194"/>
      <c r="U22" s="194"/>
      <c r="V22" s="194"/>
      <c r="W22" s="194"/>
      <c r="X22" s="194"/>
      <c r="Y22" s="194"/>
      <c r="Z22" s="194"/>
      <c r="AA22" s="622">
        <f t="shared" si="1"/>
        <v>0</v>
      </c>
      <c r="AB22" s="592">
        <f t="shared" si="2"/>
        <v>0</v>
      </c>
      <c r="AC22" s="311"/>
      <c r="AD22" s="455"/>
      <c r="AE22" s="455"/>
      <c r="AF22" s="224"/>
      <c r="AG22" s="446"/>
      <c r="AH22" s="446"/>
    </row>
    <row r="23" spans="1:34" s="9" customFormat="1">
      <c r="A23" s="104" t="s">
        <v>31</v>
      </c>
      <c r="B23" s="167">
        <f t="shared" si="0"/>
        <v>0</v>
      </c>
      <c r="C23" s="99" t="s">
        <v>28</v>
      </c>
      <c r="D23" s="99" t="s">
        <v>29</v>
      </c>
      <c r="E23" s="99" t="s">
        <v>334</v>
      </c>
      <c r="F23" s="99" t="s">
        <v>372</v>
      </c>
      <c r="G23" s="99" t="s">
        <v>30</v>
      </c>
      <c r="H23" s="131">
        <v>0</v>
      </c>
      <c r="I23" s="167"/>
      <c r="J23" s="142"/>
      <c r="K23" s="143"/>
      <c r="L23" s="134"/>
      <c r="M23" s="179"/>
      <c r="N23" s="327"/>
      <c r="O23" s="311"/>
      <c r="P23" s="194"/>
      <c r="Q23" s="194"/>
      <c r="R23" s="194"/>
      <c r="S23" s="194"/>
      <c r="T23" s="194"/>
      <c r="U23" s="194"/>
      <c r="V23" s="194"/>
      <c r="W23" s="194"/>
      <c r="X23" s="194"/>
      <c r="Y23" s="194"/>
      <c r="Z23" s="194"/>
      <c r="AA23" s="622">
        <f t="shared" si="1"/>
        <v>0</v>
      </c>
      <c r="AB23" s="592">
        <f t="shared" si="2"/>
        <v>0</v>
      </c>
      <c r="AC23" s="311"/>
      <c r="AD23" s="455"/>
      <c r="AE23" s="455"/>
      <c r="AF23" s="224"/>
      <c r="AG23" s="446"/>
      <c r="AH23" s="446"/>
    </row>
    <row r="24" spans="1:34" s="153" customFormat="1">
      <c r="A24" s="901" t="s">
        <v>32</v>
      </c>
      <c r="B24" s="157">
        <f>B16-SUM(B17:B23)</f>
        <v>637000000</v>
      </c>
      <c r="C24" s="10"/>
      <c r="D24" s="12"/>
      <c r="E24" s="12"/>
      <c r="F24" s="12"/>
      <c r="G24" s="12"/>
      <c r="H24" s="14"/>
      <c r="I24" s="157"/>
      <c r="J24" s="172"/>
      <c r="K24" s="150"/>
      <c r="L24" s="152"/>
      <c r="M24" s="180"/>
      <c r="N24" s="328"/>
      <c r="O24" s="320">
        <f t="shared" ref="O24:AB24" si="3">SUM(O17:O23)</f>
        <v>0</v>
      </c>
      <c r="P24" s="150">
        <f t="shared" si="3"/>
        <v>0</v>
      </c>
      <c r="Q24" s="150">
        <f t="shared" si="3"/>
        <v>0</v>
      </c>
      <c r="R24" s="150">
        <f t="shared" si="3"/>
        <v>0</v>
      </c>
      <c r="S24" s="150">
        <f t="shared" si="3"/>
        <v>0</v>
      </c>
      <c r="T24" s="150">
        <f t="shared" si="3"/>
        <v>0</v>
      </c>
      <c r="U24" s="150">
        <f t="shared" si="3"/>
        <v>0</v>
      </c>
      <c r="V24" s="150">
        <f t="shared" si="3"/>
        <v>0</v>
      </c>
      <c r="W24" s="150">
        <f t="shared" si="3"/>
        <v>0</v>
      </c>
      <c r="X24" s="150">
        <f t="shared" si="3"/>
        <v>0</v>
      </c>
      <c r="Y24" s="150">
        <f t="shared" si="3"/>
        <v>0</v>
      </c>
      <c r="Z24" s="150">
        <f t="shared" si="3"/>
        <v>0</v>
      </c>
      <c r="AA24" s="501">
        <f t="shared" si="3"/>
        <v>0</v>
      </c>
      <c r="AB24" s="681">
        <f t="shared" si="3"/>
        <v>0</v>
      </c>
      <c r="AC24" s="496"/>
      <c r="AD24" s="467"/>
      <c r="AE24" s="467"/>
      <c r="AF24" s="468"/>
      <c r="AG24" s="150">
        <f>SUM(AG17:AG23)</f>
        <v>0</v>
      </c>
      <c r="AH24" s="150">
        <f>SUM(AH17:AH23)</f>
        <v>0</v>
      </c>
    </row>
    <row r="25" spans="1:34" s="7" customFormat="1" ht="85.5">
      <c r="A25" s="902" t="s">
        <v>144</v>
      </c>
      <c r="B25" s="158">
        <v>78000000</v>
      </c>
      <c r="C25" s="1399" t="s">
        <v>28</v>
      </c>
      <c r="D25" s="1399" t="s">
        <v>29</v>
      </c>
      <c r="E25" s="1399" t="s">
        <v>33</v>
      </c>
      <c r="F25" s="1399" t="s">
        <v>373</v>
      </c>
      <c r="G25" s="1399" t="s">
        <v>30</v>
      </c>
      <c r="H25" s="976"/>
      <c r="I25" s="13"/>
      <c r="J25" s="13"/>
      <c r="K25" s="13"/>
      <c r="L25" s="13"/>
      <c r="M25" s="13"/>
      <c r="N25" s="1405"/>
      <c r="O25" s="497"/>
      <c r="P25" s="13"/>
      <c r="Q25" s="13"/>
      <c r="R25" s="13"/>
      <c r="S25" s="13"/>
      <c r="T25" s="13"/>
      <c r="U25" s="13"/>
      <c r="V25" s="13"/>
      <c r="W25" s="13"/>
      <c r="X25" s="13"/>
      <c r="Y25" s="13"/>
      <c r="Z25" s="13"/>
      <c r="AA25" s="688"/>
      <c r="AB25" s="682"/>
      <c r="AC25" s="497"/>
      <c r="AD25" s="13"/>
      <c r="AE25" s="13"/>
      <c r="AF25" s="13"/>
      <c r="AG25" s="13"/>
      <c r="AH25" s="335"/>
    </row>
    <row r="26" spans="1:34" s="7" customFormat="1">
      <c r="A26" s="903" t="s">
        <v>34</v>
      </c>
      <c r="B26" s="159">
        <f>I26</f>
        <v>0</v>
      </c>
      <c r="C26" s="101" t="s">
        <v>28</v>
      </c>
      <c r="D26" s="101" t="s">
        <v>29</v>
      </c>
      <c r="E26" s="101" t="s">
        <v>33</v>
      </c>
      <c r="F26" s="101" t="s">
        <v>373</v>
      </c>
      <c r="G26" s="101" t="s">
        <v>30</v>
      </c>
      <c r="H26" s="131">
        <v>0</v>
      </c>
      <c r="I26" s="167"/>
      <c r="J26" s="142"/>
      <c r="K26" s="144"/>
      <c r="L26" s="135"/>
      <c r="M26" s="181"/>
      <c r="N26" s="309"/>
      <c r="O26" s="312"/>
      <c r="P26" s="195"/>
      <c r="Q26" s="195"/>
      <c r="R26" s="195"/>
      <c r="S26" s="195"/>
      <c r="T26" s="195"/>
      <c r="U26" s="195"/>
      <c r="V26" s="195"/>
      <c r="W26" s="195"/>
      <c r="X26" s="195"/>
      <c r="Y26" s="195"/>
      <c r="Z26" s="195"/>
      <c r="AA26" s="622">
        <f>SUM(O26:Z26)</f>
        <v>0</v>
      </c>
      <c r="AB26" s="592">
        <f>M26-AA26</f>
        <v>0</v>
      </c>
      <c r="AC26" s="311"/>
      <c r="AD26" s="466"/>
      <c r="AE26" s="466"/>
      <c r="AF26" s="224"/>
      <c r="AG26" s="445"/>
      <c r="AH26" s="446"/>
    </row>
    <row r="27" spans="1:34" s="7" customFormat="1">
      <c r="A27" s="903" t="s">
        <v>34</v>
      </c>
      <c r="B27" s="159">
        <f t="shared" ref="B27:B30" si="4">I27</f>
        <v>0</v>
      </c>
      <c r="C27" s="101" t="s">
        <v>28</v>
      </c>
      <c r="D27" s="101" t="s">
        <v>29</v>
      </c>
      <c r="E27" s="101" t="s">
        <v>33</v>
      </c>
      <c r="F27" s="101" t="s">
        <v>373</v>
      </c>
      <c r="G27" s="101" t="s">
        <v>30</v>
      </c>
      <c r="H27" s="131">
        <v>0</v>
      </c>
      <c r="I27" s="167"/>
      <c r="J27" s="142"/>
      <c r="K27" s="144"/>
      <c r="L27" s="135"/>
      <c r="M27" s="181"/>
      <c r="N27" s="309"/>
      <c r="O27" s="312"/>
      <c r="P27" s="195"/>
      <c r="Q27" s="195"/>
      <c r="R27" s="195"/>
      <c r="S27" s="195"/>
      <c r="T27" s="195"/>
      <c r="U27" s="195"/>
      <c r="V27" s="195"/>
      <c r="W27" s="194"/>
      <c r="X27" s="195"/>
      <c r="Y27" s="195"/>
      <c r="Z27" s="195"/>
      <c r="AA27" s="622">
        <f>SUM(O27:Z27)</f>
        <v>0</v>
      </c>
      <c r="AB27" s="592">
        <f>M27-AA27</f>
        <v>0</v>
      </c>
      <c r="AC27" s="311"/>
      <c r="AD27" s="466"/>
      <c r="AE27" s="466"/>
      <c r="AF27" s="224"/>
      <c r="AG27" s="445"/>
      <c r="AH27" s="446"/>
    </row>
    <row r="28" spans="1:34" s="7" customFormat="1">
      <c r="A28" s="903" t="s">
        <v>34</v>
      </c>
      <c r="B28" s="159">
        <f t="shared" si="4"/>
        <v>0</v>
      </c>
      <c r="C28" s="101" t="s">
        <v>28</v>
      </c>
      <c r="D28" s="101" t="s">
        <v>29</v>
      </c>
      <c r="E28" s="101" t="s">
        <v>33</v>
      </c>
      <c r="F28" s="101" t="s">
        <v>373</v>
      </c>
      <c r="G28" s="101" t="s">
        <v>30</v>
      </c>
      <c r="H28" s="131">
        <v>0</v>
      </c>
      <c r="I28" s="167"/>
      <c r="J28" s="142"/>
      <c r="K28" s="144"/>
      <c r="L28" s="135"/>
      <c r="M28" s="181"/>
      <c r="N28" s="329"/>
      <c r="O28" s="312"/>
      <c r="P28" s="195"/>
      <c r="Q28" s="195"/>
      <c r="R28" s="195"/>
      <c r="S28" s="195"/>
      <c r="T28" s="195"/>
      <c r="U28" s="195"/>
      <c r="V28" s="195"/>
      <c r="W28" s="195"/>
      <c r="X28" s="195"/>
      <c r="Y28" s="195"/>
      <c r="Z28" s="195"/>
      <c r="AA28" s="622">
        <f>SUM(O28:Z28)</f>
        <v>0</v>
      </c>
      <c r="AB28" s="592">
        <f>M28-AA28</f>
        <v>0</v>
      </c>
      <c r="AC28" s="311"/>
      <c r="AD28" s="466"/>
      <c r="AE28" s="469"/>
      <c r="AF28" s="224"/>
      <c r="AG28" s="445"/>
      <c r="AH28" s="446"/>
    </row>
    <row r="29" spans="1:34" s="7" customFormat="1">
      <c r="A29" s="903" t="s">
        <v>34</v>
      </c>
      <c r="B29" s="159">
        <f t="shared" si="4"/>
        <v>0</v>
      </c>
      <c r="C29" s="101" t="s">
        <v>28</v>
      </c>
      <c r="D29" s="101" t="s">
        <v>29</v>
      </c>
      <c r="E29" s="101" t="s">
        <v>33</v>
      </c>
      <c r="F29" s="101" t="s">
        <v>373</v>
      </c>
      <c r="G29" s="101" t="s">
        <v>30</v>
      </c>
      <c r="H29" s="131">
        <v>0</v>
      </c>
      <c r="I29" s="167"/>
      <c r="J29" s="142"/>
      <c r="K29" s="144"/>
      <c r="L29" s="135"/>
      <c r="M29" s="181"/>
      <c r="N29" s="329"/>
      <c r="O29" s="312"/>
      <c r="P29" s="195"/>
      <c r="Q29" s="195"/>
      <c r="R29" s="195"/>
      <c r="S29" s="195"/>
      <c r="T29" s="195"/>
      <c r="U29" s="195"/>
      <c r="V29" s="195"/>
      <c r="W29" s="195"/>
      <c r="X29" s="195"/>
      <c r="Y29" s="195"/>
      <c r="Z29" s="195"/>
      <c r="AA29" s="622">
        <f>SUM(O29:Z29)</f>
        <v>0</v>
      </c>
      <c r="AB29" s="592"/>
      <c r="AC29" s="311"/>
      <c r="AD29" s="466"/>
      <c r="AE29" s="469"/>
      <c r="AF29" s="224"/>
      <c r="AG29" s="445"/>
      <c r="AH29" s="446"/>
    </row>
    <row r="30" spans="1:34" s="9" customFormat="1">
      <c r="A30" s="903" t="s">
        <v>34</v>
      </c>
      <c r="B30" s="159">
        <f t="shared" si="4"/>
        <v>0</v>
      </c>
      <c r="C30" s="101" t="s">
        <v>28</v>
      </c>
      <c r="D30" s="101" t="s">
        <v>29</v>
      </c>
      <c r="E30" s="101" t="s">
        <v>33</v>
      </c>
      <c r="F30" s="101" t="s">
        <v>373</v>
      </c>
      <c r="G30" s="101" t="s">
        <v>30</v>
      </c>
      <c r="H30" s="131">
        <v>0</v>
      </c>
      <c r="I30" s="167"/>
      <c r="J30" s="142"/>
      <c r="K30" s="175"/>
      <c r="L30" s="176"/>
      <c r="M30" s="182"/>
      <c r="N30" s="330"/>
      <c r="O30" s="311"/>
      <c r="P30" s="195"/>
      <c r="Q30" s="195"/>
      <c r="R30" s="195"/>
      <c r="S30" s="195"/>
      <c r="T30" s="195"/>
      <c r="U30" s="195"/>
      <c r="V30" s="195"/>
      <c r="W30" s="195"/>
      <c r="X30" s="195"/>
      <c r="Y30" s="195"/>
      <c r="Z30" s="195"/>
      <c r="AA30" s="622">
        <f>SUM(O30:Z30)</f>
        <v>0</v>
      </c>
      <c r="AB30" s="592">
        <f>M30-AA30</f>
        <v>0</v>
      </c>
      <c r="AC30" s="311"/>
      <c r="AD30" s="466"/>
      <c r="AE30" s="455"/>
      <c r="AF30" s="224"/>
      <c r="AG30" s="445"/>
      <c r="AH30" s="446"/>
    </row>
    <row r="31" spans="1:34" s="153" customFormat="1">
      <c r="A31" s="904" t="s">
        <v>32</v>
      </c>
      <c r="B31" s="157">
        <f>B25-SUM(B26:B30)</f>
        <v>78000000</v>
      </c>
      <c r="C31" s="10"/>
      <c r="D31" s="12"/>
      <c r="E31" s="12"/>
      <c r="F31" s="12"/>
      <c r="G31" s="12"/>
      <c r="H31" s="14"/>
      <c r="I31" s="157"/>
      <c r="J31" s="172"/>
      <c r="K31" s="150">
        <f>SUM(K26:K30)</f>
        <v>0</v>
      </c>
      <c r="L31" s="152"/>
      <c r="M31" s="180">
        <f>SUM(M26:M30)</f>
        <v>0</v>
      </c>
      <c r="N31" s="328"/>
      <c r="O31" s="321">
        <f t="shared" ref="O31:Z31" si="5">SUM(O26:O30)</f>
        <v>0</v>
      </c>
      <c r="P31" s="150">
        <f t="shared" si="5"/>
        <v>0</v>
      </c>
      <c r="Q31" s="150">
        <f t="shared" si="5"/>
        <v>0</v>
      </c>
      <c r="R31" s="150">
        <f t="shared" si="5"/>
        <v>0</v>
      </c>
      <c r="S31" s="150">
        <f t="shared" si="5"/>
        <v>0</v>
      </c>
      <c r="T31" s="150">
        <f t="shared" si="5"/>
        <v>0</v>
      </c>
      <c r="U31" s="150">
        <f t="shared" si="5"/>
        <v>0</v>
      </c>
      <c r="V31" s="150">
        <f t="shared" si="5"/>
        <v>0</v>
      </c>
      <c r="W31" s="150">
        <f t="shared" si="5"/>
        <v>0</v>
      </c>
      <c r="X31" s="150">
        <f t="shared" si="5"/>
        <v>0</v>
      </c>
      <c r="Y31" s="150">
        <f t="shared" si="5"/>
        <v>0</v>
      </c>
      <c r="Z31" s="150">
        <f t="shared" si="5"/>
        <v>0</v>
      </c>
      <c r="AA31" s="501">
        <f>SUM(AA26:AA30)</f>
        <v>0</v>
      </c>
      <c r="AB31" s="681">
        <f>SUM(AB26:AB30)</f>
        <v>0</v>
      </c>
      <c r="AC31" s="496"/>
      <c r="AD31" s="467"/>
      <c r="AE31" s="467"/>
      <c r="AF31" s="468"/>
      <c r="AG31" s="150">
        <f>SUM(AG26:AG30)</f>
        <v>0</v>
      </c>
      <c r="AH31" s="150">
        <f>SUM(AH26:AH30)</f>
        <v>0</v>
      </c>
    </row>
    <row r="32" spans="1:34" s="7" customFormat="1" ht="83.25" customHeight="1">
      <c r="A32" s="1345" t="s">
        <v>37</v>
      </c>
      <c r="B32" s="158">
        <v>25000000</v>
      </c>
      <c r="C32" s="1400" t="s">
        <v>28</v>
      </c>
      <c r="D32" s="1400" t="s">
        <v>29</v>
      </c>
      <c r="E32" s="1400" t="s">
        <v>35</v>
      </c>
      <c r="F32" s="1400" t="s">
        <v>36</v>
      </c>
      <c r="G32" s="1400" t="s">
        <v>30</v>
      </c>
      <c r="H32" s="483"/>
      <c r="I32" s="783"/>
      <c r="J32" s="484"/>
      <c r="K32" s="485"/>
      <c r="L32" s="486"/>
      <c r="M32" s="487"/>
      <c r="N32" s="488"/>
      <c r="O32" s="489"/>
      <c r="P32" s="490"/>
      <c r="Q32" s="490"/>
      <c r="R32" s="490"/>
      <c r="S32" s="490"/>
      <c r="T32" s="490"/>
      <c r="U32" s="490"/>
      <c r="V32" s="490"/>
      <c r="W32" s="490"/>
      <c r="X32" s="490"/>
      <c r="Y32" s="490"/>
      <c r="Z32" s="490"/>
      <c r="AA32" s="689"/>
      <c r="AB32" s="595"/>
      <c r="AC32" s="498"/>
      <c r="AD32" s="492"/>
      <c r="AE32" s="492"/>
      <c r="AF32" s="493"/>
      <c r="AG32" s="494"/>
      <c r="AH32" s="335"/>
    </row>
    <row r="33" spans="1:35" s="9" customFormat="1">
      <c r="A33" s="927" t="s">
        <v>37</v>
      </c>
      <c r="B33" s="184">
        <f>I33</f>
        <v>0</v>
      </c>
      <c r="C33" s="102" t="s">
        <v>28</v>
      </c>
      <c r="D33" s="102" t="s">
        <v>29</v>
      </c>
      <c r="E33" s="102" t="s">
        <v>35</v>
      </c>
      <c r="F33" s="102" t="s">
        <v>36</v>
      </c>
      <c r="G33" s="102" t="s">
        <v>30</v>
      </c>
      <c r="H33" s="131">
        <v>0</v>
      </c>
      <c r="I33" s="167"/>
      <c r="J33" s="142"/>
      <c r="K33" s="144"/>
      <c r="L33" s="135"/>
      <c r="M33" s="181"/>
      <c r="N33" s="309"/>
      <c r="O33" s="322"/>
      <c r="P33" s="194"/>
      <c r="Q33" s="194"/>
      <c r="R33" s="194"/>
      <c r="S33" s="194"/>
      <c r="T33" s="194"/>
      <c r="U33" s="194"/>
      <c r="V33" s="194"/>
      <c r="W33" s="194"/>
      <c r="X33" s="194"/>
      <c r="Y33" s="194"/>
      <c r="Z33" s="194"/>
      <c r="AA33" s="622">
        <f>SUM(O33:Z33)</f>
        <v>0</v>
      </c>
      <c r="AB33" s="592">
        <f>M33-AA33</f>
        <v>0</v>
      </c>
      <c r="AC33" s="311"/>
      <c r="AD33" s="466"/>
      <c r="AE33" s="466"/>
      <c r="AF33" s="224"/>
      <c r="AG33" s="446"/>
      <c r="AH33" s="446">
        <f>AG33-M33</f>
        <v>0</v>
      </c>
    </row>
    <row r="34" spans="1:35" s="9" customFormat="1">
      <c r="A34" s="927" t="s">
        <v>37</v>
      </c>
      <c r="B34" s="184">
        <f t="shared" ref="B34:B35" si="6">I34</f>
        <v>0</v>
      </c>
      <c r="C34" s="102" t="s">
        <v>28</v>
      </c>
      <c r="D34" s="102" t="s">
        <v>29</v>
      </c>
      <c r="E34" s="102" t="s">
        <v>35</v>
      </c>
      <c r="F34" s="102" t="s">
        <v>36</v>
      </c>
      <c r="G34" s="102" t="s">
        <v>30</v>
      </c>
      <c r="H34" s="131">
        <v>0</v>
      </c>
      <c r="I34" s="167"/>
      <c r="J34" s="142"/>
      <c r="K34" s="144"/>
      <c r="L34" s="135"/>
      <c r="M34" s="181"/>
      <c r="N34" s="309"/>
      <c r="O34" s="322"/>
      <c r="P34" s="194"/>
      <c r="Q34" s="194"/>
      <c r="R34" s="194"/>
      <c r="S34" s="194"/>
      <c r="T34" s="194"/>
      <c r="U34" s="194"/>
      <c r="V34" s="194"/>
      <c r="W34" s="194"/>
      <c r="X34" s="194"/>
      <c r="Y34" s="194"/>
      <c r="Z34" s="194"/>
      <c r="AA34" s="622">
        <f>SUM(O34:Z34)</f>
        <v>0</v>
      </c>
      <c r="AB34" s="592">
        <f>M34-AA34</f>
        <v>0</v>
      </c>
      <c r="AC34" s="311"/>
      <c r="AD34" s="466"/>
      <c r="AE34" s="466"/>
      <c r="AF34" s="224"/>
      <c r="AG34" s="446"/>
      <c r="AH34" s="446">
        <f>AG34-M34</f>
        <v>0</v>
      </c>
    </row>
    <row r="35" spans="1:35" s="9" customFormat="1">
      <c r="A35" s="906" t="s">
        <v>37</v>
      </c>
      <c r="B35" s="184">
        <f t="shared" si="6"/>
        <v>0</v>
      </c>
      <c r="C35" s="102" t="s">
        <v>28</v>
      </c>
      <c r="D35" s="102" t="s">
        <v>29</v>
      </c>
      <c r="E35" s="102" t="s">
        <v>35</v>
      </c>
      <c r="F35" s="102" t="s">
        <v>36</v>
      </c>
      <c r="G35" s="102" t="s">
        <v>30</v>
      </c>
      <c r="H35" s="131">
        <v>0</v>
      </c>
      <c r="I35" s="167"/>
      <c r="J35" s="142"/>
      <c r="K35" s="144"/>
      <c r="L35" s="135"/>
      <c r="M35" s="181"/>
      <c r="N35" s="309"/>
      <c r="O35" s="322"/>
      <c r="P35" s="907"/>
      <c r="Q35" s="907"/>
      <c r="R35" s="907"/>
      <c r="S35" s="907"/>
      <c r="T35" s="194"/>
      <c r="U35" s="194"/>
      <c r="V35" s="194"/>
      <c r="W35" s="194"/>
      <c r="X35" s="194"/>
      <c r="Y35" s="194"/>
      <c r="Z35" s="194"/>
      <c r="AA35" s="622">
        <f>SUM(O35:Z35)</f>
        <v>0</v>
      </c>
      <c r="AB35" s="592">
        <f>M35-AA35</f>
        <v>0</v>
      </c>
      <c r="AC35" s="311"/>
      <c r="AD35" s="384"/>
      <c r="AE35" s="336"/>
      <c r="AF35" s="224"/>
      <c r="AG35" s="446"/>
      <c r="AH35" s="446">
        <f>AG35-M35</f>
        <v>0</v>
      </c>
    </row>
    <row r="36" spans="1:35" s="9" customFormat="1">
      <c r="A36" s="904" t="s">
        <v>32</v>
      </c>
      <c r="B36" s="157">
        <f>B32-SUM(B33:B35)</f>
        <v>25000000</v>
      </c>
      <c r="C36" s="14"/>
      <c r="D36" s="14"/>
      <c r="E36" s="14"/>
      <c r="F36" s="14"/>
      <c r="G36" s="14"/>
      <c r="H36" s="14"/>
      <c r="I36" s="157"/>
      <c r="J36" s="172"/>
      <c r="K36" s="15">
        <f>SUM(K33:K34)</f>
        <v>0</v>
      </c>
      <c r="L36" s="136"/>
      <c r="M36" s="15">
        <f>SUM(M33:M34)</f>
        <v>0</v>
      </c>
      <c r="N36" s="813"/>
      <c r="O36" s="323">
        <f t="shared" ref="O36:AB36" si="7">SUM(O33:O35)</f>
        <v>0</v>
      </c>
      <c r="P36" s="15">
        <f>SUM(P33:P34)</f>
        <v>0</v>
      </c>
      <c r="Q36" s="15">
        <f>SUM(Q33:Q34)</f>
        <v>0</v>
      </c>
      <c r="R36" s="15">
        <f>SUM(R33:R34)</f>
        <v>0</v>
      </c>
      <c r="S36" s="15">
        <f>SUM(S33:S34)</f>
        <v>0</v>
      </c>
      <c r="T36" s="15">
        <f t="shared" si="7"/>
        <v>0</v>
      </c>
      <c r="U36" s="15">
        <f t="shared" si="7"/>
        <v>0</v>
      </c>
      <c r="V36" s="15">
        <f t="shared" si="7"/>
        <v>0</v>
      </c>
      <c r="W36" s="15">
        <f t="shared" si="7"/>
        <v>0</v>
      </c>
      <c r="X36" s="15">
        <f t="shared" si="7"/>
        <v>0</v>
      </c>
      <c r="Y36" s="15">
        <f t="shared" si="7"/>
        <v>0</v>
      </c>
      <c r="Z36" s="15">
        <f t="shared" si="7"/>
        <v>0</v>
      </c>
      <c r="AA36" s="236">
        <f t="shared" si="7"/>
        <v>0</v>
      </c>
      <c r="AB36" s="596">
        <f t="shared" si="7"/>
        <v>0</v>
      </c>
      <c r="AC36" s="499"/>
      <c r="AD36" s="470"/>
      <c r="AE36" s="470"/>
      <c r="AF36" s="471"/>
      <c r="AG36" s="15">
        <f>SUM(AG33:AG35)</f>
        <v>0</v>
      </c>
      <c r="AH36" s="15">
        <f>SUM(AH33:AH35)</f>
        <v>0</v>
      </c>
    </row>
    <row r="37" spans="1:35" s="9" customFormat="1">
      <c r="A37" s="908"/>
      <c r="B37" s="185"/>
      <c r="C37" s="186"/>
      <c r="D37" s="187"/>
      <c r="E37" s="186"/>
      <c r="F37" s="186"/>
      <c r="G37" s="188"/>
      <c r="H37" s="187"/>
      <c r="I37" s="775"/>
      <c r="J37" s="189"/>
      <c r="K37" s="190"/>
      <c r="L37" s="191"/>
      <c r="M37" s="192"/>
      <c r="N37" s="238"/>
      <c r="O37" s="324"/>
      <c r="P37" s="8"/>
      <c r="Q37" s="8"/>
      <c r="R37" s="8"/>
      <c r="S37" s="8"/>
      <c r="T37" s="8"/>
      <c r="U37" s="8"/>
      <c r="V37" s="8"/>
      <c r="W37" s="8"/>
      <c r="X37" s="8"/>
      <c r="Y37" s="8"/>
      <c r="Z37" s="8"/>
      <c r="AA37" s="238"/>
      <c r="AB37" s="621"/>
      <c r="AC37" s="324"/>
      <c r="AD37" s="455"/>
      <c r="AE37" s="455"/>
      <c r="AF37" s="224"/>
      <c r="AG37" s="446"/>
    </row>
    <row r="38" spans="1:35" s="168" customFormat="1">
      <c r="A38" s="909" t="s">
        <v>380</v>
      </c>
      <c r="B38" s="160">
        <f>B16+B25+B32</f>
        <v>740000000</v>
      </c>
      <c r="C38" s="16"/>
      <c r="D38" s="17"/>
      <c r="E38" s="16"/>
      <c r="F38" s="16"/>
      <c r="G38" s="18"/>
      <c r="H38" s="17"/>
      <c r="I38" s="784"/>
      <c r="J38" s="173"/>
      <c r="K38" s="145">
        <f>K24+K31+K36</f>
        <v>0</v>
      </c>
      <c r="L38" s="137"/>
      <c r="M38" s="145">
        <f>M24+M31+M36</f>
        <v>0</v>
      </c>
      <c r="N38" s="331"/>
      <c r="O38" s="325">
        <f t="shared" ref="O38:AB38" si="8">O24+O31+O36</f>
        <v>0</v>
      </c>
      <c r="P38" s="248">
        <f t="shared" si="8"/>
        <v>0</v>
      </c>
      <c r="Q38" s="248">
        <f t="shared" si="8"/>
        <v>0</v>
      </c>
      <c r="R38" s="248">
        <f t="shared" si="8"/>
        <v>0</v>
      </c>
      <c r="S38" s="248">
        <f t="shared" si="8"/>
        <v>0</v>
      </c>
      <c r="T38" s="248">
        <f t="shared" si="8"/>
        <v>0</v>
      </c>
      <c r="U38" s="248">
        <f t="shared" si="8"/>
        <v>0</v>
      </c>
      <c r="V38" s="248">
        <f t="shared" si="8"/>
        <v>0</v>
      </c>
      <c r="W38" s="248">
        <f t="shared" si="8"/>
        <v>0</v>
      </c>
      <c r="X38" s="248">
        <f t="shared" si="8"/>
        <v>0</v>
      </c>
      <c r="Y38" s="248">
        <f t="shared" si="8"/>
        <v>0</v>
      </c>
      <c r="Z38" s="248">
        <f t="shared" si="8"/>
        <v>0</v>
      </c>
      <c r="AA38" s="503">
        <f t="shared" si="8"/>
        <v>0</v>
      </c>
      <c r="AB38" s="683">
        <f t="shared" si="8"/>
        <v>0</v>
      </c>
      <c r="AC38" s="500"/>
      <c r="AD38" s="467"/>
      <c r="AE38" s="467"/>
      <c r="AF38" s="468"/>
      <c r="AG38" s="472">
        <f>AG24+AG31+AG36</f>
        <v>0</v>
      </c>
      <c r="AH38" s="472">
        <f>AH24+AH31+AH36</f>
        <v>0</v>
      </c>
      <c r="AI38" s="707" t="e">
        <f>AH38/AG38</f>
        <v>#DIV/0!</v>
      </c>
    </row>
    <row r="39" spans="1:35">
      <c r="A39" s="20"/>
      <c r="B39" s="161"/>
      <c r="C39" s="22"/>
      <c r="D39" s="22"/>
      <c r="E39" s="22"/>
      <c r="F39" s="22"/>
      <c r="G39" s="22"/>
      <c r="H39" s="22"/>
      <c r="I39" s="161"/>
      <c r="J39" s="174"/>
      <c r="K39" s="146"/>
      <c r="L39" s="138"/>
      <c r="M39" s="146"/>
      <c r="N39" s="23"/>
      <c r="O39" s="295"/>
      <c r="P39" s="295"/>
      <c r="Q39" s="295"/>
      <c r="R39" s="295"/>
      <c r="S39" s="295"/>
      <c r="T39" s="295"/>
      <c r="U39" s="295"/>
      <c r="V39" s="295"/>
      <c r="W39" s="295"/>
      <c r="X39" s="295"/>
      <c r="Y39" s="295"/>
      <c r="Z39" s="295"/>
      <c r="AA39" s="910"/>
      <c r="AB39" s="911"/>
    </row>
    <row r="40" spans="1:35">
      <c r="A40" s="20"/>
      <c r="B40" s="161"/>
      <c r="C40" s="1406"/>
      <c r="D40" s="1406"/>
      <c r="E40" s="1406"/>
      <c r="F40" s="1406"/>
      <c r="G40" s="1406"/>
      <c r="H40" s="1406"/>
      <c r="I40" s="161"/>
      <c r="J40" s="174"/>
      <c r="K40" s="146"/>
      <c r="L40" s="138"/>
      <c r="M40" s="146"/>
      <c r="N40" s="23"/>
      <c r="O40" s="295"/>
      <c r="P40" s="295"/>
      <c r="Q40" s="295"/>
      <c r="R40" s="295"/>
      <c r="S40" s="295"/>
      <c r="T40" s="295"/>
      <c r="U40" s="295"/>
      <c r="V40" s="295"/>
      <c r="W40" s="295"/>
      <c r="X40" s="295"/>
      <c r="Y40" s="295"/>
      <c r="Z40" s="295"/>
      <c r="AA40" s="910"/>
      <c r="AB40" s="911"/>
    </row>
    <row r="41" spans="1:35" ht="12.75" customHeight="1">
      <c r="A41" s="20"/>
      <c r="B41" s="161"/>
      <c r="C41" s="925"/>
      <c r="D41" s="925"/>
      <c r="E41" s="925"/>
      <c r="F41" s="925"/>
      <c r="G41" s="925"/>
      <c r="H41" s="22"/>
      <c r="I41" s="161"/>
      <c r="J41" s="174"/>
      <c r="K41" s="146"/>
      <c r="L41" s="138"/>
      <c r="M41" s="146"/>
      <c r="N41" s="23"/>
      <c r="O41" s="295"/>
      <c r="P41" s="295"/>
      <c r="Q41" s="295"/>
      <c r="R41" s="295"/>
      <c r="S41" s="295"/>
      <c r="T41" s="295"/>
      <c r="U41" s="295"/>
      <c r="V41" s="295"/>
      <c r="W41" s="295"/>
      <c r="X41" s="295"/>
      <c r="Y41" s="295"/>
      <c r="Z41" s="295"/>
      <c r="AA41" s="910"/>
      <c r="AB41" s="911"/>
    </row>
    <row r="42" spans="1:35" ht="22.5" customHeight="1">
      <c r="A42" s="24" t="s">
        <v>333</v>
      </c>
      <c r="B42" s="162" t="s">
        <v>19</v>
      </c>
      <c r="C42" s="925"/>
      <c r="D42" s="925"/>
      <c r="E42" s="925"/>
      <c r="F42" s="925"/>
      <c r="G42" s="925"/>
      <c r="H42" s="91"/>
      <c r="I42" s="769"/>
      <c r="J42" s="197"/>
      <c r="K42" s="147" t="s">
        <v>25</v>
      </c>
      <c r="L42" s="147" t="s">
        <v>26</v>
      </c>
      <c r="M42" s="332" t="s">
        <v>27</v>
      </c>
      <c r="N42" s="912" t="s">
        <v>324</v>
      </c>
      <c r="O42" s="878"/>
      <c r="P42" s="878"/>
      <c r="Q42" s="878"/>
      <c r="R42" s="878"/>
      <c r="S42" s="878"/>
      <c r="T42" s="878"/>
      <c r="U42" s="878"/>
      <c r="V42" s="878"/>
      <c r="W42" s="878"/>
      <c r="X42" s="878"/>
      <c r="Y42" s="878"/>
      <c r="Z42" s="878"/>
      <c r="AA42" s="878">
        <f>SUM(O42:Z42)</f>
        <v>0</v>
      </c>
      <c r="AB42" s="913">
        <f>M38-AA42</f>
        <v>0</v>
      </c>
    </row>
    <row r="43" spans="1:35" ht="15.75" customHeight="1">
      <c r="A43" s="27" t="s">
        <v>39</v>
      </c>
      <c r="B43" s="94">
        <f>B16+B25+B32</f>
        <v>740000000</v>
      </c>
      <c r="C43" s="1565" t="s">
        <v>335</v>
      </c>
      <c r="D43" s="1566"/>
      <c r="E43" s="1566"/>
      <c r="F43" s="1566" t="s">
        <v>336</v>
      </c>
      <c r="G43" s="1566"/>
      <c r="H43" s="199"/>
      <c r="I43" s="613"/>
      <c r="J43" s="200"/>
      <c r="K43" s="148">
        <f>K24+K31+K36</f>
        <v>0</v>
      </c>
      <c r="L43" s="148">
        <f>M24+M31+M36</f>
        <v>0</v>
      </c>
      <c r="M43" s="29">
        <f>AA24+AA31+AA36</f>
        <v>0</v>
      </c>
      <c r="N43" s="74"/>
      <c r="O43" s="295"/>
      <c r="P43" s="295"/>
      <c r="Q43" s="295"/>
      <c r="R43" s="295"/>
      <c r="S43" s="295"/>
      <c r="T43" s="295"/>
      <c r="U43" s="295"/>
      <c r="V43" s="295"/>
      <c r="W43" s="295"/>
      <c r="X43" s="295"/>
      <c r="Y43" s="295"/>
      <c r="Z43" s="295"/>
      <c r="AA43" s="910"/>
      <c r="AB43" s="911"/>
    </row>
    <row r="44" spans="1:35" ht="18.75" customHeight="1">
      <c r="A44" s="20"/>
      <c r="B44" s="161"/>
      <c r="C44" s="1567" t="s">
        <v>377</v>
      </c>
      <c r="D44" s="1567"/>
      <c r="E44" s="1567"/>
      <c r="F44" s="1567" t="s">
        <v>337</v>
      </c>
      <c r="G44" s="1567"/>
      <c r="H44" s="22"/>
      <c r="I44" s="161"/>
      <c r="J44" s="174"/>
      <c r="K44" s="138"/>
      <c r="L44" s="148" t="s">
        <v>39</v>
      </c>
      <c r="M44" s="148">
        <f>M38</f>
        <v>0</v>
      </c>
      <c r="N44" s="74"/>
      <c r="O44" s="148">
        <v>0</v>
      </c>
      <c r="P44" s="148">
        <f t="shared" ref="P44:AB44" si="9">P24+P31+P36</f>
        <v>0</v>
      </c>
      <c r="Q44" s="148">
        <f t="shared" si="9"/>
        <v>0</v>
      </c>
      <c r="R44" s="148">
        <f t="shared" si="9"/>
        <v>0</v>
      </c>
      <c r="S44" s="148">
        <f t="shared" si="9"/>
        <v>0</v>
      </c>
      <c r="T44" s="148">
        <f t="shared" si="9"/>
        <v>0</v>
      </c>
      <c r="U44" s="148">
        <f t="shared" si="9"/>
        <v>0</v>
      </c>
      <c r="V44" s="148">
        <f t="shared" si="9"/>
        <v>0</v>
      </c>
      <c r="W44" s="148">
        <f t="shared" si="9"/>
        <v>0</v>
      </c>
      <c r="X44" s="148">
        <f t="shared" si="9"/>
        <v>0</v>
      </c>
      <c r="Y44" s="148">
        <f t="shared" si="9"/>
        <v>0</v>
      </c>
      <c r="Z44" s="148">
        <f t="shared" si="9"/>
        <v>0</v>
      </c>
      <c r="AA44" s="148">
        <f t="shared" si="9"/>
        <v>0</v>
      </c>
      <c r="AB44" s="914">
        <f t="shared" si="9"/>
        <v>0</v>
      </c>
      <c r="AC44" s="199"/>
    </row>
    <row r="45" spans="1:35" ht="13.5" thickBot="1">
      <c r="A45" s="915" t="s">
        <v>40</v>
      </c>
      <c r="B45" s="916"/>
      <c r="C45" s="926"/>
      <c r="D45" s="926"/>
      <c r="E45" s="926"/>
      <c r="F45" s="926"/>
      <c r="G45" s="926"/>
      <c r="H45" s="917"/>
      <c r="I45" s="918"/>
      <c r="J45" s="919"/>
      <c r="K45" s="916"/>
      <c r="L45" s="518"/>
      <c r="M45" s="916"/>
      <c r="N45" s="920"/>
      <c r="O45" s="921"/>
      <c r="P45" s="921"/>
      <c r="Q45" s="921"/>
      <c r="R45" s="921"/>
      <c r="S45" s="921"/>
      <c r="T45" s="921"/>
      <c r="U45" s="921"/>
      <c r="V45" s="921"/>
      <c r="W45" s="921"/>
      <c r="X45" s="921"/>
      <c r="Y45" s="921"/>
      <c r="Z45" s="921"/>
      <c r="AA45" s="922"/>
      <c r="AB45" s="923"/>
    </row>
    <row r="46" spans="1:35">
      <c r="K46" s="540"/>
      <c r="L46" s="540"/>
      <c r="M46" s="540"/>
    </row>
    <row r="47" spans="1:35">
      <c r="K47" s="540"/>
      <c r="L47" s="540"/>
      <c r="M47" s="540"/>
    </row>
    <row r="49" spans="1:6">
      <c r="A49" s="33"/>
      <c r="B49" s="163"/>
      <c r="C49" s="35"/>
      <c r="D49" s="36"/>
    </row>
    <row r="50" spans="1:6">
      <c r="A50" s="37"/>
      <c r="B50" s="164"/>
      <c r="C50" s="39"/>
      <c r="D50" s="40"/>
    </row>
    <row r="51" spans="1:6">
      <c r="A51" s="37"/>
      <c r="B51" s="164"/>
      <c r="C51" s="39"/>
      <c r="D51" s="40"/>
    </row>
    <row r="52" spans="1:6">
      <c r="A52" s="37"/>
      <c r="B52" s="164"/>
      <c r="C52" s="39"/>
    </row>
    <row r="53" spans="1:6">
      <c r="B53" s="164"/>
    </row>
    <row r="54" spans="1:6">
      <c r="B54" s="164"/>
    </row>
    <row r="55" spans="1:6">
      <c r="B55" s="164"/>
    </row>
    <row r="56" spans="1:6">
      <c r="B56" s="164"/>
    </row>
    <row r="57" spans="1:6">
      <c r="B57" s="164"/>
    </row>
    <row r="58" spans="1:6">
      <c r="B58" s="164"/>
    </row>
    <row r="59" spans="1:6">
      <c r="A59" s="37"/>
      <c r="C59" s="164"/>
    </row>
    <row r="60" spans="1:6">
      <c r="A60" s="37"/>
      <c r="C60" s="164"/>
    </row>
    <row r="61" spans="1:6">
      <c r="A61" s="33"/>
      <c r="B61" s="164"/>
      <c r="C61" s="164"/>
    </row>
    <row r="62" spans="1:6">
      <c r="A62" s="37"/>
      <c r="B62" s="164"/>
      <c r="C62" s="164"/>
      <c r="F62" s="41"/>
    </row>
    <row r="63" spans="1:6">
      <c r="A63" s="37"/>
    </row>
    <row r="64" spans="1:6">
      <c r="B64" s="164"/>
      <c r="C64" s="164"/>
    </row>
    <row r="65" spans="1:2">
      <c r="A65" s="37"/>
    </row>
    <row r="66" spans="1:2">
      <c r="A66" s="37"/>
    </row>
    <row r="67" spans="1:2">
      <c r="A67" s="37"/>
    </row>
    <row r="68" spans="1:2">
      <c r="A68" s="37"/>
    </row>
    <row r="69" spans="1:2">
      <c r="A69" s="37"/>
    </row>
    <row r="70" spans="1:2">
      <c r="A70" s="37"/>
      <c r="B70" s="164"/>
    </row>
    <row r="71" spans="1:2">
      <c r="A71" s="37"/>
      <c r="B71" s="164"/>
    </row>
    <row r="72" spans="1:2">
      <c r="A72" s="37"/>
      <c r="B72" s="164"/>
    </row>
    <row r="73" spans="1:2">
      <c r="A73" s="37"/>
      <c r="B73" s="164"/>
    </row>
    <row r="74" spans="1:2">
      <c r="A74" s="37"/>
      <c r="B74" s="164"/>
    </row>
    <row r="75" spans="1:2">
      <c r="A75" s="37"/>
      <c r="B75" s="164"/>
    </row>
    <row r="76" spans="1:2">
      <c r="A76" s="37"/>
      <c r="B76" s="164"/>
    </row>
    <row r="77" spans="1:2">
      <c r="A77" s="37"/>
      <c r="B77" s="164"/>
    </row>
    <row r="78" spans="1:2">
      <c r="A78" s="37"/>
      <c r="B78" s="164"/>
    </row>
    <row r="79" spans="1:2">
      <c r="A79" s="37"/>
      <c r="B79" s="164"/>
    </row>
    <row r="80" spans="1:2">
      <c r="A80" s="37"/>
      <c r="B80" s="164"/>
    </row>
  </sheetData>
  <mergeCells count="19">
    <mergeCell ref="C43:E43"/>
    <mergeCell ref="C44:E44"/>
    <mergeCell ref="F43:G43"/>
    <mergeCell ref="F44:G44"/>
    <mergeCell ref="B11:G11"/>
    <mergeCell ref="B9:D9"/>
    <mergeCell ref="B10:G10"/>
    <mergeCell ref="A1:A2"/>
    <mergeCell ref="X1:Z1"/>
    <mergeCell ref="AA1:AB1"/>
    <mergeCell ref="X2:Z2"/>
    <mergeCell ref="AA2:AB2"/>
    <mergeCell ref="C1:H1"/>
    <mergeCell ref="C2:G2"/>
    <mergeCell ref="A4:G4"/>
    <mergeCell ref="A5:G5"/>
    <mergeCell ref="A6:G6"/>
    <mergeCell ref="A7:G7"/>
    <mergeCell ref="A8:G8"/>
  </mergeCells>
  <conditionalFormatting sqref="L48:L1048576 L1:L34 L36:L45">
    <cfRule type="duplicateValues" dxfId="37" priority="3"/>
  </conditionalFormatting>
  <conditionalFormatting sqref="AB1:AB1048576">
    <cfRule type="cellIs" dxfId="36" priority="2" operator="lessThan">
      <formula>0</formula>
    </cfRule>
  </conditionalFormatting>
  <conditionalFormatting sqref="L35">
    <cfRule type="duplicateValues" dxfId="35" priority="1"/>
  </conditionalFormatting>
  <printOptions horizontalCentered="1" verticalCentered="1"/>
  <pageMargins left="0.31496062992125984" right="0.27559055118110237" top="0.31496062992125984" bottom="0" header="0" footer="0"/>
  <pageSetup scale="60" fitToWidth="2" fitToHeight="2" orientation="landscape" r:id="rId1"/>
  <headerFooter alignWithMargins="0"/>
  <rowBreaks count="1" manualBreakCount="1">
    <brk id="2" max="16383" man="1"/>
  </rowBreaks>
  <ignoredErrors>
    <ignoredError sqref="AA33:AB35 AA17:AA23" formulaRange="1"/>
    <ignoredError sqref="AA24 AA31" formula="1"/>
    <ignoredError sqref="AA26:AA27" formula="1"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8"/>
  <sheetViews>
    <sheetView zoomScale="80" zoomScaleNormal="80" zoomScaleSheetLayoutView="81" workbookViewId="0">
      <selection activeCell="B58" sqref="B58"/>
    </sheetView>
  </sheetViews>
  <sheetFormatPr baseColWidth="10" defaultRowHeight="12.75"/>
  <cols>
    <col min="1" max="1" width="23.42578125" customWidth="1"/>
    <col min="2" max="2" width="21.42578125" style="31" customWidth="1"/>
    <col min="3" max="3" width="28.140625" customWidth="1"/>
    <col min="4" max="4" width="33.5703125" customWidth="1"/>
    <col min="5" max="5" width="30.140625" customWidth="1"/>
    <col min="6" max="7" width="28.140625" customWidth="1"/>
    <col min="8" max="8" width="11.7109375" style="82" customWidth="1"/>
    <col min="9" max="9" width="14.42578125" style="210" customWidth="1"/>
    <col min="10" max="10" width="9.140625" customWidth="1"/>
    <col min="11" max="11" width="17.5703125" style="149" customWidth="1"/>
    <col min="12" max="12" width="17.28515625" customWidth="1"/>
    <col min="13" max="13" width="16.42578125" style="210" customWidth="1"/>
    <col min="14" max="14" width="11.42578125" style="223" customWidth="1"/>
    <col min="15" max="15" width="11.42578125" style="211" customWidth="1"/>
    <col min="16" max="16" width="13.42578125" style="211" customWidth="1"/>
    <col min="17" max="21" width="14.5703125" style="211" customWidth="1"/>
    <col min="22" max="22" width="14.28515625" style="211" customWidth="1"/>
    <col min="23" max="23" width="18.5703125" style="211" bestFit="1" customWidth="1"/>
    <col min="24" max="24" width="11.42578125" style="211" customWidth="1"/>
    <col min="25" max="25" width="13.7109375" style="211" customWidth="1"/>
    <col min="26" max="26" width="13" style="211" customWidth="1"/>
    <col min="27" max="27" width="18" style="540" customWidth="1"/>
    <col min="28" max="28" width="16.42578125" style="868" customWidth="1"/>
    <col min="29" max="29" width="11" style="82" customWidth="1"/>
    <col min="30" max="30" width="11.42578125" customWidth="1"/>
    <col min="31" max="31" width="13.42578125" customWidth="1"/>
    <col min="32" max="32" width="11.42578125" style="223" customWidth="1"/>
    <col min="33" max="33" width="17.28515625" style="459" customWidth="1"/>
    <col min="34" max="34" width="16.42578125" customWidth="1"/>
    <col min="35" max="35" width="8.28515625" customWidth="1"/>
    <col min="36" max="36" width="15.140625" bestFit="1" customWidth="1"/>
  </cols>
  <sheetData>
    <row r="1" spans="1:34" ht="42.75" customHeight="1">
      <c r="A1" s="1550"/>
      <c r="B1" s="233" t="s">
        <v>0</v>
      </c>
      <c r="C1" s="1558" t="s">
        <v>1</v>
      </c>
      <c r="D1" s="1559"/>
      <c r="E1" s="1559"/>
      <c r="F1" s="1559"/>
      <c r="G1" s="1559"/>
      <c r="H1" s="1559"/>
      <c r="I1" s="1559"/>
      <c r="J1" s="1559"/>
      <c r="K1" s="1559"/>
      <c r="L1" s="1559"/>
      <c r="M1" s="1343"/>
      <c r="N1" s="979"/>
      <c r="O1" s="979"/>
      <c r="P1" s="979"/>
      <c r="Q1" s="979"/>
      <c r="R1" s="979"/>
      <c r="S1" s="979"/>
      <c r="T1" s="979"/>
      <c r="U1" s="979"/>
      <c r="V1" s="979"/>
      <c r="W1" s="979"/>
      <c r="X1" s="980"/>
      <c r="Y1" s="1584" t="s">
        <v>2</v>
      </c>
      <c r="Z1" s="1584"/>
      <c r="AA1" s="1585" t="s">
        <v>3</v>
      </c>
      <c r="AB1" s="1586"/>
      <c r="AC1" s="438"/>
    </row>
    <row r="2" spans="1:34" ht="42.75" customHeight="1">
      <c r="A2" s="1551"/>
      <c r="B2" s="1" t="s">
        <v>4</v>
      </c>
      <c r="C2" s="1560" t="s">
        <v>5</v>
      </c>
      <c r="D2" s="1561"/>
      <c r="E2" s="1561"/>
      <c r="F2" s="1561"/>
      <c r="G2" s="1561"/>
      <c r="H2" s="1561"/>
      <c r="I2" s="1561"/>
      <c r="J2" s="1561"/>
      <c r="K2" s="1561"/>
      <c r="L2" s="1561"/>
      <c r="M2" s="977"/>
      <c r="N2" s="977"/>
      <c r="O2" s="977"/>
      <c r="P2" s="977"/>
      <c r="Q2" s="977"/>
      <c r="R2" s="977"/>
      <c r="S2" s="977"/>
      <c r="T2" s="977"/>
      <c r="U2" s="977"/>
      <c r="V2" s="977"/>
      <c r="W2" s="977"/>
      <c r="X2" s="978"/>
      <c r="Y2" s="1587" t="s">
        <v>6</v>
      </c>
      <c r="Z2" s="1587"/>
      <c r="AA2" s="1588">
        <v>1</v>
      </c>
      <c r="AB2" s="1589"/>
      <c r="AC2" s="438"/>
    </row>
    <row r="3" spans="1:34" ht="13.5" customHeight="1">
      <c r="A3" s="1568" t="s">
        <v>7</v>
      </c>
      <c r="B3" s="1569"/>
      <c r="C3" s="1569"/>
      <c r="D3" s="1569"/>
      <c r="E3" s="1569"/>
      <c r="F3" s="1569"/>
      <c r="G3" s="1569"/>
      <c r="H3" s="42"/>
      <c r="I3" s="770"/>
      <c r="J3" s="43"/>
      <c r="K3" s="770"/>
      <c r="L3" s="401"/>
      <c r="M3" s="1570"/>
      <c r="N3" s="1571"/>
      <c r="O3" s="1571"/>
      <c r="P3" s="1571"/>
      <c r="Q3" s="1571"/>
      <c r="R3" s="1571"/>
      <c r="S3" s="1571"/>
      <c r="T3" s="1571"/>
      <c r="U3" s="1571"/>
      <c r="V3" s="1571"/>
      <c r="W3" s="1571"/>
      <c r="X3" s="1571"/>
      <c r="Y3" s="1571"/>
      <c r="Z3" s="1571"/>
      <c r="AA3" s="1571"/>
      <c r="AB3" s="1572"/>
      <c r="AC3" s="877"/>
    </row>
    <row r="4" spans="1:34" ht="13.5" customHeight="1">
      <c r="A4" s="1579" t="s">
        <v>382</v>
      </c>
      <c r="B4" s="1580"/>
      <c r="C4" s="1580"/>
      <c r="D4" s="1580"/>
      <c r="E4" s="1580"/>
      <c r="F4" s="1580"/>
      <c r="G4" s="1580"/>
      <c r="H4" s="42"/>
      <c r="I4" s="770"/>
      <c r="J4" s="43"/>
      <c r="K4" s="770"/>
      <c r="L4" s="43"/>
      <c r="M4" s="1573"/>
      <c r="N4" s="1574"/>
      <c r="O4" s="1574"/>
      <c r="P4" s="1574"/>
      <c r="Q4" s="1574"/>
      <c r="R4" s="1574"/>
      <c r="S4" s="1574"/>
      <c r="T4" s="1574"/>
      <c r="U4" s="1574"/>
      <c r="V4" s="1574"/>
      <c r="W4" s="1574"/>
      <c r="X4" s="1574"/>
      <c r="Y4" s="1574"/>
      <c r="Z4" s="1574"/>
      <c r="AA4" s="1574"/>
      <c r="AB4" s="1575"/>
      <c r="AC4" s="877"/>
    </row>
    <row r="5" spans="1:34" ht="13.5" customHeight="1">
      <c r="A5" s="1581" t="s">
        <v>343</v>
      </c>
      <c r="B5" s="1580"/>
      <c r="C5" s="1580"/>
      <c r="D5" s="1580"/>
      <c r="E5" s="1580"/>
      <c r="F5" s="1580"/>
      <c r="G5" s="1580"/>
      <c r="H5" s="42"/>
      <c r="I5" s="770"/>
      <c r="J5" s="43"/>
      <c r="K5" s="770"/>
      <c r="L5" s="43"/>
      <c r="M5" s="1573"/>
      <c r="N5" s="1574"/>
      <c r="O5" s="1574"/>
      <c r="P5" s="1574"/>
      <c r="Q5" s="1574"/>
      <c r="R5" s="1574"/>
      <c r="S5" s="1574"/>
      <c r="T5" s="1574"/>
      <c r="U5" s="1574"/>
      <c r="V5" s="1574"/>
      <c r="W5" s="1574"/>
      <c r="X5" s="1574"/>
      <c r="Y5" s="1574"/>
      <c r="Z5" s="1574"/>
      <c r="AA5" s="1574"/>
      <c r="AB5" s="1575"/>
      <c r="AC5" s="877"/>
    </row>
    <row r="6" spans="1:34" ht="13.5" customHeight="1">
      <c r="A6" s="1581" t="s">
        <v>342</v>
      </c>
      <c r="B6" s="1580"/>
      <c r="C6" s="1580"/>
      <c r="D6" s="1580"/>
      <c r="E6" s="1580"/>
      <c r="F6" s="1580"/>
      <c r="G6" s="1580"/>
      <c r="H6" s="42"/>
      <c r="I6" s="770"/>
      <c r="J6" s="43"/>
      <c r="K6" s="770"/>
      <c r="L6" s="43"/>
      <c r="M6" s="1573"/>
      <c r="N6" s="1574"/>
      <c r="O6" s="1574"/>
      <c r="P6" s="1574"/>
      <c r="Q6" s="1574"/>
      <c r="R6" s="1574"/>
      <c r="S6" s="1574"/>
      <c r="T6" s="1574"/>
      <c r="U6" s="1574"/>
      <c r="V6" s="1574"/>
      <c r="W6" s="1574"/>
      <c r="X6" s="1574"/>
      <c r="Y6" s="1574"/>
      <c r="Z6" s="1574"/>
      <c r="AA6" s="1574"/>
      <c r="AB6" s="1575"/>
      <c r="AC6" s="877"/>
    </row>
    <row r="7" spans="1:34" ht="13.5" customHeight="1">
      <c r="A7" s="1581" t="s">
        <v>341</v>
      </c>
      <c r="B7" s="1580"/>
      <c r="C7" s="1580"/>
      <c r="D7" s="1580"/>
      <c r="E7" s="1580"/>
      <c r="F7" s="1580"/>
      <c r="G7" s="1580"/>
      <c r="H7" s="42"/>
      <c r="I7" s="770"/>
      <c r="J7" s="43"/>
      <c r="K7" s="770"/>
      <c r="L7" s="43"/>
      <c r="M7" s="1573"/>
      <c r="N7" s="1574"/>
      <c r="O7" s="1574"/>
      <c r="P7" s="1574"/>
      <c r="Q7" s="1574"/>
      <c r="R7" s="1574"/>
      <c r="S7" s="1574"/>
      <c r="T7" s="1574"/>
      <c r="U7" s="1574"/>
      <c r="V7" s="1574"/>
      <c r="W7" s="1574"/>
      <c r="X7" s="1574"/>
      <c r="Y7" s="1574"/>
      <c r="Z7" s="1574"/>
      <c r="AA7" s="1574"/>
      <c r="AB7" s="1575"/>
      <c r="AC7" s="877"/>
    </row>
    <row r="8" spans="1:34" ht="13.5" customHeight="1">
      <c r="A8" s="1582" t="s">
        <v>41</v>
      </c>
      <c r="B8" s="1583"/>
      <c r="C8" s="1583"/>
      <c r="D8" s="1583"/>
      <c r="E8" s="1583"/>
      <c r="F8" s="1583"/>
      <c r="G8" s="1583"/>
      <c r="H8" s="42"/>
      <c r="I8" s="770"/>
      <c r="J8" s="43"/>
      <c r="K8" s="770"/>
      <c r="L8" s="43"/>
      <c r="M8" s="1573"/>
      <c r="N8" s="1574"/>
      <c r="O8" s="1574"/>
      <c r="P8" s="1574"/>
      <c r="Q8" s="1574"/>
      <c r="R8" s="1574"/>
      <c r="S8" s="1574"/>
      <c r="T8" s="1574"/>
      <c r="U8" s="1574"/>
      <c r="V8" s="1574"/>
      <c r="W8" s="1574"/>
      <c r="X8" s="1574"/>
      <c r="Y8" s="1574"/>
      <c r="Z8" s="1574"/>
      <c r="AA8" s="1574"/>
      <c r="AB8" s="1575"/>
      <c r="AC8" s="877"/>
    </row>
    <row r="9" spans="1:34">
      <c r="A9" s="945" t="s">
        <v>9</v>
      </c>
      <c r="B9" s="1580" t="s">
        <v>10</v>
      </c>
      <c r="C9" s="1580"/>
      <c r="D9" s="1580"/>
      <c r="E9" s="415"/>
      <c r="F9" s="415"/>
      <c r="G9" s="415"/>
      <c r="H9" s="44"/>
      <c r="I9" s="888"/>
      <c r="J9" s="45"/>
      <c r="K9" s="391"/>
      <c r="L9" s="45"/>
      <c r="M9" s="1573"/>
      <c r="N9" s="1574"/>
      <c r="O9" s="1574"/>
      <c r="P9" s="1574"/>
      <c r="Q9" s="1574"/>
      <c r="R9" s="1574"/>
      <c r="S9" s="1574"/>
      <c r="T9" s="1574"/>
      <c r="U9" s="1574"/>
      <c r="V9" s="1574"/>
      <c r="W9" s="1574"/>
      <c r="X9" s="1574"/>
      <c r="Y9" s="1574"/>
      <c r="Z9" s="1574"/>
      <c r="AA9" s="1574"/>
      <c r="AB9" s="1575"/>
      <c r="AC9" s="877"/>
    </row>
    <row r="10" spans="1:34">
      <c r="A10" s="945" t="s">
        <v>11</v>
      </c>
      <c r="B10" s="1580" t="s">
        <v>42</v>
      </c>
      <c r="C10" s="1580"/>
      <c r="D10" s="1580"/>
      <c r="E10" s="1580"/>
      <c r="F10" s="1580"/>
      <c r="G10" s="1580"/>
      <c r="H10" s="44"/>
      <c r="I10" s="888"/>
      <c r="J10" s="45"/>
      <c r="K10" s="391"/>
      <c r="L10" s="45"/>
      <c r="M10" s="1573"/>
      <c r="N10" s="1574"/>
      <c r="O10" s="1574"/>
      <c r="P10" s="1574"/>
      <c r="Q10" s="1574"/>
      <c r="R10" s="1574"/>
      <c r="S10" s="1574"/>
      <c r="T10" s="1574"/>
      <c r="U10" s="1574"/>
      <c r="V10" s="1574"/>
      <c r="W10" s="1574"/>
      <c r="X10" s="1574"/>
      <c r="Y10" s="1574"/>
      <c r="Z10" s="1574"/>
      <c r="AA10" s="1574"/>
      <c r="AB10" s="1575"/>
      <c r="AC10" s="877"/>
    </row>
    <row r="11" spans="1:34">
      <c r="A11" s="1382" t="s">
        <v>13</v>
      </c>
      <c r="B11" s="1580" t="s">
        <v>43</v>
      </c>
      <c r="C11" s="1580"/>
      <c r="D11" s="1580"/>
      <c r="E11" s="1580"/>
      <c r="F11" s="1580"/>
      <c r="G11" s="1580"/>
      <c r="H11" s="44"/>
      <c r="I11" s="888"/>
      <c r="J11" s="45"/>
      <c r="K11" s="391"/>
      <c r="L11" s="45"/>
      <c r="M11" s="1573"/>
      <c r="N11" s="1574"/>
      <c r="O11" s="1574"/>
      <c r="P11" s="1574"/>
      <c r="Q11" s="1574"/>
      <c r="R11" s="1574"/>
      <c r="S11" s="1574"/>
      <c r="T11" s="1574"/>
      <c r="U11" s="1574"/>
      <c r="V11" s="1574"/>
      <c r="W11" s="1574"/>
      <c r="X11" s="1574"/>
      <c r="Y11" s="1574"/>
      <c r="Z11" s="1574"/>
      <c r="AA11" s="1574"/>
      <c r="AB11" s="1575"/>
      <c r="AC11" s="877"/>
    </row>
    <row r="12" spans="1:34">
      <c r="A12" s="46" t="s">
        <v>15</v>
      </c>
      <c r="B12" s="433">
        <v>43475</v>
      </c>
      <c r="C12" s="47"/>
      <c r="D12" s="47"/>
      <c r="E12" s="47"/>
      <c r="F12" s="47"/>
      <c r="G12" s="47"/>
      <c r="H12" s="44"/>
      <c r="I12" s="888"/>
      <c r="J12" s="45"/>
      <c r="K12" s="391"/>
      <c r="L12" s="45"/>
      <c r="M12" s="1573"/>
      <c r="N12" s="1574"/>
      <c r="O12" s="1574"/>
      <c r="P12" s="1574"/>
      <c r="Q12" s="1574"/>
      <c r="R12" s="1574"/>
      <c r="S12" s="1574"/>
      <c r="T12" s="1574"/>
      <c r="U12" s="1574"/>
      <c r="V12" s="1574"/>
      <c r="W12" s="1574"/>
      <c r="X12" s="1574"/>
      <c r="Y12" s="1574"/>
      <c r="Z12" s="1574"/>
      <c r="AA12" s="1574"/>
      <c r="AB12" s="1575"/>
      <c r="AC12" s="877"/>
    </row>
    <row r="13" spans="1:34">
      <c r="A13" s="48" t="s">
        <v>16</v>
      </c>
      <c r="B13" s="450"/>
      <c r="C13" s="451"/>
      <c r="D13" s="451"/>
      <c r="E13" s="451"/>
      <c r="F13" s="451"/>
      <c r="G13" s="451"/>
      <c r="H13" s="49"/>
      <c r="I13" s="889"/>
      <c r="J13" s="50"/>
      <c r="K13" s="392"/>
      <c r="L13" s="50"/>
      <c r="M13" s="1576"/>
      <c r="N13" s="1577"/>
      <c r="O13" s="1577"/>
      <c r="P13" s="1577"/>
      <c r="Q13" s="1577"/>
      <c r="R13" s="1577"/>
      <c r="S13" s="1577"/>
      <c r="T13" s="1577"/>
      <c r="U13" s="1577"/>
      <c r="V13" s="1577"/>
      <c r="W13" s="1577"/>
      <c r="X13" s="1577"/>
      <c r="Y13" s="1577"/>
      <c r="Z13" s="1577"/>
      <c r="AA13" s="1577"/>
      <c r="AB13" s="1578"/>
      <c r="AC13" s="877"/>
    </row>
    <row r="14" spans="1:34">
      <c r="A14" s="1374" t="s">
        <v>257</v>
      </c>
      <c r="B14" s="234">
        <f>(B16+B32+B38)+C13-D13</f>
        <v>6976000000</v>
      </c>
      <c r="C14" s="431"/>
      <c r="D14" s="1375"/>
      <c r="E14" s="1375"/>
      <c r="F14" s="1375"/>
      <c r="G14" s="1376"/>
      <c r="H14" s="249"/>
      <c r="I14" s="771"/>
      <c r="J14" s="249"/>
      <c r="K14" s="863"/>
      <c r="L14" s="250"/>
      <c r="M14" s="866"/>
      <c r="N14" s="366"/>
      <c r="O14" s="366"/>
      <c r="P14" s="366"/>
      <c r="Q14" s="366"/>
      <c r="R14" s="366"/>
      <c r="S14" s="366"/>
      <c r="T14" s="366"/>
      <c r="U14" s="366"/>
      <c r="V14" s="366"/>
      <c r="W14" s="366"/>
      <c r="X14" s="366"/>
      <c r="Y14" s="366"/>
      <c r="Z14" s="366"/>
      <c r="AA14" s="539"/>
      <c r="AB14" s="1390"/>
      <c r="AC14" s="877"/>
    </row>
    <row r="15" spans="1:34" ht="42.75" customHeight="1">
      <c r="A15" s="900" t="s">
        <v>18</v>
      </c>
      <c r="B15" s="1381" t="s">
        <v>19</v>
      </c>
      <c r="C15" s="4" t="s">
        <v>20</v>
      </c>
      <c r="D15" s="4" t="s">
        <v>21</v>
      </c>
      <c r="E15" s="4" t="s">
        <v>22</v>
      </c>
      <c r="F15" s="4" t="s">
        <v>379</v>
      </c>
      <c r="G15" s="4" t="s">
        <v>24</v>
      </c>
      <c r="H15" s="1371" t="s">
        <v>126</v>
      </c>
      <c r="I15" s="1366" t="s">
        <v>279</v>
      </c>
      <c r="J15" s="1372" t="s">
        <v>127</v>
      </c>
      <c r="K15" s="1366" t="s">
        <v>25</v>
      </c>
      <c r="L15" s="1372" t="s">
        <v>128</v>
      </c>
      <c r="M15" s="1366" t="s">
        <v>147</v>
      </c>
      <c r="N15" s="1373" t="s">
        <v>129</v>
      </c>
      <c r="O15" s="1367" t="s">
        <v>130</v>
      </c>
      <c r="P15" s="1368" t="s">
        <v>131</v>
      </c>
      <c r="Q15" s="1368" t="s">
        <v>132</v>
      </c>
      <c r="R15" s="1368" t="s">
        <v>133</v>
      </c>
      <c r="S15" s="1368" t="s">
        <v>134</v>
      </c>
      <c r="T15" s="1368" t="s">
        <v>135</v>
      </c>
      <c r="U15" s="1368" t="s">
        <v>136</v>
      </c>
      <c r="V15" s="1368" t="s">
        <v>137</v>
      </c>
      <c r="W15" s="1368" t="s">
        <v>138</v>
      </c>
      <c r="X15" s="1368" t="s">
        <v>139</v>
      </c>
      <c r="Y15" s="1368" t="s">
        <v>140</v>
      </c>
      <c r="Z15" s="1368" t="s">
        <v>141</v>
      </c>
      <c r="AA15" s="1369" t="s">
        <v>142</v>
      </c>
      <c r="AB15" s="1370" t="s">
        <v>143</v>
      </c>
      <c r="AC15" s="456" t="s">
        <v>332</v>
      </c>
      <c r="AD15" s="364" t="s">
        <v>145</v>
      </c>
      <c r="AE15" s="364" t="s">
        <v>146</v>
      </c>
      <c r="AF15" s="364" t="s">
        <v>253</v>
      </c>
      <c r="AG15" s="332" t="s">
        <v>258</v>
      </c>
      <c r="AH15" s="623" t="s">
        <v>277</v>
      </c>
    </row>
    <row r="16" spans="1:34" s="7" customFormat="1" ht="31.5" customHeight="1">
      <c r="A16" s="1377" t="s">
        <v>44</v>
      </c>
      <c r="B16" s="1378">
        <f>B17+B24+B28</f>
        <v>4049000000</v>
      </c>
      <c r="C16" s="1379"/>
      <c r="D16" s="1379"/>
      <c r="E16" s="1379"/>
      <c r="F16" s="1379"/>
      <c r="G16" s="1380"/>
      <c r="H16" s="968"/>
      <c r="I16" s="772"/>
      <c r="J16" s="624"/>
      <c r="K16" s="625"/>
      <c r="L16" s="475"/>
      <c r="M16" s="626"/>
      <c r="N16" s="627"/>
      <c r="O16" s="628"/>
      <c r="P16" s="629"/>
      <c r="Q16" s="629"/>
      <c r="R16" s="629"/>
      <c r="S16" s="629"/>
      <c r="T16" s="629"/>
      <c r="U16" s="629"/>
      <c r="V16" s="629"/>
      <c r="W16" s="629"/>
      <c r="X16" s="629"/>
      <c r="Y16" s="629"/>
      <c r="Z16" s="629"/>
      <c r="AA16" s="1350"/>
      <c r="AB16" s="1391"/>
      <c r="AC16" s="630"/>
      <c r="AD16" s="631"/>
      <c r="AE16" s="631"/>
      <c r="AF16" s="632"/>
      <c r="AG16" s="482"/>
      <c r="AH16" s="633"/>
    </row>
    <row r="17" spans="1:36" s="9" customFormat="1" ht="71.25">
      <c r="A17" s="953" t="s">
        <v>44</v>
      </c>
      <c r="B17" s="217">
        <v>3669000000</v>
      </c>
      <c r="C17" s="1383" t="s">
        <v>45</v>
      </c>
      <c r="D17" s="1383" t="s">
        <v>46</v>
      </c>
      <c r="E17" s="1383" t="s">
        <v>47</v>
      </c>
      <c r="F17" s="1383" t="s">
        <v>374</v>
      </c>
      <c r="G17" s="1384" t="s">
        <v>48</v>
      </c>
      <c r="H17" s="1346">
        <v>0</v>
      </c>
      <c r="I17" s="639"/>
      <c r="J17" s="552"/>
      <c r="K17" s="552"/>
      <c r="L17" s="552"/>
      <c r="M17" s="552"/>
      <c r="N17" s="1347"/>
      <c r="O17" s="929"/>
      <c r="P17" s="929"/>
      <c r="Q17" s="929"/>
      <c r="R17" s="929"/>
      <c r="S17" s="929"/>
      <c r="T17" s="635"/>
      <c r="U17" s="635"/>
      <c r="V17" s="635"/>
      <c r="W17" s="635"/>
      <c r="X17" s="635"/>
      <c r="Y17" s="635"/>
      <c r="Z17" s="635"/>
      <c r="AA17" s="1351"/>
      <c r="AB17" s="1392"/>
      <c r="AC17" s="636"/>
      <c r="AD17" s="552"/>
      <c r="AE17" s="552"/>
      <c r="AF17" s="552"/>
      <c r="AG17" s="637"/>
      <c r="AH17" s="634"/>
    </row>
    <row r="18" spans="1:36" s="9" customFormat="1">
      <c r="A18" s="104" t="s">
        <v>44</v>
      </c>
      <c r="B18" s="204">
        <f>I18</f>
        <v>0</v>
      </c>
      <c r="C18" s="99" t="s">
        <v>45</v>
      </c>
      <c r="D18" s="99" t="s">
        <v>46</v>
      </c>
      <c r="E18" s="99" t="s">
        <v>47</v>
      </c>
      <c r="F18" s="99" t="s">
        <v>374</v>
      </c>
      <c r="G18" s="103" t="s">
        <v>48</v>
      </c>
      <c r="H18" s="203">
        <v>0</v>
      </c>
      <c r="I18" s="760"/>
      <c r="J18" s="205"/>
      <c r="K18" s="179"/>
      <c r="L18" s="140"/>
      <c r="M18" s="209"/>
      <c r="N18" s="306"/>
      <c r="O18" s="300"/>
      <c r="P18" s="212"/>
      <c r="Q18" s="212"/>
      <c r="R18" s="212"/>
      <c r="S18" s="212"/>
      <c r="T18" s="212"/>
      <c r="U18" s="212"/>
      <c r="V18" s="212"/>
      <c r="W18" s="212"/>
      <c r="X18" s="212"/>
      <c r="Y18" s="212"/>
      <c r="Z18" s="212"/>
      <c r="AA18" s="1352">
        <f t="shared" ref="AA18:AA19" si="0">SUM(O18:Z18)</f>
        <v>0</v>
      </c>
      <c r="AB18" s="1360">
        <f t="shared" ref="AB18:AB19" si="1">M18-AA18</f>
        <v>0</v>
      </c>
      <c r="AC18" s="504"/>
      <c r="AD18" s="336"/>
      <c r="AE18" s="384"/>
      <c r="AF18" s="208"/>
      <c r="AG18" s="446"/>
      <c r="AH18" s="444">
        <f>AG18-M18</f>
        <v>0</v>
      </c>
    </row>
    <row r="19" spans="1:36" s="9" customFormat="1">
      <c r="A19" s="104" t="s">
        <v>44</v>
      </c>
      <c r="B19" s="204">
        <f t="shared" ref="B19:B22" si="2">I19</f>
        <v>0</v>
      </c>
      <c r="C19" s="100" t="s">
        <v>45</v>
      </c>
      <c r="D19" s="100" t="s">
        <v>46</v>
      </c>
      <c r="E19" s="100" t="s">
        <v>47</v>
      </c>
      <c r="F19" s="100" t="s">
        <v>374</v>
      </c>
      <c r="G19" s="105" t="s">
        <v>48</v>
      </c>
      <c r="H19" s="203">
        <v>0</v>
      </c>
      <c r="I19" s="760"/>
      <c r="J19" s="205"/>
      <c r="K19" s="179"/>
      <c r="L19" s="140"/>
      <c r="M19" s="209"/>
      <c r="N19" s="306"/>
      <c r="O19" s="300"/>
      <c r="P19" s="212"/>
      <c r="Q19" s="212"/>
      <c r="R19" s="212"/>
      <c r="S19" s="212"/>
      <c r="T19" s="212"/>
      <c r="U19" s="212"/>
      <c r="V19" s="212"/>
      <c r="W19" s="212"/>
      <c r="X19" s="212"/>
      <c r="Y19" s="212"/>
      <c r="Z19" s="212"/>
      <c r="AA19" s="1352">
        <f t="shared" si="0"/>
        <v>0</v>
      </c>
      <c r="AB19" s="1360">
        <f t="shared" si="1"/>
        <v>0</v>
      </c>
      <c r="AC19" s="504"/>
      <c r="AD19" s="336"/>
      <c r="AE19" s="336"/>
      <c r="AF19" s="208"/>
      <c r="AG19" s="446"/>
      <c r="AH19" s="444">
        <f>AG19-M19</f>
        <v>0</v>
      </c>
    </row>
    <row r="20" spans="1:36" s="9" customFormat="1">
      <c r="A20" s="104" t="s">
        <v>44</v>
      </c>
      <c r="B20" s="204">
        <f t="shared" si="2"/>
        <v>0</v>
      </c>
      <c r="C20" s="100" t="s">
        <v>45</v>
      </c>
      <c r="D20" s="100" t="s">
        <v>46</v>
      </c>
      <c r="E20" s="100" t="s">
        <v>47</v>
      </c>
      <c r="F20" s="100" t="s">
        <v>374</v>
      </c>
      <c r="G20" s="105" t="s">
        <v>48</v>
      </c>
      <c r="H20" s="203">
        <v>0</v>
      </c>
      <c r="I20" s="760"/>
      <c r="J20" s="205"/>
      <c r="K20" s="179"/>
      <c r="L20" s="140"/>
      <c r="M20" s="700"/>
      <c r="N20" s="306"/>
      <c r="O20" s="701"/>
      <c r="P20" s="701"/>
      <c r="Q20" s="701"/>
      <c r="R20" s="701"/>
      <c r="S20" s="701"/>
      <c r="T20" s="701"/>
      <c r="U20" s="701"/>
      <c r="V20" s="702"/>
      <c r="W20" s="212"/>
      <c r="X20" s="701"/>
      <c r="Y20" s="701"/>
      <c r="Z20" s="701"/>
      <c r="AA20" s="1352">
        <f t="shared" ref="AA20:AA22" si="3">SUM(O20:Z20)</f>
        <v>0</v>
      </c>
      <c r="AB20" s="1360">
        <f t="shared" ref="AB20:AB22" si="4">M20-AA20</f>
        <v>0</v>
      </c>
      <c r="AC20" s="300"/>
      <c r="AD20" s="384"/>
      <c r="AE20" s="336"/>
      <c r="AF20" s="208"/>
      <c r="AG20" s="875"/>
      <c r="AH20" s="444">
        <f t="shared" ref="AH20:AH22" si="5">AG20-M20</f>
        <v>0</v>
      </c>
    </row>
    <row r="21" spans="1:36" s="9" customFormat="1">
      <c r="A21" s="104" t="s">
        <v>44</v>
      </c>
      <c r="B21" s="204">
        <f t="shared" si="2"/>
        <v>0</v>
      </c>
      <c r="C21" s="100" t="s">
        <v>45</v>
      </c>
      <c r="D21" s="100" t="s">
        <v>46</v>
      </c>
      <c r="E21" s="100" t="s">
        <v>47</v>
      </c>
      <c r="F21" s="100" t="s">
        <v>374</v>
      </c>
      <c r="G21" s="105" t="s">
        <v>48</v>
      </c>
      <c r="H21" s="203">
        <v>0</v>
      </c>
      <c r="I21" s="760"/>
      <c r="J21" s="205"/>
      <c r="K21" s="179"/>
      <c r="L21" s="140"/>
      <c r="M21" s="700"/>
      <c r="N21" s="306"/>
      <c r="O21" s="701"/>
      <c r="P21" s="701"/>
      <c r="Q21" s="701"/>
      <c r="R21" s="701"/>
      <c r="S21" s="701"/>
      <c r="T21" s="701"/>
      <c r="U21" s="701"/>
      <c r="V21" s="702"/>
      <c r="W21" s="212"/>
      <c r="X21" s="701"/>
      <c r="Y21" s="701"/>
      <c r="Z21" s="701"/>
      <c r="AA21" s="1352">
        <f t="shared" si="3"/>
        <v>0</v>
      </c>
      <c r="AB21" s="1360">
        <f t="shared" si="4"/>
        <v>0</v>
      </c>
      <c r="AC21" s="300"/>
      <c r="AD21" s="384"/>
      <c r="AE21" s="336"/>
      <c r="AF21" s="208"/>
      <c r="AG21" s="875"/>
      <c r="AH21" s="444">
        <f t="shared" si="5"/>
        <v>0</v>
      </c>
    </row>
    <row r="22" spans="1:36" s="9" customFormat="1">
      <c r="A22" s="104" t="s">
        <v>44</v>
      </c>
      <c r="B22" s="204">
        <f t="shared" si="2"/>
        <v>0</v>
      </c>
      <c r="C22" s="100" t="s">
        <v>45</v>
      </c>
      <c r="D22" s="100" t="s">
        <v>46</v>
      </c>
      <c r="E22" s="100" t="s">
        <v>47</v>
      </c>
      <c r="F22" s="100" t="s">
        <v>374</v>
      </c>
      <c r="G22" s="105" t="s">
        <v>48</v>
      </c>
      <c r="H22" s="203">
        <v>0</v>
      </c>
      <c r="I22" s="760"/>
      <c r="J22" s="205"/>
      <c r="K22" s="179"/>
      <c r="L22" s="140"/>
      <c r="M22" s="700"/>
      <c r="N22" s="306"/>
      <c r="O22" s="701"/>
      <c r="P22" s="701"/>
      <c r="Q22" s="701"/>
      <c r="R22" s="701"/>
      <c r="S22" s="701"/>
      <c r="T22" s="701"/>
      <c r="U22" s="701"/>
      <c r="V22" s="702"/>
      <c r="W22" s="212"/>
      <c r="X22" s="701"/>
      <c r="Y22" s="701"/>
      <c r="Z22" s="701"/>
      <c r="AA22" s="1352">
        <f t="shared" si="3"/>
        <v>0</v>
      </c>
      <c r="AB22" s="1360">
        <f t="shared" si="4"/>
        <v>0</v>
      </c>
      <c r="AC22" s="300"/>
      <c r="AD22" s="384"/>
      <c r="AE22" s="336"/>
      <c r="AF22" s="208"/>
      <c r="AG22" s="875"/>
      <c r="AH22" s="444">
        <f t="shared" si="5"/>
        <v>0</v>
      </c>
    </row>
    <row r="23" spans="1:36" s="9" customFormat="1">
      <c r="A23" s="202" t="s">
        <v>32</v>
      </c>
      <c r="B23" s="59">
        <f>B17-SUM(B18:B22)</f>
        <v>3669000000</v>
      </c>
      <c r="C23" s="60"/>
      <c r="D23" s="60"/>
      <c r="E23" s="60"/>
      <c r="F23" s="60"/>
      <c r="G23" s="61"/>
      <c r="H23" s="62"/>
      <c r="I23" s="756"/>
      <c r="J23" s="63"/>
      <c r="K23" s="207">
        <f>SUM(K18:K22)</f>
        <v>0</v>
      </c>
      <c r="L23" s="64"/>
      <c r="M23" s="207">
        <f>SUM(M18:M22)</f>
        <v>0</v>
      </c>
      <c r="N23" s="235"/>
      <c r="O23" s="207">
        <f t="shared" ref="O23:AB23" si="6">SUM(O18:O22)</f>
        <v>0</v>
      </c>
      <c r="P23" s="207">
        <f t="shared" si="6"/>
        <v>0</v>
      </c>
      <c r="Q23" s="207">
        <f t="shared" si="6"/>
        <v>0</v>
      </c>
      <c r="R23" s="207">
        <f t="shared" si="6"/>
        <v>0</v>
      </c>
      <c r="S23" s="207">
        <f t="shared" si="6"/>
        <v>0</v>
      </c>
      <c r="T23" s="207">
        <f t="shared" si="6"/>
        <v>0</v>
      </c>
      <c r="U23" s="207">
        <f t="shared" si="6"/>
        <v>0</v>
      </c>
      <c r="V23" s="207">
        <f t="shared" si="6"/>
        <v>0</v>
      </c>
      <c r="W23" s="207">
        <f t="shared" si="6"/>
        <v>0</v>
      </c>
      <c r="X23" s="207">
        <f t="shared" si="6"/>
        <v>0</v>
      </c>
      <c r="Y23" s="207">
        <f t="shared" si="6"/>
        <v>0</v>
      </c>
      <c r="Z23" s="207">
        <f t="shared" si="6"/>
        <v>0</v>
      </c>
      <c r="AA23" s="207">
        <f t="shared" si="6"/>
        <v>0</v>
      </c>
      <c r="AB23" s="1359">
        <f t="shared" si="6"/>
        <v>0</v>
      </c>
      <c r="AC23" s="360"/>
      <c r="AD23" s="703"/>
      <c r="AE23" s="703"/>
      <c r="AF23" s="704"/>
      <c r="AG23" s="207">
        <f>SUM(AG18:AG22)</f>
        <v>0</v>
      </c>
      <c r="AH23" s="207">
        <f>SUM(AH18:AH22)</f>
        <v>0</v>
      </c>
      <c r="AI23" s="811">
        <f>B17-AG23</f>
        <v>3669000000</v>
      </c>
      <c r="AJ23" s="447">
        <f>B17-AG23</f>
        <v>3669000000</v>
      </c>
    </row>
    <row r="24" spans="1:36" s="9" customFormat="1" ht="71.25">
      <c r="A24" s="953" t="s">
        <v>44</v>
      </c>
      <c r="B24" s="218">
        <v>340000000</v>
      </c>
      <c r="C24" s="1383" t="s">
        <v>49</v>
      </c>
      <c r="D24" s="1383" t="s">
        <v>46</v>
      </c>
      <c r="E24" s="1383" t="s">
        <v>47</v>
      </c>
      <c r="F24" s="1383" t="s">
        <v>374</v>
      </c>
      <c r="G24" s="1384" t="s">
        <v>48</v>
      </c>
      <c r="H24" s="638">
        <v>0</v>
      </c>
      <c r="I24" s="757"/>
      <c r="J24" s="604"/>
      <c r="K24" s="605"/>
      <c r="L24" s="579"/>
      <c r="M24" s="639"/>
      <c r="N24" s="553"/>
      <c r="O24" s="640"/>
      <c r="P24" s="635"/>
      <c r="Q24" s="635"/>
      <c r="R24" s="635"/>
      <c r="S24" s="635"/>
      <c r="T24" s="635"/>
      <c r="U24" s="635"/>
      <c r="V24" s="635"/>
      <c r="W24" s="635"/>
      <c r="X24" s="635"/>
      <c r="Y24" s="635"/>
      <c r="Z24" s="635"/>
      <c r="AA24" s="1353"/>
      <c r="AB24" s="1393"/>
      <c r="AC24" s="641"/>
      <c r="AD24" s="552"/>
      <c r="AE24" s="552"/>
      <c r="AF24" s="642"/>
      <c r="AG24" s="637"/>
      <c r="AH24" s="634"/>
    </row>
    <row r="25" spans="1:36" s="9" customFormat="1">
      <c r="A25" s="104" t="s">
        <v>44</v>
      </c>
      <c r="B25" s="215">
        <f>I25</f>
        <v>0</v>
      </c>
      <c r="C25" s="99" t="s">
        <v>49</v>
      </c>
      <c r="D25" s="99" t="s">
        <v>46</v>
      </c>
      <c r="E25" s="99" t="s">
        <v>47</v>
      </c>
      <c r="F25" s="99" t="s">
        <v>374</v>
      </c>
      <c r="G25" s="103" t="s">
        <v>48</v>
      </c>
      <c r="H25" s="203">
        <v>0</v>
      </c>
      <c r="I25" s="760"/>
      <c r="J25" s="57"/>
      <c r="K25" s="178"/>
      <c r="L25" s="8"/>
      <c r="M25" s="209"/>
      <c r="N25" s="306"/>
      <c r="O25" s="300"/>
      <c r="P25" s="212"/>
      <c r="Q25" s="212"/>
      <c r="R25" s="212"/>
      <c r="S25" s="212"/>
      <c r="T25" s="212"/>
      <c r="U25" s="212"/>
      <c r="V25" s="212"/>
      <c r="W25" s="212"/>
      <c r="X25" s="212"/>
      <c r="Y25" s="212"/>
      <c r="Z25" s="212"/>
      <c r="AA25" s="1352">
        <f>SUM(O25:Z25)</f>
        <v>0</v>
      </c>
      <c r="AB25" s="1360">
        <f>M25-AA25</f>
        <v>0</v>
      </c>
      <c r="AC25" s="504"/>
      <c r="AD25" s="336"/>
      <c r="AE25" s="336"/>
      <c r="AF25" s="208"/>
      <c r="AG25" s="446"/>
      <c r="AH25" s="444">
        <f>AG25-M25</f>
        <v>0</v>
      </c>
    </row>
    <row r="26" spans="1:36" s="9" customFormat="1">
      <c r="A26" s="104" t="s">
        <v>44</v>
      </c>
      <c r="B26" s="215">
        <f>I26</f>
        <v>0</v>
      </c>
      <c r="C26" s="99" t="s">
        <v>49</v>
      </c>
      <c r="D26" s="100" t="s">
        <v>46</v>
      </c>
      <c r="E26" s="100" t="s">
        <v>47</v>
      </c>
      <c r="F26" s="100" t="s">
        <v>374</v>
      </c>
      <c r="G26" s="105" t="s">
        <v>48</v>
      </c>
      <c r="H26" s="203">
        <v>0</v>
      </c>
      <c r="I26" s="760"/>
      <c r="J26" s="58"/>
      <c r="K26" s="206"/>
      <c r="L26" s="58"/>
      <c r="M26" s="209"/>
      <c r="N26" s="306"/>
      <c r="O26" s="300"/>
      <c r="P26" s="212"/>
      <c r="Q26" s="212"/>
      <c r="R26" s="212"/>
      <c r="S26" s="212"/>
      <c r="T26" s="212"/>
      <c r="U26" s="212"/>
      <c r="V26" s="212"/>
      <c r="W26" s="212"/>
      <c r="X26" s="212"/>
      <c r="Y26" s="212"/>
      <c r="Z26" s="212"/>
      <c r="AA26" s="1352">
        <f>SUM(O26:Z26)</f>
        <v>0</v>
      </c>
      <c r="AB26" s="1360">
        <f>M26-AA26</f>
        <v>0</v>
      </c>
      <c r="AC26" s="504"/>
      <c r="AD26" s="336"/>
      <c r="AE26" s="336"/>
      <c r="AF26" s="208">
        <f>N26</f>
        <v>0</v>
      </c>
      <c r="AG26" s="446"/>
      <c r="AH26" s="444">
        <f>AG26-M26</f>
        <v>0</v>
      </c>
    </row>
    <row r="27" spans="1:36" s="9" customFormat="1">
      <c r="A27" s="213" t="s">
        <v>32</v>
      </c>
      <c r="B27" s="219">
        <f>B24-SUM(B25:B26)</f>
        <v>340000000</v>
      </c>
      <c r="C27" s="106"/>
      <c r="D27" s="106"/>
      <c r="E27" s="106"/>
      <c r="F27" s="106"/>
      <c r="G27" s="107"/>
      <c r="H27" s="62"/>
      <c r="I27" s="756"/>
      <c r="J27" s="63"/>
      <c r="K27" s="207">
        <f>SUM(K25:K26)</f>
        <v>0</v>
      </c>
      <c r="L27" s="64"/>
      <c r="M27" s="207">
        <f>SUM(M25:M26)</f>
        <v>0</v>
      </c>
      <c r="N27" s="235"/>
      <c r="O27" s="301">
        <f>SUM(O25:O26)</f>
        <v>0</v>
      </c>
      <c r="P27" s="207">
        <f>SUM(P25:P26)</f>
        <v>0</v>
      </c>
      <c r="Q27" s="207">
        <f t="shared" ref="Q27:AB27" si="7">SUM(Q25:Q26)</f>
        <v>0</v>
      </c>
      <c r="R27" s="207">
        <f t="shared" si="7"/>
        <v>0</v>
      </c>
      <c r="S27" s="207">
        <f t="shared" si="7"/>
        <v>0</v>
      </c>
      <c r="T27" s="207">
        <f t="shared" si="7"/>
        <v>0</v>
      </c>
      <c r="U27" s="207">
        <f t="shared" si="7"/>
        <v>0</v>
      </c>
      <c r="V27" s="207">
        <f t="shared" si="7"/>
        <v>0</v>
      </c>
      <c r="W27" s="207">
        <f t="shared" si="7"/>
        <v>0</v>
      </c>
      <c r="X27" s="207">
        <f t="shared" si="7"/>
        <v>0</v>
      </c>
      <c r="Y27" s="207">
        <f t="shared" si="7"/>
        <v>0</v>
      </c>
      <c r="Z27" s="207">
        <f t="shared" si="7"/>
        <v>0</v>
      </c>
      <c r="AA27" s="207">
        <f t="shared" si="7"/>
        <v>0</v>
      </c>
      <c r="AB27" s="1359">
        <f t="shared" si="7"/>
        <v>0</v>
      </c>
      <c r="AC27" s="360"/>
      <c r="AD27" s="703"/>
      <c r="AE27" s="703"/>
      <c r="AF27" s="704"/>
      <c r="AG27" s="64">
        <f>SUM(AG25:AG26)</f>
        <v>0</v>
      </c>
      <c r="AH27" s="64">
        <f>SUM(AH25:AH26)</f>
        <v>0</v>
      </c>
      <c r="AI27" s="447">
        <f>B24-AG27</f>
        <v>340000000</v>
      </c>
      <c r="AJ27" s="447">
        <f>B24-AG27</f>
        <v>340000000</v>
      </c>
    </row>
    <row r="28" spans="1:36" s="9" customFormat="1" ht="71.25">
      <c r="A28" s="953" t="s">
        <v>44</v>
      </c>
      <c r="B28" s="218">
        <v>40000000</v>
      </c>
      <c r="C28" s="1383" t="s">
        <v>340</v>
      </c>
      <c r="D28" s="1383" t="s">
        <v>46</v>
      </c>
      <c r="E28" s="1383" t="s">
        <v>47</v>
      </c>
      <c r="F28" s="1383" t="s">
        <v>374</v>
      </c>
      <c r="G28" s="1384" t="s">
        <v>48</v>
      </c>
      <c r="H28" s="203">
        <v>0</v>
      </c>
      <c r="I28" s="762"/>
      <c r="J28" s="57"/>
      <c r="K28" s="178"/>
      <c r="L28" s="8"/>
      <c r="M28" s="178"/>
      <c r="N28" s="238"/>
      <c r="O28" s="304"/>
      <c r="P28" s="178"/>
      <c r="Q28" s="178"/>
      <c r="R28" s="178"/>
      <c r="S28" s="178"/>
      <c r="T28" s="178"/>
      <c r="U28" s="178"/>
      <c r="V28" s="178"/>
      <c r="W28" s="178"/>
      <c r="X28" s="178"/>
      <c r="Y28" s="178"/>
      <c r="Z28" s="178"/>
      <c r="AA28" s="1354">
        <f>SUM(O28:Z28)</f>
        <v>0</v>
      </c>
      <c r="AB28" s="1360">
        <f>M28-AA28</f>
        <v>0</v>
      </c>
      <c r="AC28" s="324"/>
      <c r="AD28" s="336"/>
      <c r="AE28" s="336"/>
      <c r="AF28" s="208"/>
      <c r="AG28" s="8"/>
      <c r="AH28" s="93"/>
      <c r="AI28" s="447"/>
    </row>
    <row r="29" spans="1:36" s="9" customFormat="1">
      <c r="A29" s="104" t="s">
        <v>44</v>
      </c>
      <c r="B29" s="204">
        <f>K29</f>
        <v>0</v>
      </c>
      <c r="C29" s="99" t="s">
        <v>340</v>
      </c>
      <c r="D29" s="99" t="s">
        <v>46</v>
      </c>
      <c r="E29" s="99" t="s">
        <v>47</v>
      </c>
      <c r="F29" s="99" t="s">
        <v>374</v>
      </c>
      <c r="G29" s="103" t="s">
        <v>48</v>
      </c>
      <c r="H29" s="203">
        <v>0</v>
      </c>
      <c r="I29" s="762"/>
      <c r="J29" s="57"/>
      <c r="K29" s="178"/>
      <c r="L29" s="8"/>
      <c r="M29" s="178"/>
      <c r="N29" s="238"/>
      <c r="O29" s="304"/>
      <c r="P29" s="178"/>
      <c r="Q29" s="178"/>
      <c r="R29" s="178"/>
      <c r="S29" s="178"/>
      <c r="T29" s="178"/>
      <c r="U29" s="178"/>
      <c r="V29" s="178"/>
      <c r="W29" s="178"/>
      <c r="X29" s="178"/>
      <c r="Y29" s="178"/>
      <c r="Z29" s="178"/>
      <c r="AA29" s="1352">
        <f>SUM(O29:Z29)</f>
        <v>0</v>
      </c>
      <c r="AB29" s="1360">
        <f>M29-AA29</f>
        <v>0</v>
      </c>
      <c r="AC29" s="324"/>
      <c r="AD29" s="336"/>
      <c r="AE29" s="336"/>
      <c r="AF29" s="208"/>
      <c r="AG29" s="8"/>
      <c r="AH29" s="444">
        <f t="shared" ref="AH29:AH30" si="8">AG29-M29</f>
        <v>0</v>
      </c>
      <c r="AI29" s="447"/>
    </row>
    <row r="30" spans="1:36" s="9" customFormat="1">
      <c r="A30" s="104" t="s">
        <v>44</v>
      </c>
      <c r="B30" s="204">
        <f t="shared" ref="B30" si="9">K30</f>
        <v>0</v>
      </c>
      <c r="C30" s="99" t="s">
        <v>340</v>
      </c>
      <c r="D30" s="100" t="s">
        <v>46</v>
      </c>
      <c r="E30" s="100" t="s">
        <v>47</v>
      </c>
      <c r="F30" s="100" t="s">
        <v>374</v>
      </c>
      <c r="G30" s="105" t="s">
        <v>48</v>
      </c>
      <c r="H30" s="203">
        <v>0</v>
      </c>
      <c r="I30" s="762"/>
      <c r="J30" s="57"/>
      <c r="K30" s="178"/>
      <c r="L30" s="8"/>
      <c r="M30" s="178"/>
      <c r="N30" s="238"/>
      <c r="O30" s="304"/>
      <c r="P30" s="178"/>
      <c r="Q30" s="178"/>
      <c r="R30" s="178"/>
      <c r="S30" s="178"/>
      <c r="T30" s="178"/>
      <c r="U30" s="178"/>
      <c r="V30" s="178"/>
      <c r="W30" s="178"/>
      <c r="X30" s="178"/>
      <c r="Y30" s="178"/>
      <c r="Z30" s="178"/>
      <c r="AA30" s="1352">
        <f>SUM(O30:Z30)</f>
        <v>0</v>
      </c>
      <c r="AB30" s="1360">
        <f>M30-AA30</f>
        <v>0</v>
      </c>
      <c r="AC30" s="324"/>
      <c r="AD30" s="384"/>
      <c r="AE30" s="336"/>
      <c r="AF30" s="208"/>
      <c r="AG30" s="8"/>
      <c r="AH30" s="444">
        <f t="shared" si="8"/>
        <v>0</v>
      </c>
      <c r="AI30" s="447"/>
    </row>
    <row r="31" spans="1:36" s="9" customFormat="1">
      <c r="A31" s="213" t="s">
        <v>32</v>
      </c>
      <c r="B31" s="219">
        <f>B28-SUM(B29:B30)</f>
        <v>40000000</v>
      </c>
      <c r="C31" s="106"/>
      <c r="D31" s="106"/>
      <c r="E31" s="106"/>
      <c r="F31" s="106"/>
      <c r="G31" s="107"/>
      <c r="H31" s="62"/>
      <c r="I31" s="756"/>
      <c r="J31" s="63"/>
      <c r="K31" s="207">
        <f>SUM(K28:K30)</f>
        <v>0</v>
      </c>
      <c r="L31" s="64"/>
      <c r="M31" s="207">
        <f>SUM(M28:M30)</f>
        <v>0</v>
      </c>
      <c r="N31" s="235"/>
      <c r="O31" s="207">
        <f t="shared" ref="O31:AB31" si="10">SUM(O28:O30)</f>
        <v>0</v>
      </c>
      <c r="P31" s="207">
        <f t="shared" si="10"/>
        <v>0</v>
      </c>
      <c r="Q31" s="207">
        <f t="shared" si="10"/>
        <v>0</v>
      </c>
      <c r="R31" s="207">
        <f t="shared" si="10"/>
        <v>0</v>
      </c>
      <c r="S31" s="207">
        <f t="shared" si="10"/>
        <v>0</v>
      </c>
      <c r="T31" s="207">
        <f t="shared" si="10"/>
        <v>0</v>
      </c>
      <c r="U31" s="207">
        <f t="shared" si="10"/>
        <v>0</v>
      </c>
      <c r="V31" s="207">
        <f t="shared" si="10"/>
        <v>0</v>
      </c>
      <c r="W31" s="207">
        <f t="shared" si="10"/>
        <v>0</v>
      </c>
      <c r="X31" s="207">
        <f t="shared" si="10"/>
        <v>0</v>
      </c>
      <c r="Y31" s="207">
        <f t="shared" si="10"/>
        <v>0</v>
      </c>
      <c r="Z31" s="207">
        <f t="shared" si="10"/>
        <v>0</v>
      </c>
      <c r="AA31" s="207">
        <f t="shared" si="10"/>
        <v>0</v>
      </c>
      <c r="AB31" s="1359">
        <f t="shared" si="10"/>
        <v>0</v>
      </c>
      <c r="AC31" s="360"/>
      <c r="AD31" s="703"/>
      <c r="AE31" s="703"/>
      <c r="AF31" s="704"/>
      <c r="AG31" s="207">
        <f>SUM(AG28:AG30)</f>
        <v>0</v>
      </c>
      <c r="AH31" s="207">
        <f>SUM(AH28:AH30)</f>
        <v>0</v>
      </c>
      <c r="AI31" s="447"/>
      <c r="AJ31" s="447">
        <f>B28-AG31</f>
        <v>40000000</v>
      </c>
    </row>
    <row r="32" spans="1:36" s="7" customFormat="1" ht="71.25">
      <c r="A32" s="1345" t="s">
        <v>51</v>
      </c>
      <c r="B32" s="220">
        <v>620000000</v>
      </c>
      <c r="C32" s="1385" t="s">
        <v>45</v>
      </c>
      <c r="D32" s="1385" t="s">
        <v>50</v>
      </c>
      <c r="E32" s="1385" t="s">
        <v>47</v>
      </c>
      <c r="F32" s="1385" t="s">
        <v>375</v>
      </c>
      <c r="G32" s="1386" t="s">
        <v>48</v>
      </c>
      <c r="H32" s="653">
        <v>0</v>
      </c>
      <c r="I32" s="758"/>
      <c r="J32" s="558"/>
      <c r="K32" s="559"/>
      <c r="L32" s="560"/>
      <c r="M32" s="643"/>
      <c r="N32" s="561"/>
      <c r="O32" s="644"/>
      <c r="P32" s="645"/>
      <c r="Q32" s="645"/>
      <c r="R32" s="645"/>
      <c r="S32" s="645"/>
      <c r="T32" s="645"/>
      <c r="U32" s="645"/>
      <c r="V32" s="645"/>
      <c r="W32" s="645"/>
      <c r="X32" s="645"/>
      <c r="Y32" s="645"/>
      <c r="Z32" s="645"/>
      <c r="AA32" s="1355"/>
      <c r="AB32" s="1394"/>
      <c r="AC32" s="646"/>
      <c r="AD32" s="647"/>
      <c r="AE32" s="647"/>
      <c r="AF32" s="648"/>
      <c r="AG32" s="494"/>
      <c r="AH32" s="649"/>
    </row>
    <row r="33" spans="1:36" s="9" customFormat="1">
      <c r="A33" s="112" t="s">
        <v>51</v>
      </c>
      <c r="B33" s="215">
        <f>I33</f>
        <v>0</v>
      </c>
      <c r="C33" s="110" t="s">
        <v>45</v>
      </c>
      <c r="D33" s="110" t="s">
        <v>50</v>
      </c>
      <c r="E33" s="110" t="s">
        <v>47</v>
      </c>
      <c r="F33" s="110" t="s">
        <v>375</v>
      </c>
      <c r="G33" s="111" t="s">
        <v>48</v>
      </c>
      <c r="H33" s="203">
        <v>0</v>
      </c>
      <c r="I33" s="760"/>
      <c r="J33" s="205"/>
      <c r="K33" s="179"/>
      <c r="L33" s="140"/>
      <c r="M33" s="209"/>
      <c r="N33" s="306"/>
      <c r="O33" s="300"/>
      <c r="P33" s="212"/>
      <c r="Q33" s="212"/>
      <c r="R33" s="212"/>
      <c r="S33" s="212"/>
      <c r="T33" s="212"/>
      <c r="U33" s="212"/>
      <c r="V33" s="212"/>
      <c r="W33" s="212"/>
      <c r="X33" s="212"/>
      <c r="Y33" s="212"/>
      <c r="Z33" s="212"/>
      <c r="AA33" s="1352">
        <f t="shared" ref="AA33:AA36" si="11">SUM(O33:Z33)</f>
        <v>0</v>
      </c>
      <c r="AB33" s="1360">
        <f t="shared" ref="AB33:AB36" si="12">M33-AA33</f>
        <v>0</v>
      </c>
      <c r="AC33" s="651"/>
      <c r="AD33" s="336"/>
      <c r="AE33" s="336"/>
      <c r="AF33" s="208"/>
      <c r="AG33" s="446"/>
      <c r="AH33" s="444">
        <f t="shared" ref="AH33:AH35" si="13">AG33-M33</f>
        <v>0</v>
      </c>
    </row>
    <row r="34" spans="1:36" s="9" customFormat="1">
      <c r="A34" s="112" t="s">
        <v>51</v>
      </c>
      <c r="B34" s="215">
        <f t="shared" ref="B34:B36" si="14">I34</f>
        <v>0</v>
      </c>
      <c r="C34" s="110" t="s">
        <v>45</v>
      </c>
      <c r="D34" s="110" t="s">
        <v>50</v>
      </c>
      <c r="E34" s="110" t="s">
        <v>47</v>
      </c>
      <c r="F34" s="110" t="s">
        <v>375</v>
      </c>
      <c r="G34" s="111" t="s">
        <v>48</v>
      </c>
      <c r="H34" s="203">
        <v>0</v>
      </c>
      <c r="I34" s="760"/>
      <c r="J34" s="205"/>
      <c r="K34" s="179"/>
      <c r="L34" s="140"/>
      <c r="M34" s="209"/>
      <c r="N34" s="306"/>
      <c r="O34" s="300"/>
      <c r="P34" s="212"/>
      <c r="Q34" s="212"/>
      <c r="R34" s="212"/>
      <c r="S34" s="212"/>
      <c r="T34" s="212"/>
      <c r="U34" s="212"/>
      <c r="V34" s="212"/>
      <c r="W34" s="212"/>
      <c r="X34" s="212"/>
      <c r="Y34" s="212"/>
      <c r="Z34" s="212"/>
      <c r="AA34" s="1352">
        <f t="shared" si="11"/>
        <v>0</v>
      </c>
      <c r="AB34" s="1360">
        <f t="shared" si="12"/>
        <v>0</v>
      </c>
      <c r="AC34" s="504"/>
      <c r="AD34" s="336"/>
      <c r="AE34" s="336"/>
      <c r="AF34" s="208"/>
      <c r="AG34" s="446"/>
      <c r="AH34" s="444">
        <f t="shared" si="13"/>
        <v>0</v>
      </c>
    </row>
    <row r="35" spans="1:36" s="9" customFormat="1">
      <c r="A35" s="112" t="s">
        <v>51</v>
      </c>
      <c r="B35" s="215">
        <f t="shared" si="14"/>
        <v>0</v>
      </c>
      <c r="C35" s="110" t="s">
        <v>45</v>
      </c>
      <c r="D35" s="110" t="s">
        <v>50</v>
      </c>
      <c r="E35" s="110" t="s">
        <v>47</v>
      </c>
      <c r="F35" s="110" t="s">
        <v>375</v>
      </c>
      <c r="G35" s="111" t="s">
        <v>48</v>
      </c>
      <c r="H35" s="203">
        <v>0</v>
      </c>
      <c r="I35" s="760"/>
      <c r="J35" s="205"/>
      <c r="K35" s="179"/>
      <c r="L35" s="140"/>
      <c r="M35" s="209"/>
      <c r="N35" s="306"/>
      <c r="O35" s="300"/>
      <c r="P35" s="212"/>
      <c r="Q35" s="212"/>
      <c r="R35" s="212"/>
      <c r="S35" s="212"/>
      <c r="T35" s="212"/>
      <c r="U35" s="212"/>
      <c r="V35" s="212"/>
      <c r="W35" s="212"/>
      <c r="X35" s="212"/>
      <c r="Y35" s="212"/>
      <c r="Z35" s="212"/>
      <c r="AA35" s="1352">
        <f t="shared" si="11"/>
        <v>0</v>
      </c>
      <c r="AB35" s="1360">
        <f t="shared" si="12"/>
        <v>0</v>
      </c>
      <c r="AC35" s="504"/>
      <c r="AD35" s="336"/>
      <c r="AE35" s="336"/>
      <c r="AF35" s="208"/>
      <c r="AG35" s="446"/>
      <c r="AH35" s="444">
        <f t="shared" si="13"/>
        <v>0</v>
      </c>
    </row>
    <row r="36" spans="1:36" s="9" customFormat="1">
      <c r="A36" s="112" t="s">
        <v>51</v>
      </c>
      <c r="B36" s="215">
        <f t="shared" si="14"/>
        <v>0</v>
      </c>
      <c r="C36" s="102" t="s">
        <v>45</v>
      </c>
      <c r="D36" s="102" t="s">
        <v>50</v>
      </c>
      <c r="E36" s="102" t="s">
        <v>47</v>
      </c>
      <c r="F36" s="102" t="s">
        <v>375</v>
      </c>
      <c r="G36" s="113" t="s">
        <v>48</v>
      </c>
      <c r="H36" s="203">
        <v>0</v>
      </c>
      <c r="I36" s="760"/>
      <c r="J36" s="205"/>
      <c r="K36" s="179"/>
      <c r="L36" s="396"/>
      <c r="M36" s="700"/>
      <c r="N36" s="306"/>
      <c r="O36" s="701"/>
      <c r="P36" s="702"/>
      <c r="Q36" s="702"/>
      <c r="R36" s="702"/>
      <c r="S36" s="702"/>
      <c r="T36" s="702"/>
      <c r="U36" s="702"/>
      <c r="V36" s="702"/>
      <c r="W36" s="212"/>
      <c r="X36" s="702"/>
      <c r="Y36" s="702"/>
      <c r="Z36" s="702"/>
      <c r="AA36" s="1352">
        <f t="shared" si="11"/>
        <v>0</v>
      </c>
      <c r="AB36" s="1360">
        <f t="shared" si="12"/>
        <v>0</v>
      </c>
      <c r="AC36" s="504"/>
      <c r="AD36" s="876"/>
      <c r="AE36" s="221"/>
      <c r="AF36" s="208"/>
      <c r="AG36" s="794"/>
      <c r="AH36" s="444">
        <f t="shared" ref="AH36" si="15">AG36-M36</f>
        <v>0</v>
      </c>
    </row>
    <row r="37" spans="1:36" s="9" customFormat="1">
      <c r="A37" s="214" t="s">
        <v>32</v>
      </c>
      <c r="B37" s="216">
        <f>B32-SUM(B33:B36)</f>
        <v>620000000</v>
      </c>
      <c r="C37" s="108"/>
      <c r="D37" s="108"/>
      <c r="E37" s="108"/>
      <c r="F37" s="108"/>
      <c r="G37" s="109"/>
      <c r="H37" s="65"/>
      <c r="I37" s="399"/>
      <c r="J37" s="66"/>
      <c r="K37" s="183">
        <f>SUM(K33:K36)</f>
        <v>0</v>
      </c>
      <c r="L37" s="15"/>
      <c r="M37" s="183">
        <f>SUM(M33:M36)</f>
        <v>0</v>
      </c>
      <c r="N37" s="236"/>
      <c r="O37" s="183">
        <f t="shared" ref="O37:AB37" si="16">SUM(O33:O36)</f>
        <v>0</v>
      </c>
      <c r="P37" s="183">
        <f t="shared" si="16"/>
        <v>0</v>
      </c>
      <c r="Q37" s="183">
        <f t="shared" si="16"/>
        <v>0</v>
      </c>
      <c r="R37" s="183">
        <f t="shared" si="16"/>
        <v>0</v>
      </c>
      <c r="S37" s="183">
        <f t="shared" si="16"/>
        <v>0</v>
      </c>
      <c r="T37" s="183">
        <f t="shared" si="16"/>
        <v>0</v>
      </c>
      <c r="U37" s="183">
        <f t="shared" si="16"/>
        <v>0</v>
      </c>
      <c r="V37" s="183">
        <f t="shared" si="16"/>
        <v>0</v>
      </c>
      <c r="W37" s="183">
        <f t="shared" si="16"/>
        <v>0</v>
      </c>
      <c r="X37" s="183">
        <f t="shared" si="16"/>
        <v>0</v>
      </c>
      <c r="Y37" s="183">
        <f t="shared" si="16"/>
        <v>0</v>
      </c>
      <c r="Z37" s="183">
        <f t="shared" si="16"/>
        <v>0</v>
      </c>
      <c r="AA37" s="183">
        <f t="shared" si="16"/>
        <v>0</v>
      </c>
      <c r="AB37" s="1361">
        <f t="shared" si="16"/>
        <v>0</v>
      </c>
      <c r="AC37" s="323"/>
      <c r="AD37" s="442"/>
      <c r="AE37" s="442"/>
      <c r="AF37" s="443"/>
      <c r="AG37" s="183">
        <f>SUM(AG33:AG36)</f>
        <v>0</v>
      </c>
      <c r="AH37" s="183">
        <f>SUM(AH33:AH36)</f>
        <v>0</v>
      </c>
      <c r="AI37" s="447" t="e">
        <f>#REF!-AG37</f>
        <v>#REF!</v>
      </c>
      <c r="AJ37" s="447" t="e">
        <f>#REF!-AG37</f>
        <v>#REF!</v>
      </c>
    </row>
    <row r="38" spans="1:36" s="7" customFormat="1" ht="42.75" customHeight="1">
      <c r="A38" s="1342" t="s">
        <v>52</v>
      </c>
      <c r="B38" s="220">
        <f>B39+B44</f>
        <v>2307000000</v>
      </c>
      <c r="C38" s="966"/>
      <c r="D38" s="966"/>
      <c r="E38" s="966"/>
      <c r="F38" s="966"/>
      <c r="G38" s="967"/>
      <c r="H38" s="673"/>
      <c r="I38" s="773"/>
      <c r="J38" s="656"/>
      <c r="K38" s="657"/>
      <c r="L38" s="658"/>
      <c r="M38" s="659"/>
      <c r="N38" s="660"/>
      <c r="O38" s="661"/>
      <c r="P38" s="662"/>
      <c r="Q38" s="662"/>
      <c r="R38" s="662"/>
      <c r="S38" s="662"/>
      <c r="T38" s="662"/>
      <c r="U38" s="662"/>
      <c r="V38" s="662"/>
      <c r="W38" s="662"/>
      <c r="X38" s="662"/>
      <c r="Y38" s="662"/>
      <c r="Z38" s="662"/>
      <c r="AA38" s="1356"/>
      <c r="AB38" s="1395"/>
      <c r="AC38" s="663"/>
      <c r="AD38" s="664"/>
      <c r="AE38" s="664"/>
      <c r="AF38" s="665"/>
      <c r="AG38" s="666"/>
      <c r="AH38" s="667"/>
    </row>
    <row r="39" spans="1:36" s="9" customFormat="1" ht="71.25">
      <c r="A39" s="1344" t="s">
        <v>52</v>
      </c>
      <c r="B39" s="218">
        <v>2244000000</v>
      </c>
      <c r="C39" s="1387" t="s">
        <v>45</v>
      </c>
      <c r="D39" s="1388" t="s">
        <v>46</v>
      </c>
      <c r="E39" s="1388" t="s">
        <v>47</v>
      </c>
      <c r="F39" s="1387" t="s">
        <v>376</v>
      </c>
      <c r="G39" s="1389" t="s">
        <v>48</v>
      </c>
      <c r="H39" s="1348"/>
      <c r="I39" s="677"/>
      <c r="J39" s="671"/>
      <c r="K39" s="671"/>
      <c r="L39" s="671"/>
      <c r="M39" s="671"/>
      <c r="N39" s="669"/>
      <c r="O39" s="661"/>
      <c r="P39" s="662"/>
      <c r="Q39" s="662"/>
      <c r="R39" s="662"/>
      <c r="S39" s="662"/>
      <c r="T39" s="662"/>
      <c r="U39" s="662"/>
      <c r="V39" s="662"/>
      <c r="W39" s="662"/>
      <c r="X39" s="662"/>
      <c r="Y39" s="662"/>
      <c r="Z39" s="662"/>
      <c r="AA39" s="1356">
        <f>SUM(O39:Z39)</f>
        <v>0</v>
      </c>
      <c r="AB39" s="1396"/>
      <c r="AC39" s="670"/>
      <c r="AD39" s="671"/>
      <c r="AE39" s="671"/>
      <c r="AF39" s="671"/>
      <c r="AG39" s="672"/>
      <c r="AH39" s="668"/>
    </row>
    <row r="40" spans="1:36" s="9" customFormat="1">
      <c r="A40" s="115" t="s">
        <v>52</v>
      </c>
      <c r="B40" s="215">
        <f t="shared" ref="B40:B42" si="17">K40</f>
        <v>0</v>
      </c>
      <c r="C40" s="116" t="s">
        <v>45</v>
      </c>
      <c r="D40" s="116" t="s">
        <v>46</v>
      </c>
      <c r="E40" s="116" t="s">
        <v>47</v>
      </c>
      <c r="F40" s="114" t="s">
        <v>376</v>
      </c>
      <c r="G40" s="117" t="s">
        <v>48</v>
      </c>
      <c r="H40" s="203">
        <v>0</v>
      </c>
      <c r="I40" s="760"/>
      <c r="J40" s="205"/>
      <c r="K40" s="179"/>
      <c r="L40" s="140"/>
      <c r="M40" s="194"/>
      <c r="N40" s="308"/>
      <c r="O40" s="300"/>
      <c r="P40" s="212"/>
      <c r="Q40" s="212"/>
      <c r="R40" s="212"/>
      <c r="S40" s="212"/>
      <c r="T40" s="212"/>
      <c r="U40" s="212"/>
      <c r="V40" s="212"/>
      <c r="W40" s="212"/>
      <c r="X40" s="212"/>
      <c r="Y40" s="212"/>
      <c r="Z40" s="212"/>
      <c r="AA40" s="1352">
        <f t="shared" ref="AA40:AA42" si="18">SUM(O40:Z40)</f>
        <v>0</v>
      </c>
      <c r="AB40" s="1360">
        <f t="shared" ref="AB40:AB42" si="19">M40-AA40</f>
        <v>0</v>
      </c>
      <c r="AC40" s="504"/>
      <c r="AD40" s="455"/>
      <c r="AE40" s="455"/>
      <c r="AF40" s="208"/>
      <c r="AG40" s="446"/>
      <c r="AH40" s="444">
        <f t="shared" ref="AH40:AH42" si="20">AG40-M40</f>
        <v>0</v>
      </c>
    </row>
    <row r="41" spans="1:36" s="9" customFormat="1">
      <c r="A41" s="115" t="s">
        <v>52</v>
      </c>
      <c r="B41" s="215">
        <f t="shared" si="17"/>
        <v>0</v>
      </c>
      <c r="C41" s="114" t="s">
        <v>45</v>
      </c>
      <c r="D41" s="116" t="s">
        <v>46</v>
      </c>
      <c r="E41" s="116" t="s">
        <v>47</v>
      </c>
      <c r="F41" s="114" t="s">
        <v>376</v>
      </c>
      <c r="G41" s="117" t="s">
        <v>48</v>
      </c>
      <c r="H41" s="203">
        <v>0</v>
      </c>
      <c r="I41" s="760"/>
      <c r="J41" s="205"/>
      <c r="K41" s="179"/>
      <c r="L41" s="140"/>
      <c r="M41" s="194"/>
      <c r="N41" s="309"/>
      <c r="O41" s="300"/>
      <c r="P41" s="907"/>
      <c r="Q41" s="907"/>
      <c r="R41" s="907"/>
      <c r="S41" s="907"/>
      <c r="T41" s="212"/>
      <c r="U41" s="212"/>
      <c r="V41" s="212"/>
      <c r="W41" s="212"/>
      <c r="X41" s="212"/>
      <c r="Y41" s="212"/>
      <c r="Z41" s="212"/>
      <c r="AA41" s="1352">
        <f t="shared" si="18"/>
        <v>0</v>
      </c>
      <c r="AB41" s="1360">
        <f t="shared" si="19"/>
        <v>0</v>
      </c>
      <c r="AC41" s="504"/>
      <c r="AD41" s="455"/>
      <c r="AE41" s="466"/>
      <c r="AF41" s="208"/>
      <c r="AG41" s="446"/>
      <c r="AH41" s="444">
        <f t="shared" si="20"/>
        <v>0</v>
      </c>
    </row>
    <row r="42" spans="1:36" s="9" customFormat="1">
      <c r="A42" s="115" t="s">
        <v>52</v>
      </c>
      <c r="B42" s="215">
        <f t="shared" si="17"/>
        <v>0</v>
      </c>
      <c r="C42" s="116" t="s">
        <v>45</v>
      </c>
      <c r="D42" s="116" t="s">
        <v>46</v>
      </c>
      <c r="E42" s="116" t="s">
        <v>47</v>
      </c>
      <c r="F42" s="114" t="s">
        <v>376</v>
      </c>
      <c r="G42" s="117" t="s">
        <v>48</v>
      </c>
      <c r="H42" s="203">
        <v>0</v>
      </c>
      <c r="I42" s="760"/>
      <c r="J42" s="205"/>
      <c r="K42" s="179"/>
      <c r="L42" s="140"/>
      <c r="M42" s="194"/>
      <c r="N42" s="308"/>
      <c r="O42" s="300"/>
      <c r="P42" s="212"/>
      <c r="Q42" s="212"/>
      <c r="R42" s="212"/>
      <c r="S42" s="212"/>
      <c r="T42" s="212"/>
      <c r="U42" s="212"/>
      <c r="V42" s="212"/>
      <c r="W42" s="212"/>
      <c r="X42" s="212"/>
      <c r="Y42" s="212"/>
      <c r="Z42" s="212"/>
      <c r="AA42" s="1352">
        <f t="shared" si="18"/>
        <v>0</v>
      </c>
      <c r="AB42" s="1360">
        <f t="shared" si="19"/>
        <v>0</v>
      </c>
      <c r="AC42" s="504"/>
      <c r="AD42" s="455"/>
      <c r="AE42" s="455"/>
      <c r="AF42" s="208"/>
      <c r="AG42" s="446"/>
      <c r="AH42" s="444">
        <f t="shared" si="20"/>
        <v>0</v>
      </c>
    </row>
    <row r="43" spans="1:36" s="9" customFormat="1">
      <c r="A43" s="213" t="s">
        <v>32</v>
      </c>
      <c r="B43" s="219">
        <f>B39-SUM(B40:B42)</f>
        <v>2244000000</v>
      </c>
      <c r="C43" s="118"/>
      <c r="D43" s="118"/>
      <c r="E43" s="118"/>
      <c r="F43" s="118"/>
      <c r="G43" s="119"/>
      <c r="H43" s="62"/>
      <c r="I43" s="756"/>
      <c r="J43" s="63"/>
      <c r="K43" s="207">
        <f>SUM(K40:K42)</f>
        <v>0</v>
      </c>
      <c r="L43" s="64"/>
      <c r="M43" s="207">
        <f>SUM(M40:M42)</f>
        <v>0</v>
      </c>
      <c r="N43" s="235"/>
      <c r="O43" s="207">
        <f t="shared" ref="O43:AB43" si="21">SUM(O40:O42)</f>
        <v>0</v>
      </c>
      <c r="P43" s="207">
        <f t="shared" si="21"/>
        <v>0</v>
      </c>
      <c r="Q43" s="207">
        <f t="shared" si="21"/>
        <v>0</v>
      </c>
      <c r="R43" s="207">
        <f t="shared" si="21"/>
        <v>0</v>
      </c>
      <c r="S43" s="207">
        <f t="shared" si="21"/>
        <v>0</v>
      </c>
      <c r="T43" s="207">
        <f t="shared" si="21"/>
        <v>0</v>
      </c>
      <c r="U43" s="207">
        <f t="shared" si="21"/>
        <v>0</v>
      </c>
      <c r="V43" s="207">
        <f t="shared" si="21"/>
        <v>0</v>
      </c>
      <c r="W43" s="207">
        <f t="shared" si="21"/>
        <v>0</v>
      </c>
      <c r="X43" s="207">
        <f t="shared" si="21"/>
        <v>0</v>
      </c>
      <c r="Y43" s="207">
        <f t="shared" si="21"/>
        <v>0</v>
      </c>
      <c r="Z43" s="207">
        <f t="shared" si="21"/>
        <v>0</v>
      </c>
      <c r="AA43" s="207">
        <f t="shared" si="21"/>
        <v>0</v>
      </c>
      <c r="AB43" s="1359">
        <f t="shared" si="21"/>
        <v>0</v>
      </c>
      <c r="AC43" s="360"/>
      <c r="AD43" s="442"/>
      <c r="AE43" s="442"/>
      <c r="AF43" s="443"/>
      <c r="AG43" s="207">
        <f>SUM(AG40:AG42)</f>
        <v>0</v>
      </c>
      <c r="AH43" s="207">
        <f>SUM(AH40:AH42)</f>
        <v>0</v>
      </c>
      <c r="AI43" s="447">
        <f>B39-AG43</f>
        <v>2244000000</v>
      </c>
      <c r="AJ43" s="447">
        <f>B39-AG43</f>
        <v>2244000000</v>
      </c>
    </row>
    <row r="44" spans="1:36" s="9" customFormat="1" ht="51">
      <c r="A44" s="1342" t="s">
        <v>52</v>
      </c>
      <c r="B44" s="218">
        <v>63000000</v>
      </c>
      <c r="C44" s="966" t="s">
        <v>74</v>
      </c>
      <c r="D44" s="966" t="s">
        <v>46</v>
      </c>
      <c r="E44" s="966" t="s">
        <v>47</v>
      </c>
      <c r="F44" s="966" t="s">
        <v>376</v>
      </c>
      <c r="G44" s="967" t="s">
        <v>48</v>
      </c>
      <c r="H44" s="673">
        <v>0</v>
      </c>
      <c r="I44" s="774"/>
      <c r="J44" s="674"/>
      <c r="K44" s="675"/>
      <c r="L44" s="676"/>
      <c r="M44" s="677"/>
      <c r="N44" s="580"/>
      <c r="O44" s="661"/>
      <c r="P44" s="662"/>
      <c r="Q44" s="662"/>
      <c r="R44" s="662"/>
      <c r="S44" s="662"/>
      <c r="T44" s="662"/>
      <c r="U44" s="662"/>
      <c r="V44" s="662"/>
      <c r="W44" s="662"/>
      <c r="X44" s="662"/>
      <c r="Y44" s="662"/>
      <c r="Z44" s="662"/>
      <c r="AA44" s="1356"/>
      <c r="AB44" s="1397"/>
      <c r="AC44" s="678"/>
      <c r="AD44" s="671"/>
      <c r="AE44" s="671"/>
      <c r="AF44" s="679"/>
      <c r="AG44" s="672"/>
      <c r="AH44" s="668"/>
    </row>
    <row r="45" spans="1:36" s="9" customFormat="1">
      <c r="A45" s="115" t="s">
        <v>52</v>
      </c>
      <c r="B45" s="215">
        <f>K45</f>
        <v>0</v>
      </c>
      <c r="C45" s="114" t="s">
        <v>74</v>
      </c>
      <c r="D45" s="116" t="s">
        <v>46</v>
      </c>
      <c r="E45" s="116" t="s">
        <v>47</v>
      </c>
      <c r="F45" s="114" t="s">
        <v>376</v>
      </c>
      <c r="G45" s="117" t="s">
        <v>48</v>
      </c>
      <c r="H45" s="944">
        <v>0</v>
      </c>
      <c r="I45" s="179"/>
      <c r="J45" s="511"/>
      <c r="K45" s="179"/>
      <c r="L45" s="537"/>
      <c r="M45" s="179"/>
      <c r="N45" s="310"/>
      <c r="O45" s="300"/>
      <c r="P45" s="212"/>
      <c r="Q45" s="212"/>
      <c r="R45" s="212"/>
      <c r="S45" s="212"/>
      <c r="T45" s="212"/>
      <c r="U45" s="212"/>
      <c r="V45" s="212"/>
      <c r="W45" s="212"/>
      <c r="X45" s="212"/>
      <c r="Y45" s="212"/>
      <c r="Z45" s="212"/>
      <c r="AA45" s="1352">
        <f t="shared" ref="AA45:AA48" si="22">SUM(O45:Z45)</f>
        <v>0</v>
      </c>
      <c r="AB45" s="1360">
        <f>M45-AA45</f>
        <v>0</v>
      </c>
      <c r="AC45" s="504"/>
      <c r="AD45" s="455"/>
      <c r="AE45" s="455"/>
      <c r="AF45" s="208"/>
      <c r="AG45" s="446"/>
      <c r="AH45" s="444"/>
    </row>
    <row r="46" spans="1:36" s="9" customFormat="1">
      <c r="A46" s="115" t="s">
        <v>52</v>
      </c>
      <c r="B46" s="215">
        <f t="shared" ref="B46:B48" si="23">K46</f>
        <v>0</v>
      </c>
      <c r="C46" s="114" t="s">
        <v>74</v>
      </c>
      <c r="D46" s="116" t="s">
        <v>46</v>
      </c>
      <c r="E46" s="116" t="s">
        <v>47</v>
      </c>
      <c r="F46" s="114" t="s">
        <v>376</v>
      </c>
      <c r="G46" s="117" t="s">
        <v>48</v>
      </c>
      <c r="H46" s="944">
        <v>0</v>
      </c>
      <c r="I46" s="760"/>
      <c r="J46" s="205"/>
      <c r="K46" s="179"/>
      <c r="L46" s="140"/>
      <c r="M46" s="209"/>
      <c r="N46" s="306"/>
      <c r="O46" s="300"/>
      <c r="P46" s="212"/>
      <c r="Q46" s="212"/>
      <c r="R46" s="212"/>
      <c r="S46" s="212"/>
      <c r="T46" s="212"/>
      <c r="U46" s="212"/>
      <c r="V46" s="212"/>
      <c r="W46" s="212"/>
      <c r="X46" s="212"/>
      <c r="Y46" s="212"/>
      <c r="Z46" s="212"/>
      <c r="AA46" s="1352">
        <f t="shared" si="22"/>
        <v>0</v>
      </c>
      <c r="AB46" s="1360">
        <f t="shared" ref="AB46:AB48" si="24">M46-AA46</f>
        <v>0</v>
      </c>
      <c r="AC46" s="504"/>
      <c r="AD46" s="455"/>
      <c r="AE46" s="455"/>
      <c r="AF46" s="208"/>
      <c r="AG46" s="446"/>
      <c r="AH46" s="444"/>
    </row>
    <row r="47" spans="1:36" s="9" customFormat="1">
      <c r="A47" s="115" t="s">
        <v>52</v>
      </c>
      <c r="B47" s="215">
        <f t="shared" si="23"/>
        <v>0</v>
      </c>
      <c r="C47" s="114" t="s">
        <v>74</v>
      </c>
      <c r="D47" s="116" t="s">
        <v>46</v>
      </c>
      <c r="E47" s="116" t="s">
        <v>47</v>
      </c>
      <c r="F47" s="114" t="s">
        <v>376</v>
      </c>
      <c r="G47" s="117" t="s">
        <v>48</v>
      </c>
      <c r="H47" s="944">
        <v>0</v>
      </c>
      <c r="I47" s="760"/>
      <c r="J47" s="205"/>
      <c r="K47" s="760"/>
      <c r="L47" s="140"/>
      <c r="M47" s="212"/>
      <c r="N47" s="306"/>
      <c r="O47" s="300"/>
      <c r="P47" s="212"/>
      <c r="Q47" s="212"/>
      <c r="R47" s="212"/>
      <c r="S47" s="212"/>
      <c r="T47" s="212"/>
      <c r="U47" s="212"/>
      <c r="V47" s="212"/>
      <c r="W47" s="212"/>
      <c r="X47" s="212"/>
      <c r="Y47" s="212"/>
      <c r="Z47" s="212"/>
      <c r="AA47" s="1352">
        <f t="shared" si="22"/>
        <v>0</v>
      </c>
      <c r="AB47" s="1360">
        <f t="shared" si="24"/>
        <v>0</v>
      </c>
      <c r="AC47" s="504"/>
      <c r="AD47" s="336"/>
      <c r="AE47" s="336"/>
      <c r="AF47" s="208"/>
      <c r="AG47" s="446"/>
      <c r="AH47" s="444"/>
    </row>
    <row r="48" spans="1:36" s="9" customFormat="1">
      <c r="A48" s="115" t="s">
        <v>52</v>
      </c>
      <c r="B48" s="215">
        <f t="shared" si="23"/>
        <v>0</v>
      </c>
      <c r="C48" s="114" t="s">
        <v>74</v>
      </c>
      <c r="D48" s="116" t="s">
        <v>46</v>
      </c>
      <c r="E48" s="116" t="s">
        <v>47</v>
      </c>
      <c r="F48" s="114" t="s">
        <v>376</v>
      </c>
      <c r="G48" s="117" t="s">
        <v>48</v>
      </c>
      <c r="H48" s="944">
        <v>0</v>
      </c>
      <c r="I48" s="395"/>
      <c r="J48" s="801"/>
      <c r="K48" s="292"/>
      <c r="L48" s="801"/>
      <c r="M48" s="212"/>
      <c r="N48" s="306"/>
      <c r="O48" s="300"/>
      <c r="P48" s="212"/>
      <c r="Q48" s="212"/>
      <c r="R48" s="212"/>
      <c r="S48" s="212"/>
      <c r="T48" s="212"/>
      <c r="U48" s="212"/>
      <c r="V48" s="212"/>
      <c r="W48" s="212"/>
      <c r="X48" s="212"/>
      <c r="Y48" s="212"/>
      <c r="Z48" s="212"/>
      <c r="AA48" s="1352">
        <f t="shared" si="22"/>
        <v>0</v>
      </c>
      <c r="AB48" s="1360">
        <f t="shared" si="24"/>
        <v>0</v>
      </c>
      <c r="AC48" s="300"/>
      <c r="AD48" s="384"/>
      <c r="AE48" s="336"/>
      <c r="AF48" s="208"/>
      <c r="AG48" s="446"/>
      <c r="AH48" s="444"/>
    </row>
    <row r="49" spans="1:36" s="9" customFormat="1" ht="11.25" customHeight="1">
      <c r="A49" s="69" t="s">
        <v>32</v>
      </c>
      <c r="B49" s="11">
        <f>B44-SUM(B45:B48)</f>
        <v>63000000</v>
      </c>
      <c r="C49" s="14"/>
      <c r="D49" s="14"/>
      <c r="E49" s="14"/>
      <c r="F49" s="14"/>
      <c r="G49" s="70"/>
      <c r="H49" s="65"/>
      <c r="I49" s="399"/>
      <c r="J49" s="66"/>
      <c r="K49" s="183">
        <f>SUM(K45:K48)</f>
        <v>0</v>
      </c>
      <c r="L49" s="15"/>
      <c r="M49" s="183">
        <f>SUM(M45:M48)</f>
        <v>0</v>
      </c>
      <c r="N49" s="236"/>
      <c r="O49" s="302">
        <f t="shared" ref="O49:AB49" si="25">SUM(O45:O48)</f>
        <v>0</v>
      </c>
      <c r="P49" s="183">
        <f t="shared" si="25"/>
        <v>0</v>
      </c>
      <c r="Q49" s="183">
        <f t="shared" si="25"/>
        <v>0</v>
      </c>
      <c r="R49" s="183">
        <f t="shared" si="25"/>
        <v>0</v>
      </c>
      <c r="S49" s="183">
        <f t="shared" si="25"/>
        <v>0</v>
      </c>
      <c r="T49" s="183">
        <f t="shared" si="25"/>
        <v>0</v>
      </c>
      <c r="U49" s="183">
        <f t="shared" si="25"/>
        <v>0</v>
      </c>
      <c r="V49" s="183">
        <f t="shared" si="25"/>
        <v>0</v>
      </c>
      <c r="W49" s="183">
        <f t="shared" si="25"/>
        <v>0</v>
      </c>
      <c r="X49" s="183">
        <f t="shared" si="25"/>
        <v>0</v>
      </c>
      <c r="Y49" s="183">
        <f t="shared" si="25"/>
        <v>0</v>
      </c>
      <c r="Z49" s="183">
        <f t="shared" si="25"/>
        <v>0</v>
      </c>
      <c r="AA49" s="183">
        <f t="shared" si="25"/>
        <v>0</v>
      </c>
      <c r="AB49" s="1361">
        <f t="shared" si="25"/>
        <v>0</v>
      </c>
      <c r="AC49" s="323"/>
      <c r="AD49" s="442"/>
      <c r="AE49" s="442"/>
      <c r="AF49" s="443"/>
      <c r="AG49" s="15">
        <f>SUM(AG45:AG48)</f>
        <v>0</v>
      </c>
      <c r="AH49" s="15">
        <f>SUM(AH45:AH48)</f>
        <v>0</v>
      </c>
      <c r="AI49" s="447">
        <f>B44-AG49</f>
        <v>63000000</v>
      </c>
      <c r="AJ49" s="447">
        <f>B44-AG49</f>
        <v>63000000</v>
      </c>
    </row>
    <row r="50" spans="1:36" s="9" customFormat="1" ht="11.25" customHeight="1">
      <c r="A50" s="225"/>
      <c r="B50" s="226"/>
      <c r="C50" s="186"/>
      <c r="D50" s="187"/>
      <c r="E50" s="186"/>
      <c r="F50" s="186"/>
      <c r="G50" s="227"/>
      <c r="H50" s="187"/>
      <c r="I50" s="775"/>
      <c r="J50" s="228"/>
      <c r="K50" s="192"/>
      <c r="L50" s="8"/>
      <c r="M50" s="178"/>
      <c r="N50" s="238"/>
      <c r="O50" s="304"/>
      <c r="P50" s="178"/>
      <c r="Q50" s="178"/>
      <c r="R50" s="178"/>
      <c r="S50" s="178"/>
      <c r="T50" s="178"/>
      <c r="U50" s="178"/>
      <c r="V50" s="178"/>
      <c r="W50" s="178"/>
      <c r="X50" s="178"/>
      <c r="Y50" s="178"/>
      <c r="Z50" s="178"/>
      <c r="AA50" s="1352"/>
      <c r="AB50" s="1360"/>
      <c r="AC50" s="324"/>
      <c r="AD50" s="336"/>
      <c r="AE50" s="336"/>
      <c r="AF50" s="208"/>
      <c r="AG50" s="446"/>
    </row>
    <row r="51" spans="1:36" s="229" customFormat="1" ht="30.75" thickBot="1">
      <c r="A51" s="239" t="s">
        <v>383</v>
      </c>
      <c r="B51" s="240">
        <f>B16+B32+B38</f>
        <v>6976000000</v>
      </c>
      <c r="C51" s="241"/>
      <c r="D51" s="242"/>
      <c r="E51" s="241"/>
      <c r="F51" s="241"/>
      <c r="G51" s="243"/>
      <c r="H51" s="242"/>
      <c r="I51" s="776"/>
      <c r="J51" s="241"/>
      <c r="K51" s="864">
        <f>K23+K27+K31+K37+K43+K49</f>
        <v>0</v>
      </c>
      <c r="L51" s="244"/>
      <c r="M51" s="864">
        <f>M23+M27+M31+M37+M43+M49</f>
        <v>0</v>
      </c>
      <c r="N51" s="245"/>
      <c r="O51" s="864">
        <f t="shared" ref="O51:AB51" si="26">O23+O27+O31+O37+O43+O49</f>
        <v>0</v>
      </c>
      <c r="P51" s="864">
        <f t="shared" si="26"/>
        <v>0</v>
      </c>
      <c r="Q51" s="864">
        <f t="shared" si="26"/>
        <v>0</v>
      </c>
      <c r="R51" s="864">
        <f t="shared" si="26"/>
        <v>0</v>
      </c>
      <c r="S51" s="864">
        <f t="shared" si="26"/>
        <v>0</v>
      </c>
      <c r="T51" s="864">
        <f t="shared" si="26"/>
        <v>0</v>
      </c>
      <c r="U51" s="864">
        <f t="shared" si="26"/>
        <v>0</v>
      </c>
      <c r="V51" s="864">
        <f t="shared" si="26"/>
        <v>0</v>
      </c>
      <c r="W51" s="864">
        <f t="shared" si="26"/>
        <v>0</v>
      </c>
      <c r="X51" s="864">
        <f t="shared" si="26"/>
        <v>0</v>
      </c>
      <c r="Y51" s="864">
        <f t="shared" si="26"/>
        <v>0</v>
      </c>
      <c r="Z51" s="864">
        <f t="shared" si="26"/>
        <v>0</v>
      </c>
      <c r="AA51" s="864">
        <f t="shared" si="26"/>
        <v>0</v>
      </c>
      <c r="AB51" s="1362">
        <f t="shared" si="26"/>
        <v>0</v>
      </c>
      <c r="AC51" s="928"/>
      <c r="AD51" s="705"/>
      <c r="AE51" s="705"/>
      <c r="AF51" s="706"/>
      <c r="AG51" s="864" t="e">
        <f>AG23+AG27+AG31+#REF!+AG37+#REF!+AG43+#REF!+AG49</f>
        <v>#REF!</v>
      </c>
      <c r="AH51" s="864" t="e">
        <f>AH23+AH27+AH31+#REF!+AH37+#REF!+AH43+#REF!+AH49</f>
        <v>#REF!</v>
      </c>
      <c r="AI51" s="707"/>
    </row>
    <row r="52" spans="1:36" hidden="1">
      <c r="A52" s="20"/>
      <c r="B52" s="21"/>
      <c r="C52" s="924"/>
      <c r="D52" s="924"/>
      <c r="E52" s="924"/>
      <c r="F52" s="924"/>
      <c r="G52" s="924"/>
      <c r="H52" s="924"/>
      <c r="I52" s="161"/>
      <c r="J52" s="924"/>
      <c r="K52" s="23"/>
      <c r="L52" s="23"/>
      <c r="M52" s="778"/>
      <c r="N52" s="296"/>
      <c r="O52" s="930"/>
      <c r="P52" s="930"/>
      <c r="Q52" s="930"/>
      <c r="R52" s="930"/>
      <c r="S52" s="930"/>
      <c r="T52" s="930"/>
      <c r="U52" s="930"/>
      <c r="V52" s="930"/>
      <c r="W52" s="930"/>
      <c r="X52" s="930"/>
      <c r="Y52" s="930"/>
      <c r="Z52" s="930"/>
      <c r="AA52" s="234"/>
      <c r="AB52" s="1398"/>
    </row>
    <row r="53" spans="1:36" hidden="1">
      <c r="A53" s="20"/>
      <c r="B53" s="21"/>
      <c r="C53" s="924"/>
      <c r="D53" s="924"/>
      <c r="E53" s="924"/>
      <c r="F53" s="924"/>
      <c r="G53" s="924"/>
      <c r="H53" s="924"/>
      <c r="I53" s="161"/>
      <c r="J53" s="924"/>
      <c r="K53" s="23"/>
      <c r="L53" s="23"/>
      <c r="M53" s="778"/>
      <c r="N53" s="296"/>
      <c r="O53" s="930"/>
      <c r="P53" s="930"/>
      <c r="Q53" s="930"/>
      <c r="R53" s="930"/>
      <c r="S53" s="930"/>
      <c r="T53" s="930"/>
      <c r="U53" s="930"/>
      <c r="V53" s="930"/>
      <c r="W53" s="930"/>
      <c r="X53" s="930"/>
      <c r="Y53" s="930"/>
      <c r="Z53" s="930"/>
      <c r="AA53" s="234"/>
      <c r="AB53" s="1398"/>
    </row>
    <row r="54" spans="1:36">
      <c r="A54" s="20"/>
      <c r="B54" s="21"/>
      <c r="C54" s="924"/>
      <c r="D54" s="924"/>
      <c r="E54" s="924"/>
      <c r="F54" s="924"/>
      <c r="G54" s="924"/>
      <c r="H54" s="924"/>
      <c r="I54" s="161"/>
      <c r="J54" s="924"/>
      <c r="K54" s="146"/>
      <c r="L54" s="23"/>
      <c r="M54" s="778"/>
      <c r="N54" s="296"/>
      <c r="O54" s="930"/>
      <c r="P54" s="930"/>
      <c r="Q54" s="930"/>
      <c r="R54" s="930"/>
      <c r="S54" s="930"/>
      <c r="T54" s="930"/>
      <c r="U54" s="930"/>
      <c r="V54" s="930"/>
      <c r="W54" s="930"/>
      <c r="X54" s="930"/>
      <c r="Y54" s="930"/>
      <c r="Z54" s="930"/>
      <c r="AA54" s="234"/>
      <c r="AB54" s="1398"/>
    </row>
    <row r="55" spans="1:36">
      <c r="A55" s="20"/>
      <c r="B55" s="21"/>
      <c r="C55" s="924"/>
      <c r="D55" s="924"/>
      <c r="E55" s="924"/>
      <c r="F55" s="924"/>
      <c r="G55" s="924"/>
      <c r="H55" s="924"/>
      <c r="I55" s="161"/>
      <c r="J55" s="924"/>
      <c r="K55" s="146"/>
      <c r="L55" s="23"/>
      <c r="M55" s="778"/>
      <c r="N55" s="296"/>
      <c r="O55" s="930"/>
      <c r="P55" s="930"/>
      <c r="Q55" s="930"/>
      <c r="R55" s="930"/>
      <c r="S55" s="930"/>
      <c r="T55" s="930"/>
      <c r="U55" s="930"/>
      <c r="V55" s="930"/>
      <c r="W55" s="930"/>
      <c r="X55" s="930"/>
      <c r="Y55" s="930"/>
      <c r="Z55" s="930"/>
      <c r="AA55" s="234"/>
      <c r="AB55" s="1398"/>
      <c r="AG55" s="459" t="e">
        <f>B51-AG51</f>
        <v>#REF!</v>
      </c>
    </row>
    <row r="56" spans="1:36" s="165" customFormat="1" ht="28.5" customHeight="1">
      <c r="A56" s="24" t="s">
        <v>38</v>
      </c>
      <c r="B56" s="25" t="s">
        <v>19</v>
      </c>
      <c r="C56" s="867"/>
      <c r="D56" s="867"/>
      <c r="E56" s="867"/>
      <c r="F56" s="867"/>
      <c r="G56" s="867"/>
      <c r="H56" s="91"/>
      <c r="I56" s="769"/>
      <c r="J56" s="1349"/>
      <c r="K56" s="147" t="s">
        <v>25</v>
      </c>
      <c r="L56" s="147" t="s">
        <v>26</v>
      </c>
      <c r="M56" s="26" t="s">
        <v>27</v>
      </c>
      <c r="N56" s="879" t="s">
        <v>324</v>
      </c>
      <c r="O56" s="878"/>
      <c r="P56" s="878"/>
      <c r="Q56" s="878"/>
      <c r="R56" s="878"/>
      <c r="S56" s="878"/>
      <c r="T56" s="878"/>
      <c r="U56" s="878"/>
      <c r="V56" s="878"/>
      <c r="W56" s="878"/>
      <c r="X56" s="878"/>
      <c r="Y56" s="878"/>
      <c r="Z56" s="878"/>
      <c r="AA56" s="1357">
        <f>SUM(O56:Z56)</f>
        <v>0</v>
      </c>
      <c r="AB56" s="1363">
        <f>M51--AA56</f>
        <v>0</v>
      </c>
      <c r="AC56" s="868"/>
      <c r="AF56" s="177"/>
      <c r="AG56" s="869"/>
    </row>
    <row r="57" spans="1:36">
      <c r="A57" s="20"/>
      <c r="B57" s="21"/>
      <c r="C57" s="1590"/>
      <c r="D57" s="1590"/>
      <c r="E57" s="1590"/>
      <c r="F57" s="925"/>
      <c r="G57" s="925"/>
      <c r="H57" s="924"/>
      <c r="I57" s="161"/>
      <c r="J57" s="924"/>
      <c r="K57" s="148">
        <f>K51</f>
        <v>0</v>
      </c>
      <c r="L57" s="148">
        <f>M51</f>
        <v>0</v>
      </c>
      <c r="M57" s="148">
        <f>AA51</f>
        <v>0</v>
      </c>
      <c r="N57" s="296"/>
      <c r="O57" s="930"/>
      <c r="P57" s="930"/>
      <c r="Q57" s="930"/>
      <c r="R57" s="930"/>
      <c r="S57" s="930"/>
      <c r="T57" s="930"/>
      <c r="U57" s="930"/>
      <c r="V57" s="930"/>
      <c r="W57" s="930">
        <f>W56-W51</f>
        <v>0</v>
      </c>
      <c r="X57" s="930"/>
      <c r="Y57" s="930"/>
      <c r="Z57" s="930"/>
      <c r="AA57" s="234"/>
      <c r="AB57" s="1398"/>
    </row>
    <row r="58" spans="1:36" ht="24.75" customHeight="1">
      <c r="A58" s="27" t="s">
        <v>39</v>
      </c>
      <c r="B58" s="28">
        <f>B16+B32+B38</f>
        <v>6976000000</v>
      </c>
      <c r="C58" s="1565" t="s">
        <v>335</v>
      </c>
      <c r="D58" s="1591"/>
      <c r="E58" s="1591" t="s">
        <v>336</v>
      </c>
      <c r="F58" s="1591"/>
      <c r="G58" s="1591"/>
      <c r="H58" s="230"/>
      <c r="I58" s="777"/>
      <c r="J58" s="231"/>
      <c r="K58" s="93"/>
      <c r="L58" s="148" t="s">
        <v>39</v>
      </c>
      <c r="M58" s="148">
        <f>M23+M27+M31+M37+M43+M49</f>
        <v>0</v>
      </c>
      <c r="N58" s="296"/>
      <c r="O58" s="148">
        <f t="shared" ref="O58:AA58" si="27">O23+O27+O31+O37+O43+O49</f>
        <v>0</v>
      </c>
      <c r="P58" s="148">
        <f t="shared" si="27"/>
        <v>0</v>
      </c>
      <c r="Q58" s="148">
        <f t="shared" si="27"/>
        <v>0</v>
      </c>
      <c r="R58" s="148">
        <f t="shared" si="27"/>
        <v>0</v>
      </c>
      <c r="S58" s="148">
        <f t="shared" si="27"/>
        <v>0</v>
      </c>
      <c r="T58" s="148">
        <f t="shared" si="27"/>
        <v>0</v>
      </c>
      <c r="U58" s="148">
        <f t="shared" si="27"/>
        <v>0</v>
      </c>
      <c r="V58" s="148">
        <f t="shared" si="27"/>
        <v>0</v>
      </c>
      <c r="W58" s="148">
        <f t="shared" si="27"/>
        <v>0</v>
      </c>
      <c r="X58" s="148">
        <f t="shared" si="27"/>
        <v>0</v>
      </c>
      <c r="Y58" s="148">
        <f t="shared" si="27"/>
        <v>0</v>
      </c>
      <c r="Z58" s="148">
        <f t="shared" si="27"/>
        <v>0</v>
      </c>
      <c r="AA58" s="1358">
        <f t="shared" si="27"/>
        <v>0</v>
      </c>
      <c r="AB58" s="1364">
        <f>M58-AA58</f>
        <v>0</v>
      </c>
      <c r="AC58" s="441"/>
    </row>
    <row r="59" spans="1:36" s="9" customFormat="1" ht="14.25">
      <c r="A59" s="611"/>
      <c r="B59" s="612"/>
      <c r="C59" s="1592" t="s">
        <v>378</v>
      </c>
      <c r="D59" s="1592"/>
      <c r="E59" s="1592" t="s">
        <v>337</v>
      </c>
      <c r="F59" s="1592"/>
      <c r="G59" s="1592"/>
      <c r="H59" s="398"/>
      <c r="I59" s="297"/>
      <c r="J59" s="231"/>
      <c r="K59" s="93"/>
      <c r="L59" s="613"/>
      <c r="M59" s="613"/>
      <c r="N59" s="294"/>
      <c r="O59" s="613"/>
      <c r="P59" s="613"/>
      <c r="Q59" s="613"/>
      <c r="R59" s="613"/>
      <c r="S59" s="613"/>
      <c r="T59" s="613"/>
      <c r="U59" s="613"/>
      <c r="V59" s="613"/>
      <c r="W59" s="613"/>
      <c r="X59" s="613"/>
      <c r="Y59" s="613"/>
      <c r="Z59" s="613"/>
      <c r="AA59" s="613"/>
      <c r="AB59" s="931"/>
      <c r="AC59" s="199"/>
      <c r="AF59" s="222"/>
      <c r="AG59" s="614"/>
    </row>
    <row r="60" spans="1:36" s="9" customFormat="1">
      <c r="A60" s="932" t="s">
        <v>40</v>
      </c>
      <c r="B60" s="612"/>
      <c r="C60" s="196"/>
      <c r="D60" s="196"/>
      <c r="E60" s="196"/>
      <c r="F60" s="196"/>
      <c r="G60" s="907"/>
      <c r="H60" s="398"/>
      <c r="I60" s="297"/>
      <c r="J60" s="231"/>
      <c r="K60" s="93"/>
      <c r="L60" s="613"/>
      <c r="M60" s="613"/>
      <c r="N60" s="294"/>
      <c r="O60" s="613"/>
      <c r="P60" s="613"/>
      <c r="Q60" s="613"/>
      <c r="R60" s="613"/>
      <c r="S60" s="613"/>
      <c r="T60" s="613"/>
      <c r="U60" s="613"/>
      <c r="V60" s="613"/>
      <c r="W60" s="613"/>
      <c r="X60" s="613"/>
      <c r="Y60" s="613"/>
      <c r="Z60" s="613"/>
      <c r="AA60" s="613"/>
      <c r="AB60" s="931"/>
      <c r="AC60" s="199"/>
      <c r="AF60" s="222"/>
      <c r="AG60" s="614"/>
    </row>
    <row r="61" spans="1:36" s="9" customFormat="1" ht="13.5" thickBot="1">
      <c r="A61" s="933"/>
      <c r="B61" s="934"/>
      <c r="C61" s="935"/>
      <c r="D61" s="935"/>
      <c r="E61" s="935"/>
      <c r="F61" s="935"/>
      <c r="G61" s="936"/>
      <c r="H61" s="937"/>
      <c r="I61" s="938"/>
      <c r="J61" s="939"/>
      <c r="K61" s="940"/>
      <c r="L61" s="941"/>
      <c r="M61" s="941"/>
      <c r="N61" s="942"/>
      <c r="O61" s="941"/>
      <c r="P61" s="941"/>
      <c r="Q61" s="941"/>
      <c r="R61" s="941"/>
      <c r="S61" s="941"/>
      <c r="T61" s="941"/>
      <c r="U61" s="941"/>
      <c r="V61" s="941"/>
      <c r="W61" s="941"/>
      <c r="X61" s="941"/>
      <c r="Y61" s="941"/>
      <c r="Z61" s="941"/>
      <c r="AA61" s="941"/>
      <c r="AB61" s="943"/>
      <c r="AC61" s="199"/>
      <c r="AF61" s="222"/>
      <c r="AG61" s="614"/>
    </row>
    <row r="62" spans="1:36" s="9" customFormat="1">
      <c r="A62" s="611"/>
      <c r="B62" s="612"/>
      <c r="C62" s="196"/>
      <c r="D62" s="196"/>
      <c r="E62" s="196"/>
      <c r="F62" s="196"/>
      <c r="H62" s="398"/>
      <c r="I62" s="297"/>
      <c r="J62" s="231"/>
      <c r="K62" s="93">
        <f>K61-K59</f>
        <v>0</v>
      </c>
      <c r="L62" s="613"/>
      <c r="M62" s="613">
        <f>M61-M57</f>
        <v>0</v>
      </c>
      <c r="N62" s="222"/>
      <c r="O62" s="613"/>
      <c r="P62" s="613"/>
      <c r="Q62" s="613"/>
      <c r="R62" s="613"/>
      <c r="S62" s="613"/>
      <c r="T62" s="613"/>
      <c r="U62" s="613"/>
      <c r="V62" s="613"/>
      <c r="W62" s="613"/>
      <c r="X62" s="613"/>
      <c r="Y62" s="613"/>
      <c r="Z62" s="613"/>
      <c r="AA62" s="613"/>
      <c r="AB62" s="199"/>
      <c r="AC62" s="199"/>
      <c r="AF62" s="222"/>
      <c r="AG62" s="614"/>
    </row>
    <row r="63" spans="1:36" s="9" customFormat="1">
      <c r="A63" s="611"/>
      <c r="B63" s="612"/>
      <c r="C63" s="196"/>
      <c r="D63" s="196"/>
      <c r="E63" s="196"/>
      <c r="F63" s="196"/>
      <c r="H63" s="398"/>
      <c r="I63" s="297"/>
      <c r="J63" s="231"/>
      <c r="K63" s="93"/>
      <c r="L63" s="613"/>
      <c r="M63" s="613"/>
      <c r="N63" s="222"/>
      <c r="O63" s="613"/>
      <c r="P63" s="613"/>
      <c r="Q63" s="613"/>
      <c r="R63" s="613"/>
      <c r="S63" s="613"/>
      <c r="T63" s="613"/>
      <c r="U63" s="613"/>
      <c r="V63" s="613"/>
      <c r="W63" s="613"/>
      <c r="X63" s="613"/>
      <c r="Y63" s="613"/>
      <c r="Z63" s="613"/>
      <c r="AA63" s="613"/>
      <c r="AB63" s="199"/>
      <c r="AC63" s="199"/>
      <c r="AF63" s="222"/>
      <c r="AG63" s="614"/>
    </row>
    <row r="64" spans="1:36" s="9" customFormat="1">
      <c r="A64" s="611"/>
      <c r="B64" s="612"/>
      <c r="C64" s="196"/>
      <c r="D64" s="196"/>
      <c r="E64" s="196"/>
      <c r="F64" s="196"/>
      <c r="H64" s="398"/>
      <c r="I64" s="297"/>
      <c r="J64" s="231"/>
      <c r="K64" s="93"/>
      <c r="L64" s="613"/>
      <c r="M64" s="613"/>
      <c r="N64" s="222"/>
      <c r="O64" s="613"/>
      <c r="P64" s="613"/>
      <c r="Q64" s="613"/>
      <c r="R64" s="613"/>
      <c r="S64" s="613"/>
      <c r="T64" s="613"/>
      <c r="U64" s="613"/>
      <c r="V64" s="613"/>
      <c r="W64" s="613"/>
      <c r="X64" s="613"/>
      <c r="Y64" s="613"/>
      <c r="Z64" s="613"/>
      <c r="AA64" s="613"/>
      <c r="AB64" s="199"/>
      <c r="AC64" s="199"/>
      <c r="AF64" s="222"/>
      <c r="AG64" s="614"/>
    </row>
    <row r="65" spans="1:36" s="9" customFormat="1" hidden="1">
      <c r="A65" s="611"/>
      <c r="B65" s="612"/>
      <c r="C65" s="196"/>
      <c r="D65" s="196"/>
      <c r="E65" s="196"/>
      <c r="F65" s="196"/>
      <c r="H65" s="398"/>
      <c r="I65" s="297"/>
      <c r="J65" s="231"/>
      <c r="K65" s="93"/>
      <c r="L65" s="613"/>
      <c r="M65" s="613"/>
      <c r="N65" s="222"/>
      <c r="O65" s="613"/>
      <c r="P65" s="613"/>
      <c r="Q65" s="613"/>
      <c r="R65" s="613"/>
      <c r="S65" s="613"/>
      <c r="T65" s="613"/>
      <c r="U65" s="613"/>
      <c r="V65" s="613"/>
      <c r="W65" s="613"/>
      <c r="X65" s="613"/>
      <c r="Y65" s="613"/>
      <c r="Z65" s="613"/>
      <c r="AA65" s="613"/>
      <c r="AB65" s="199"/>
      <c r="AC65" s="199"/>
      <c r="AF65" s="222"/>
      <c r="AG65" s="614"/>
    </row>
    <row r="66" spans="1:36" hidden="1">
      <c r="A66" s="71"/>
      <c r="B66" s="72"/>
      <c r="C66" s="73"/>
      <c r="D66" s="73"/>
      <c r="E66" s="73"/>
      <c r="F66" s="73"/>
      <c r="G66" s="73"/>
      <c r="H66" s="74"/>
      <c r="I66" s="778"/>
      <c r="J66" s="73"/>
      <c r="K66" s="459"/>
      <c r="L66" s="73"/>
      <c r="T66" s="211">
        <f>T58-T51</f>
        <v>0</v>
      </c>
    </row>
    <row r="67" spans="1:36" hidden="1">
      <c r="A67" s="541" t="s">
        <v>54</v>
      </c>
      <c r="B67" s="542" t="s">
        <v>55</v>
      </c>
      <c r="C67" s="543" t="s">
        <v>273</v>
      </c>
      <c r="D67" s="543" t="s">
        <v>274</v>
      </c>
      <c r="E67" s="543" t="s">
        <v>275</v>
      </c>
      <c r="F67" s="543" t="s">
        <v>276</v>
      </c>
      <c r="G67" s="73"/>
      <c r="H67" s="74"/>
      <c r="I67" s="778"/>
      <c r="J67" s="73"/>
      <c r="K67" s="459"/>
      <c r="L67" s="73"/>
    </row>
    <row r="68" spans="1:36" hidden="1">
      <c r="A68" s="75" t="s">
        <v>56</v>
      </c>
      <c r="B68" s="76" t="s">
        <v>57</v>
      </c>
      <c r="C68" s="459" t="e">
        <f>B17+#REF!+B44</f>
        <v>#REF!</v>
      </c>
      <c r="D68" s="295" t="e">
        <f>K23+#REF!+K49</f>
        <v>#REF!</v>
      </c>
      <c r="E68" s="295" t="e">
        <f>M23+#REF!+M49</f>
        <v>#REF!</v>
      </c>
      <c r="F68" s="295" t="e">
        <f>AA23+#REF!+AA49</f>
        <v>#REF!</v>
      </c>
      <c r="G68" s="73"/>
      <c r="H68" s="74"/>
      <c r="I68" s="778"/>
      <c r="J68" s="73"/>
      <c r="K68" s="459"/>
      <c r="L68" s="73"/>
    </row>
    <row r="69" spans="1:36" hidden="1">
      <c r="A69" s="75" t="s">
        <v>56</v>
      </c>
      <c r="B69" s="76" t="s">
        <v>58</v>
      </c>
      <c r="C69" s="459" t="e">
        <f>#REF!+#REF!+B39</f>
        <v>#REF!</v>
      </c>
      <c r="D69" s="295" t="e">
        <f>#REF!+K37+K43</f>
        <v>#REF!</v>
      </c>
      <c r="E69" s="295" t="e">
        <f>#REF!+M37+M43</f>
        <v>#REF!</v>
      </c>
      <c r="F69" s="295" t="e">
        <f>#REF!+AA37+AA43</f>
        <v>#REF!</v>
      </c>
      <c r="G69" s="73"/>
      <c r="H69" s="74"/>
      <c r="I69" s="778"/>
      <c r="J69" s="73"/>
      <c r="K69" s="459"/>
      <c r="L69" s="73"/>
    </row>
    <row r="70" spans="1:36" hidden="1">
      <c r="A70" s="75" t="s">
        <v>56</v>
      </c>
      <c r="B70" s="76" t="s">
        <v>59</v>
      </c>
      <c r="C70" s="459" t="e">
        <f>#REF!</f>
        <v>#REF!</v>
      </c>
      <c r="D70" s="295" t="e">
        <f>#REF!</f>
        <v>#REF!</v>
      </c>
      <c r="E70" s="295" t="e">
        <f>#REF!</f>
        <v>#REF!</v>
      </c>
      <c r="F70" s="295" t="e">
        <f>#REF!</f>
        <v>#REF!</v>
      </c>
      <c r="G70" s="73"/>
      <c r="H70" s="74"/>
      <c r="I70" s="778"/>
      <c r="J70" s="73"/>
      <c r="K70" s="459"/>
      <c r="L70" s="73"/>
    </row>
    <row r="71" spans="1:36" s="210" customFormat="1" hidden="1">
      <c r="A71" s="75" t="s">
        <v>60</v>
      </c>
      <c r="B71" s="76" t="s">
        <v>57</v>
      </c>
      <c r="C71" s="459">
        <f>B24</f>
        <v>340000000</v>
      </c>
      <c r="D71" s="295">
        <f>K27</f>
        <v>0</v>
      </c>
      <c r="E71" s="295">
        <f>M27</f>
        <v>0</v>
      </c>
      <c r="F71" s="295">
        <f>AA27</f>
        <v>0</v>
      </c>
      <c r="G71" s="73"/>
      <c r="H71" s="74"/>
      <c r="I71" s="778"/>
      <c r="J71" s="73"/>
      <c r="K71" s="459"/>
      <c r="L71" s="73"/>
      <c r="N71" s="223"/>
      <c r="O71" s="211"/>
      <c r="P71" s="211"/>
      <c r="Q71" s="211"/>
      <c r="R71" s="211"/>
      <c r="S71" s="211"/>
      <c r="T71" s="211"/>
      <c r="U71" s="211"/>
      <c r="V71" s="211"/>
      <c r="W71" s="211"/>
      <c r="X71" s="211"/>
      <c r="Y71" s="211"/>
      <c r="Z71" s="211"/>
      <c r="AA71" s="540"/>
      <c r="AB71" s="868"/>
      <c r="AC71" s="82"/>
      <c r="AD71"/>
      <c r="AE71"/>
      <c r="AF71" s="223"/>
      <c r="AG71" s="459"/>
      <c r="AH71"/>
      <c r="AI71"/>
      <c r="AJ71"/>
    </row>
    <row r="72" spans="1:36" s="210" customFormat="1" hidden="1">
      <c r="A72" s="75"/>
      <c r="B72" s="544" t="s">
        <v>272</v>
      </c>
      <c r="C72" s="544" t="e">
        <f>SUM(C68:C71)</f>
        <v>#REF!</v>
      </c>
      <c r="D72" s="544" t="e">
        <f>SUM(D68:D71)</f>
        <v>#REF!</v>
      </c>
      <c r="E72" s="544" t="e">
        <f>SUM(E68:E71)</f>
        <v>#REF!</v>
      </c>
      <c r="F72" s="544" t="e">
        <f>SUM(F68:F71)</f>
        <v>#REF!</v>
      </c>
      <c r="G72" s="73"/>
      <c r="H72" s="74"/>
      <c r="I72" s="778"/>
      <c r="J72" s="73"/>
      <c r="K72" s="459"/>
      <c r="L72" s="73"/>
      <c r="N72" s="223"/>
      <c r="O72" s="211"/>
      <c r="P72" s="211"/>
      <c r="Q72" s="211"/>
      <c r="R72" s="211"/>
      <c r="S72" s="211"/>
      <c r="T72" s="211"/>
      <c r="U72" s="211"/>
      <c r="V72" s="211"/>
      <c r="W72" s="211"/>
      <c r="X72" s="211"/>
      <c r="Y72" s="211"/>
      <c r="Z72" s="211"/>
      <c r="AA72" s="540"/>
      <c r="AB72" s="868"/>
      <c r="AC72" s="82"/>
      <c r="AD72"/>
      <c r="AE72"/>
      <c r="AF72" s="223"/>
      <c r="AG72" s="459"/>
      <c r="AH72"/>
      <c r="AI72"/>
      <c r="AJ72"/>
    </row>
    <row r="73" spans="1:36" s="210" customFormat="1" ht="14.25" hidden="1" customHeight="1">
      <c r="A73" s="615"/>
      <c r="B73" s="72"/>
      <c r="C73" s="616"/>
      <c r="D73" s="617"/>
      <c r="E73" s="618"/>
      <c r="F73" s="619"/>
      <c r="G73" s="619"/>
      <c r="H73" s="74"/>
      <c r="I73" s="778"/>
      <c r="J73" s="73"/>
      <c r="K73" s="865"/>
      <c r="L73" s="620"/>
      <c r="N73" s="223"/>
      <c r="O73" s="211"/>
      <c r="P73" s="211"/>
      <c r="Q73" s="211"/>
      <c r="R73" s="211"/>
      <c r="S73" s="211"/>
      <c r="T73" s="211"/>
      <c r="U73" s="211"/>
      <c r="V73" s="211"/>
      <c r="W73" s="211"/>
      <c r="X73" s="211"/>
      <c r="Y73" s="211"/>
      <c r="Z73" s="211"/>
      <c r="AA73" s="540"/>
      <c r="AB73" s="868"/>
      <c r="AC73" s="82"/>
      <c r="AD73"/>
      <c r="AE73"/>
      <c r="AF73" s="223"/>
      <c r="AG73" s="459"/>
      <c r="AH73"/>
      <c r="AI73"/>
      <c r="AJ73"/>
    </row>
    <row r="74" spans="1:36" s="210" customFormat="1" hidden="1">
      <c r="A74"/>
      <c r="B74" s="31"/>
      <c r="C74"/>
      <c r="D74"/>
      <c r="E74"/>
      <c r="F74" s="32"/>
      <c r="G74"/>
      <c r="H74" s="82"/>
      <c r="J74"/>
      <c r="K74" s="149"/>
      <c r="L74"/>
      <c r="N74" s="223"/>
      <c r="O74" s="211"/>
      <c r="P74" s="211"/>
      <c r="Q74" s="211"/>
      <c r="R74" s="211"/>
      <c r="S74" s="211"/>
      <c r="T74" s="211"/>
      <c r="U74" s="211"/>
      <c r="V74" s="211"/>
      <c r="W74" s="211"/>
      <c r="X74" s="211"/>
      <c r="Y74" s="211"/>
      <c r="Z74" s="211"/>
      <c r="AA74" s="540"/>
      <c r="AB74" s="868"/>
      <c r="AC74" s="82"/>
      <c r="AD74"/>
      <c r="AE74"/>
      <c r="AF74" s="223"/>
      <c r="AG74" s="459"/>
      <c r="AH74"/>
      <c r="AI74"/>
      <c r="AJ74"/>
    </row>
    <row r="75" spans="1:36" s="210" customFormat="1" hidden="1">
      <c r="A75"/>
      <c r="B75" s="31"/>
      <c r="C75" s="295"/>
      <c r="D75" s="295"/>
      <c r="E75" s="295"/>
      <c r="F75" s="295"/>
      <c r="G75" s="164"/>
      <c r="H75" s="82"/>
      <c r="J75"/>
      <c r="K75" s="149"/>
      <c r="L75"/>
      <c r="N75" s="223"/>
      <c r="O75" s="211"/>
      <c r="P75" s="211"/>
      <c r="Q75" s="211"/>
      <c r="R75" s="211"/>
      <c r="S75" s="211"/>
      <c r="T75" s="211"/>
      <c r="U75" s="211"/>
      <c r="V75" s="211"/>
      <c r="W75" s="211"/>
      <c r="X75" s="211"/>
      <c r="Y75" s="211"/>
      <c r="Z75" s="211"/>
      <c r="AA75" s="540"/>
      <c r="AB75" s="868"/>
      <c r="AC75" s="82"/>
      <c r="AD75"/>
      <c r="AE75"/>
      <c r="AF75" s="223"/>
      <c r="AG75" s="459"/>
      <c r="AH75"/>
      <c r="AI75"/>
      <c r="AJ75"/>
    </row>
    <row r="76" spans="1:36" s="210" customFormat="1" hidden="1">
      <c r="A76"/>
      <c r="B76" s="31"/>
      <c r="C76" s="295"/>
      <c r="D76" s="295"/>
      <c r="E76" s="295"/>
      <c r="F76" s="295"/>
      <c r="G76" s="164"/>
      <c r="H76" s="82"/>
      <c r="J76"/>
      <c r="K76" s="149"/>
      <c r="L76"/>
      <c r="N76" s="223"/>
      <c r="O76" s="211"/>
      <c r="P76" s="211"/>
      <c r="Q76" s="211"/>
      <c r="R76" s="211"/>
      <c r="S76" s="211"/>
      <c r="T76" s="211"/>
      <c r="U76" s="211"/>
      <c r="V76" s="211"/>
      <c r="W76" s="211"/>
      <c r="X76" s="211"/>
      <c r="Y76" s="211"/>
      <c r="Z76" s="211"/>
      <c r="AA76" s="540"/>
      <c r="AB76" s="868"/>
      <c r="AC76" s="82"/>
      <c r="AD76"/>
      <c r="AE76"/>
      <c r="AF76" s="223"/>
      <c r="AG76" s="459"/>
      <c r="AH76"/>
      <c r="AI76"/>
      <c r="AJ76"/>
    </row>
    <row r="77" spans="1:36" s="210" customFormat="1" hidden="1">
      <c r="A77"/>
      <c r="B77" s="31"/>
      <c r="C77" s="295"/>
      <c r="D77" s="295"/>
      <c r="E77" s="295"/>
      <c r="F77" s="295"/>
      <c r="G77" s="164"/>
      <c r="H77" s="82"/>
      <c r="J77"/>
      <c r="K77" s="149"/>
      <c r="L77"/>
      <c r="N77" s="223"/>
      <c r="O77" s="211"/>
      <c r="P77" s="211"/>
      <c r="Q77" s="211"/>
      <c r="R77" s="211"/>
      <c r="S77" s="211"/>
      <c r="T77" s="211"/>
      <c r="U77" s="211"/>
      <c r="V77" s="211"/>
      <c r="W77" s="211"/>
      <c r="X77" s="211"/>
      <c r="Y77" s="211"/>
      <c r="Z77" s="211"/>
      <c r="AA77" s="540"/>
      <c r="AB77" s="868"/>
      <c r="AC77" s="82"/>
      <c r="AD77"/>
      <c r="AE77"/>
      <c r="AF77" s="223"/>
      <c r="AG77" s="459"/>
      <c r="AH77"/>
      <c r="AI77"/>
      <c r="AJ77"/>
    </row>
    <row r="78" spans="1:36" s="210" customFormat="1" hidden="1">
      <c r="A78" s="33" t="s">
        <v>365</v>
      </c>
      <c r="B78" s="1529">
        <f>B16</f>
        <v>4049000000</v>
      </c>
      <c r="C78" s="295"/>
      <c r="D78" s="295"/>
      <c r="E78" s="295"/>
      <c r="F78" s="295"/>
      <c r="G78" s="164"/>
      <c r="H78" s="82"/>
      <c r="J78"/>
      <c r="K78" s="149"/>
      <c r="L78"/>
      <c r="N78" s="223"/>
      <c r="O78" s="211"/>
      <c r="P78" s="211"/>
      <c r="Q78" s="211"/>
      <c r="R78" s="211"/>
      <c r="S78" s="211"/>
      <c r="T78" s="211"/>
      <c r="U78" s="211"/>
      <c r="V78" s="211"/>
      <c r="W78" s="211"/>
      <c r="X78" s="211"/>
      <c r="Y78" s="211"/>
      <c r="Z78" s="211"/>
      <c r="AA78" s="540"/>
      <c r="AB78" s="868"/>
      <c r="AC78" s="82"/>
      <c r="AD78"/>
      <c r="AE78"/>
      <c r="AF78" s="223"/>
      <c r="AG78" s="459"/>
      <c r="AH78"/>
      <c r="AI78"/>
      <c r="AJ78"/>
    </row>
    <row r="79" spans="1:36" s="210" customFormat="1" hidden="1">
      <c r="A79" s="33" t="s">
        <v>366</v>
      </c>
      <c r="B79" s="1529">
        <f>B32</f>
        <v>620000000</v>
      </c>
      <c r="C79" s="295"/>
      <c r="D79" s="295"/>
      <c r="E79" s="295"/>
      <c r="F79" s="295"/>
      <c r="G79"/>
      <c r="H79" s="82"/>
      <c r="J79"/>
      <c r="K79" s="149"/>
      <c r="L79"/>
      <c r="N79" s="223"/>
      <c r="O79" s="211"/>
      <c r="P79" s="211"/>
      <c r="Q79" s="211"/>
      <c r="R79" s="211"/>
      <c r="S79" s="211"/>
      <c r="T79" s="211"/>
      <c r="U79" s="211"/>
      <c r="V79" s="211"/>
      <c r="W79" s="211"/>
      <c r="X79" s="211"/>
      <c r="Y79" s="211"/>
      <c r="Z79" s="211"/>
      <c r="AA79" s="540"/>
      <c r="AB79" s="868"/>
      <c r="AC79" s="82"/>
      <c r="AD79"/>
      <c r="AE79"/>
      <c r="AF79" s="223"/>
      <c r="AG79" s="459"/>
      <c r="AH79"/>
      <c r="AI79"/>
      <c r="AJ79"/>
    </row>
    <row r="80" spans="1:36" s="210" customFormat="1" hidden="1">
      <c r="A80" s="33" t="s">
        <v>367</v>
      </c>
      <c r="B80" s="1529">
        <f>B38</f>
        <v>2307000000</v>
      </c>
      <c r="C80" s="295"/>
      <c r="D80" s="295"/>
      <c r="E80" s="295"/>
      <c r="F80" s="295"/>
      <c r="G80"/>
      <c r="H80" s="82"/>
      <c r="J80"/>
      <c r="K80" s="149"/>
      <c r="L80"/>
      <c r="N80" s="223"/>
      <c r="O80" s="211"/>
      <c r="P80" s="211"/>
      <c r="Q80" s="211"/>
      <c r="R80" s="211"/>
      <c r="S80" s="211"/>
      <c r="T80" s="211"/>
      <c r="U80" s="211"/>
      <c r="V80" s="211"/>
      <c r="W80" s="211"/>
      <c r="X80" s="211"/>
      <c r="Y80" s="211"/>
      <c r="Z80" s="211"/>
      <c r="AA80" s="540"/>
      <c r="AB80" s="868"/>
      <c r="AC80" s="82"/>
      <c r="AD80"/>
      <c r="AE80"/>
      <c r="AF80" s="223"/>
      <c r="AG80" s="459"/>
      <c r="AH80"/>
      <c r="AI80"/>
      <c r="AJ80"/>
    </row>
    <row r="81" spans="1:36" s="210" customFormat="1" hidden="1">
      <c r="A81" s="37"/>
      <c r="B81" s="34">
        <f>SUM(B78:B80)</f>
        <v>6976000000</v>
      </c>
      <c r="C81" s="295"/>
      <c r="D81" s="295"/>
      <c r="E81" s="295"/>
      <c r="F81" s="295"/>
      <c r="G81"/>
      <c r="H81" s="82"/>
      <c r="J81"/>
      <c r="K81" s="149"/>
      <c r="L81"/>
      <c r="N81" s="223"/>
      <c r="O81" s="211"/>
      <c r="P81" s="211"/>
      <c r="Q81" s="211"/>
      <c r="R81" s="211"/>
      <c r="S81" s="211"/>
      <c r="T81" s="211"/>
      <c r="U81" s="211"/>
      <c r="V81" s="211"/>
      <c r="W81" s="211"/>
      <c r="X81" s="211"/>
      <c r="Y81" s="211"/>
      <c r="Z81" s="211"/>
      <c r="AA81" s="540"/>
      <c r="AB81" s="868"/>
      <c r="AC81" s="82"/>
      <c r="AD81"/>
      <c r="AE81"/>
      <c r="AF81" s="223"/>
      <c r="AG81" s="459"/>
      <c r="AH81"/>
      <c r="AI81"/>
      <c r="AJ81"/>
    </row>
    <row r="82" spans="1:36" s="210" customFormat="1" hidden="1">
      <c r="A82"/>
      <c r="B82" s="31"/>
      <c r="C82" s="295"/>
      <c r="D82" s="295"/>
      <c r="E82" s="295"/>
      <c r="F82" s="295"/>
      <c r="G82"/>
      <c r="H82" s="82"/>
      <c r="J82"/>
      <c r="K82" s="149"/>
      <c r="L82"/>
      <c r="N82" s="223"/>
      <c r="O82" s="211"/>
      <c r="P82" s="211"/>
      <c r="Q82" s="211"/>
      <c r="R82" s="211"/>
      <c r="S82" s="211"/>
      <c r="T82" s="211"/>
      <c r="U82" s="211"/>
      <c r="V82" s="211"/>
      <c r="W82" s="211"/>
      <c r="X82" s="211"/>
      <c r="Y82" s="211"/>
      <c r="Z82" s="211"/>
      <c r="AA82" s="540"/>
      <c r="AB82" s="868"/>
      <c r="AC82" s="82"/>
      <c r="AD82"/>
      <c r="AE82"/>
      <c r="AF82" s="223"/>
      <c r="AG82" s="459"/>
      <c r="AH82"/>
      <c r="AI82"/>
      <c r="AJ82"/>
    </row>
    <row r="83" spans="1:36" s="210" customFormat="1" hidden="1">
      <c r="A83"/>
      <c r="B83" s="31"/>
      <c r="C83" s="295"/>
      <c r="D83" s="295"/>
      <c r="E83" s="295"/>
      <c r="F83" s="295"/>
      <c r="G83"/>
      <c r="H83" s="82"/>
      <c r="J83"/>
      <c r="K83" s="149"/>
      <c r="L83"/>
      <c r="N83" s="223"/>
      <c r="O83" s="211"/>
      <c r="P83" s="211"/>
      <c r="Q83" s="211"/>
      <c r="R83" s="211"/>
      <c r="S83" s="211"/>
      <c r="T83" s="211"/>
      <c r="U83" s="211"/>
      <c r="V83" s="211"/>
      <c r="W83" s="211"/>
      <c r="X83" s="211"/>
      <c r="Y83" s="211"/>
      <c r="Z83" s="211"/>
      <c r="AA83" s="540"/>
      <c r="AB83" s="868"/>
      <c r="AC83" s="82"/>
      <c r="AD83"/>
      <c r="AE83"/>
      <c r="AF83" s="223"/>
      <c r="AG83" s="459"/>
      <c r="AH83"/>
      <c r="AI83"/>
      <c r="AJ83"/>
    </row>
    <row r="84" spans="1:36" s="210" customFormat="1" hidden="1">
      <c r="A84"/>
      <c r="B84" s="31"/>
      <c r="C84" s="295"/>
      <c r="D84" s="295"/>
      <c r="E84" s="295"/>
      <c r="F84" s="295"/>
      <c r="G84"/>
      <c r="H84" s="82"/>
      <c r="J84"/>
      <c r="K84" s="149"/>
      <c r="L84"/>
      <c r="N84" s="223"/>
      <c r="O84" s="211"/>
      <c r="P84" s="211"/>
      <c r="Q84" s="211"/>
      <c r="R84" s="211"/>
      <c r="S84" s="211"/>
      <c r="T84" s="211"/>
      <c r="U84" s="211"/>
      <c r="V84" s="211"/>
      <c r="W84" s="211"/>
      <c r="X84" s="211"/>
      <c r="Y84" s="211"/>
      <c r="Z84" s="211"/>
      <c r="AA84" s="540"/>
      <c r="AB84" s="868"/>
      <c r="AC84" s="82"/>
      <c r="AD84"/>
      <c r="AE84"/>
      <c r="AF84" s="223"/>
      <c r="AG84" s="459"/>
      <c r="AH84"/>
      <c r="AI84"/>
      <c r="AJ84"/>
    </row>
    <row r="85" spans="1:36" s="210" customFormat="1" hidden="1">
      <c r="A85"/>
      <c r="B85" s="31"/>
      <c r="C85" s="295"/>
      <c r="D85" s="295"/>
      <c r="E85" s="295"/>
      <c r="F85" s="295"/>
      <c r="G85"/>
      <c r="H85" s="82"/>
      <c r="J85"/>
      <c r="K85" s="149"/>
      <c r="L85"/>
      <c r="N85" s="223"/>
      <c r="O85" s="211"/>
      <c r="P85" s="211"/>
      <c r="Q85" s="211"/>
      <c r="R85" s="211"/>
      <c r="S85" s="211"/>
      <c r="T85" s="211"/>
      <c r="U85" s="211"/>
      <c r="V85" s="211"/>
      <c r="W85" s="211"/>
      <c r="X85" s="211"/>
      <c r="Y85" s="211"/>
      <c r="Z85" s="211"/>
      <c r="AA85" s="540"/>
      <c r="AB85" s="868"/>
      <c r="AC85" s="82"/>
      <c r="AD85"/>
      <c r="AE85"/>
      <c r="AF85" s="223"/>
      <c r="AG85" s="459"/>
      <c r="AH85"/>
      <c r="AI85"/>
      <c r="AJ85"/>
    </row>
    <row r="86" spans="1:36" s="210" customFormat="1" hidden="1">
      <c r="A86"/>
      <c r="B86" s="31"/>
      <c r="C86" s="295"/>
      <c r="D86" s="295"/>
      <c r="E86" s="295"/>
      <c r="F86" s="295"/>
      <c r="G86"/>
      <c r="H86" s="82"/>
      <c r="J86"/>
      <c r="K86" s="149"/>
      <c r="L86"/>
      <c r="N86" s="223"/>
      <c r="O86" s="211"/>
      <c r="P86" s="211"/>
      <c r="Q86" s="211"/>
      <c r="R86" s="211"/>
      <c r="S86" s="211"/>
      <c r="T86" s="211"/>
      <c r="U86" s="211"/>
      <c r="V86" s="211"/>
      <c r="W86" s="211"/>
      <c r="X86" s="211"/>
      <c r="Y86" s="211"/>
      <c r="Z86" s="211"/>
      <c r="AA86" s="540"/>
      <c r="AB86" s="868"/>
      <c r="AC86" s="82"/>
      <c r="AD86"/>
      <c r="AE86"/>
      <c r="AF86" s="223"/>
      <c r="AG86" s="459"/>
      <c r="AH86"/>
      <c r="AI86"/>
      <c r="AJ86"/>
    </row>
    <row r="87" spans="1:36" hidden="1">
      <c r="C87" s="295"/>
      <c r="D87" s="295"/>
      <c r="E87" s="295"/>
      <c r="F87" s="295"/>
    </row>
    <row r="88" spans="1:36" hidden="1"/>
    <row r="89" spans="1:36">
      <c r="A89" s="33"/>
      <c r="B89" s="34"/>
    </row>
    <row r="90" spans="1:36">
      <c r="A90" s="37"/>
      <c r="B90" s="38"/>
      <c r="F90" s="41"/>
    </row>
    <row r="91" spans="1:36">
      <c r="A91" s="37"/>
      <c r="B91" s="38"/>
      <c r="F91" s="41"/>
    </row>
    <row r="92" spans="1:36">
      <c r="A92" s="37"/>
      <c r="B92" s="38"/>
      <c r="F92" s="41"/>
    </row>
    <row r="93" spans="1:36">
      <c r="A93" s="37"/>
      <c r="B93" s="38"/>
      <c r="F93" s="41"/>
    </row>
    <row r="100" spans="1:2">
      <c r="A100" s="37"/>
      <c r="B100" s="38"/>
    </row>
    <row r="101" spans="1:2">
      <c r="A101" s="37"/>
      <c r="B101" s="38"/>
    </row>
    <row r="102" spans="1:2">
      <c r="A102" s="37"/>
      <c r="B102" s="38"/>
    </row>
    <row r="103" spans="1:2">
      <c r="A103" s="37"/>
      <c r="B103" s="38"/>
    </row>
    <row r="104" spans="1:2">
      <c r="A104" s="37"/>
      <c r="B104" s="38"/>
    </row>
    <row r="105" spans="1:2">
      <c r="A105" s="37"/>
      <c r="B105" s="38"/>
    </row>
    <row r="106" spans="1:2">
      <c r="A106" s="37"/>
      <c r="B106" s="38"/>
    </row>
    <row r="107" spans="1:2">
      <c r="A107" s="37"/>
      <c r="B107" s="38"/>
    </row>
    <row r="108" spans="1:2">
      <c r="A108" s="37"/>
      <c r="B108" s="38"/>
    </row>
    <row r="109" spans="1:2">
      <c r="A109" s="37"/>
      <c r="B109" s="38"/>
    </row>
    <row r="110" spans="1:2">
      <c r="A110" s="37"/>
      <c r="B110" s="38"/>
    </row>
    <row r="111" spans="1:2">
      <c r="A111" s="37"/>
      <c r="B111" s="38"/>
    </row>
    <row r="112" spans="1:2">
      <c r="A112" s="37"/>
      <c r="B112" s="38"/>
    </row>
    <row r="113" spans="1:2">
      <c r="A113" s="37"/>
      <c r="B113" s="38"/>
    </row>
    <row r="114" spans="1:2">
      <c r="A114" s="37"/>
      <c r="B114" s="38"/>
    </row>
    <row r="115" spans="1:2">
      <c r="A115" s="37"/>
      <c r="B115" s="38"/>
    </row>
    <row r="116" spans="1:2">
      <c r="A116" s="37"/>
      <c r="B116" s="38"/>
    </row>
    <row r="117" spans="1:2">
      <c r="A117" s="37"/>
      <c r="B117" s="38"/>
    </row>
    <row r="118" spans="1:2">
      <c r="A118" s="37"/>
      <c r="B118" s="38"/>
    </row>
  </sheetData>
  <mergeCells count="22">
    <mergeCell ref="C57:E57"/>
    <mergeCell ref="C58:D58"/>
    <mergeCell ref="C59:D59"/>
    <mergeCell ref="E58:G58"/>
    <mergeCell ref="E59:G59"/>
    <mergeCell ref="A1:A2"/>
    <mergeCell ref="Y1:Z1"/>
    <mergeCell ref="AA1:AB1"/>
    <mergeCell ref="Y2:Z2"/>
    <mergeCell ref="AA2:AB2"/>
    <mergeCell ref="C1:L1"/>
    <mergeCell ref="C2:L2"/>
    <mergeCell ref="A3:G3"/>
    <mergeCell ref="M3:AB13"/>
    <mergeCell ref="A4:G4"/>
    <mergeCell ref="A5:G5"/>
    <mergeCell ref="A6:G6"/>
    <mergeCell ref="A7:G7"/>
    <mergeCell ref="A8:G8"/>
    <mergeCell ref="B9:D9"/>
    <mergeCell ref="B10:G10"/>
    <mergeCell ref="B11:G11"/>
  </mergeCells>
  <conditionalFormatting sqref="L32:L1048576 L3:L27">
    <cfRule type="duplicateValues" dxfId="34" priority="8"/>
  </conditionalFormatting>
  <conditionalFormatting sqref="AB52:AB1048576 AB1:AB50">
    <cfRule type="cellIs" dxfId="33" priority="7" operator="lessThan">
      <formula>0</formula>
    </cfRule>
  </conditionalFormatting>
  <conditionalFormatting sqref="L28:L31">
    <cfRule type="duplicateValues" dxfId="32" priority="6"/>
  </conditionalFormatting>
  <conditionalFormatting sqref="AB28">
    <cfRule type="cellIs" dxfId="31" priority="5" operator="lessThan">
      <formula>0</formula>
    </cfRule>
  </conditionalFormatting>
  <conditionalFormatting sqref="AB29:AB30">
    <cfRule type="cellIs" dxfId="30" priority="4" operator="lessThan">
      <formula>0</formula>
    </cfRule>
  </conditionalFormatting>
  <conditionalFormatting sqref="M57">
    <cfRule type="duplicateValues" dxfId="29" priority="2"/>
  </conditionalFormatting>
  <conditionalFormatting sqref="AB28">
    <cfRule type="cellIs" dxfId="28" priority="1" operator="lessThan">
      <formula>0</formula>
    </cfRule>
  </conditionalFormatting>
  <printOptions horizontalCentered="1" verticalCentered="1"/>
  <pageMargins left="0.28999999999999998" right="0.34" top="0" bottom="0" header="0" footer="0"/>
  <pageSetup scale="45" fitToHeight="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5"/>
  <sheetViews>
    <sheetView zoomScale="80" zoomScaleNormal="80" zoomScaleSheetLayoutView="85" workbookViewId="0">
      <selection activeCell="F69" sqref="F69"/>
    </sheetView>
  </sheetViews>
  <sheetFormatPr baseColWidth="10" defaultRowHeight="12.75"/>
  <cols>
    <col min="1" max="1" width="29.140625" customWidth="1"/>
    <col min="2" max="2" width="17.85546875" style="149" customWidth="1"/>
    <col min="3" max="3" width="35.140625" customWidth="1"/>
    <col min="4" max="4" width="27.5703125" customWidth="1"/>
    <col min="5" max="5" width="40.7109375" customWidth="1"/>
    <col min="6" max="6" width="40.42578125" customWidth="1"/>
    <col min="7" max="7" width="30.140625" customWidth="1"/>
    <col min="8" max="8" width="13.42578125" style="223" customWidth="1"/>
    <col min="9" max="9" width="13.42578125" style="210" customWidth="1"/>
    <col min="10" max="10" width="7.7109375" customWidth="1"/>
    <col min="11" max="11" width="16.28515625" customWidth="1"/>
    <col min="12" max="12" width="15.42578125" style="139" customWidth="1"/>
    <col min="13" max="13" width="17.140625" style="151" customWidth="1"/>
    <col min="14" max="14" width="15" style="223" customWidth="1"/>
    <col min="15" max="15" width="11.42578125" style="151" customWidth="1"/>
    <col min="16" max="16" width="12.7109375" style="151" customWidth="1"/>
    <col min="17" max="20" width="14.28515625" style="151" customWidth="1"/>
    <col min="21" max="21" width="13.85546875" style="151" customWidth="1"/>
    <col min="22" max="22" width="14.28515625" style="151" customWidth="1"/>
    <col min="23" max="23" width="18.5703125" style="151" bestFit="1" customWidth="1"/>
    <col min="24" max="26" width="11.42578125" style="151" customWidth="1"/>
    <col min="27" max="27" width="18" style="151" customWidth="1"/>
    <col min="28" max="28" width="16.28515625" style="151" customWidth="1"/>
    <col min="29" max="29" width="10.5703125" style="151" hidden="1" customWidth="1"/>
    <col min="30" max="30" width="0" hidden="1" customWidth="1"/>
    <col min="31" max="31" width="13.28515625" style="32" hidden="1" customWidth="1"/>
    <col min="32" max="32" width="0" style="223" hidden="1" customWidth="1"/>
    <col min="33" max="33" width="17.28515625" style="149" hidden="1" customWidth="1"/>
    <col min="34" max="34" width="15.85546875" hidden="1" customWidth="1"/>
    <col min="35" max="35" width="13.140625" hidden="1" customWidth="1"/>
    <col min="36" max="36" width="12.28515625" hidden="1" customWidth="1"/>
    <col min="37" max="37" width="0" hidden="1" customWidth="1"/>
  </cols>
  <sheetData>
    <row r="1" spans="1:34" ht="42" customHeight="1">
      <c r="A1" s="1550"/>
      <c r="B1" s="891" t="s">
        <v>0</v>
      </c>
      <c r="C1" s="1558" t="s">
        <v>1</v>
      </c>
      <c r="D1" s="1559"/>
      <c r="E1" s="1559"/>
      <c r="F1" s="1559"/>
      <c r="G1" s="1559"/>
      <c r="H1" s="1559"/>
      <c r="I1" s="1559"/>
      <c r="J1" s="1559"/>
      <c r="K1" s="1559"/>
      <c r="L1" s="1559"/>
      <c r="M1" s="1343"/>
      <c r="N1" s="979"/>
      <c r="O1" s="979"/>
      <c r="P1" s="979"/>
      <c r="Q1" s="979"/>
      <c r="R1" s="979"/>
      <c r="S1" s="979"/>
      <c r="T1" s="979"/>
      <c r="U1" s="979"/>
      <c r="V1" s="979"/>
      <c r="W1" s="979"/>
      <c r="X1" s="980"/>
      <c r="Y1" s="1552" t="s">
        <v>2</v>
      </c>
      <c r="Z1" s="1552"/>
      <c r="AA1" s="1553" t="s">
        <v>3</v>
      </c>
      <c r="AB1" s="1554"/>
      <c r="AC1" s="438"/>
    </row>
    <row r="2" spans="1:34" ht="42" customHeight="1">
      <c r="A2" s="1551"/>
      <c r="B2" s="154" t="s">
        <v>4</v>
      </c>
      <c r="C2" s="1560" t="s">
        <v>5</v>
      </c>
      <c r="D2" s="1561"/>
      <c r="E2" s="1561"/>
      <c r="F2" s="1561"/>
      <c r="G2" s="1561"/>
      <c r="H2" s="1561"/>
      <c r="I2" s="1561"/>
      <c r="J2" s="1561"/>
      <c r="K2" s="1561"/>
      <c r="L2" s="1561"/>
      <c r="M2" s="977"/>
      <c r="N2" s="977"/>
      <c r="O2" s="977"/>
      <c r="P2" s="977"/>
      <c r="Q2" s="977"/>
      <c r="R2" s="977"/>
      <c r="S2" s="977"/>
      <c r="T2" s="977"/>
      <c r="U2" s="977"/>
      <c r="V2" s="977"/>
      <c r="W2" s="977"/>
      <c r="X2" s="978"/>
      <c r="Y2" s="1555" t="s">
        <v>6</v>
      </c>
      <c r="Z2" s="1555"/>
      <c r="AA2" s="1556">
        <v>1</v>
      </c>
      <c r="AB2" s="1557"/>
      <c r="AC2" s="438"/>
    </row>
    <row r="3" spans="1:34">
      <c r="A3" s="1579" t="s">
        <v>7</v>
      </c>
      <c r="B3" s="1580"/>
      <c r="C3" s="1580"/>
      <c r="D3" s="1580"/>
      <c r="E3" s="1580"/>
      <c r="F3" s="1580"/>
      <c r="G3" s="1580"/>
      <c r="H3" s="270"/>
      <c r="I3" s="884"/>
      <c r="J3" s="45"/>
      <c r="K3" s="45"/>
      <c r="L3" s="387"/>
      <c r="M3" s="263"/>
      <c r="N3" s="282"/>
      <c r="O3" s="263"/>
      <c r="P3" s="263"/>
      <c r="Q3" s="263"/>
      <c r="R3" s="263"/>
      <c r="S3" s="263"/>
      <c r="T3" s="263"/>
      <c r="U3" s="263"/>
      <c r="V3" s="263"/>
      <c r="W3" s="263"/>
      <c r="X3" s="263"/>
      <c r="Y3" s="263"/>
      <c r="Z3" s="263"/>
      <c r="AA3" s="264"/>
      <c r="AB3" s="949"/>
      <c r="AC3" s="263"/>
    </row>
    <row r="4" spans="1:34">
      <c r="A4" s="1579" t="s">
        <v>382</v>
      </c>
      <c r="B4" s="1580"/>
      <c r="C4" s="1580"/>
      <c r="D4" s="1580"/>
      <c r="E4" s="1580"/>
      <c r="F4" s="1580"/>
      <c r="G4" s="1580"/>
      <c r="H4" s="270"/>
      <c r="I4" s="884"/>
      <c r="J4" s="45"/>
      <c r="K4" s="45"/>
      <c r="L4" s="387"/>
      <c r="M4" s="263"/>
      <c r="N4" s="282"/>
      <c r="O4" s="263"/>
      <c r="P4" s="263"/>
      <c r="Q4" s="263"/>
      <c r="R4" s="263"/>
      <c r="S4" s="263"/>
      <c r="T4" s="263"/>
      <c r="U4" s="263"/>
      <c r="V4" s="263"/>
      <c r="W4" s="263"/>
      <c r="X4" s="263"/>
      <c r="Y4" s="263"/>
      <c r="Z4" s="263"/>
      <c r="AA4" s="263"/>
      <c r="AB4" s="950"/>
      <c r="AC4" s="263"/>
    </row>
    <row r="5" spans="1:34">
      <c r="A5" s="1579" t="s">
        <v>61</v>
      </c>
      <c r="B5" s="1580"/>
      <c r="C5" s="1580"/>
      <c r="D5" s="1580"/>
      <c r="E5" s="1580"/>
      <c r="F5" s="1580"/>
      <c r="G5" s="1580"/>
      <c r="H5" s="270"/>
      <c r="I5" s="884"/>
      <c r="J5" s="45"/>
      <c r="K5" s="45"/>
      <c r="L5" s="387"/>
      <c r="M5" s="263"/>
      <c r="N5" s="282"/>
      <c r="O5" s="263"/>
      <c r="P5" s="263"/>
      <c r="Q5" s="263"/>
      <c r="R5" s="263"/>
      <c r="S5" s="263"/>
      <c r="T5" s="263"/>
      <c r="U5" s="263"/>
      <c r="V5" s="263"/>
      <c r="W5" s="263"/>
      <c r="X5" s="263"/>
      <c r="Y5" s="263"/>
      <c r="Z5" s="263"/>
      <c r="AA5" s="263"/>
      <c r="AB5" s="950"/>
      <c r="AC5" s="263"/>
    </row>
    <row r="6" spans="1:34">
      <c r="A6" s="1579" t="s">
        <v>62</v>
      </c>
      <c r="B6" s="1580"/>
      <c r="C6" s="1580"/>
      <c r="D6" s="1580"/>
      <c r="E6" s="1580"/>
      <c r="F6" s="1580"/>
      <c r="G6" s="1580"/>
      <c r="H6" s="270"/>
      <c r="I6" s="884"/>
      <c r="J6" s="45"/>
      <c r="K6" s="45"/>
      <c r="L6" s="387"/>
      <c r="M6" s="263"/>
      <c r="N6" s="282"/>
      <c r="O6" s="263"/>
      <c r="P6" s="263"/>
      <c r="Q6" s="263"/>
      <c r="R6" s="263"/>
      <c r="S6" s="263"/>
      <c r="T6" s="263"/>
      <c r="U6" s="263"/>
      <c r="V6" s="263"/>
      <c r="W6" s="263"/>
      <c r="X6" s="263"/>
      <c r="Y6" s="263"/>
      <c r="Z6" s="263"/>
      <c r="AA6" s="263"/>
      <c r="AB6" s="950"/>
      <c r="AC6" s="263"/>
    </row>
    <row r="7" spans="1:34">
      <c r="A7" s="1579" t="s">
        <v>63</v>
      </c>
      <c r="B7" s="1580"/>
      <c r="C7" s="1580"/>
      <c r="D7" s="1580"/>
      <c r="E7" s="1580"/>
      <c r="F7" s="1580"/>
      <c r="G7" s="1580"/>
      <c r="H7" s="270"/>
      <c r="I7" s="884"/>
      <c r="J7" s="45"/>
      <c r="K7" s="45"/>
      <c r="L7" s="387"/>
      <c r="M7" s="263"/>
      <c r="N7" s="282"/>
      <c r="O7" s="263"/>
      <c r="P7" s="263"/>
      <c r="Q7" s="263"/>
      <c r="R7" s="263"/>
      <c r="S7" s="263"/>
      <c r="T7" s="263"/>
      <c r="U7" s="263"/>
      <c r="V7" s="263"/>
      <c r="W7" s="263"/>
      <c r="X7" s="263"/>
      <c r="Y7" s="263"/>
      <c r="Z7" s="263"/>
      <c r="AA7" s="263"/>
      <c r="AB7" s="950"/>
      <c r="AC7" s="263"/>
    </row>
    <row r="8" spans="1:34">
      <c r="A8" s="1582" t="s">
        <v>64</v>
      </c>
      <c r="B8" s="1583"/>
      <c r="C8" s="1583"/>
      <c r="D8" s="1583"/>
      <c r="E8" s="1583"/>
      <c r="F8" s="1583"/>
      <c r="G8" s="1583"/>
      <c r="H8" s="270"/>
      <c r="I8" s="884"/>
      <c r="J8" s="45"/>
      <c r="K8" s="45"/>
      <c r="L8" s="387"/>
      <c r="M8" s="263"/>
      <c r="N8" s="282"/>
      <c r="O8" s="263"/>
      <c r="P8" s="263"/>
      <c r="Q8" s="263"/>
      <c r="R8" s="263"/>
      <c r="S8" s="263"/>
      <c r="T8" s="263"/>
      <c r="U8" s="263"/>
      <c r="V8" s="263"/>
      <c r="W8" s="263"/>
      <c r="X8" s="263"/>
      <c r="Y8" s="263"/>
      <c r="Z8" s="263"/>
      <c r="AA8" s="263"/>
      <c r="AB8" s="950"/>
      <c r="AC8" s="263"/>
    </row>
    <row r="9" spans="1:34">
      <c r="A9" s="414" t="s">
        <v>9</v>
      </c>
      <c r="B9" s="1580" t="s">
        <v>65</v>
      </c>
      <c r="C9" s="1580"/>
      <c r="D9" s="1580"/>
      <c r="E9" s="415"/>
      <c r="F9" s="415"/>
      <c r="G9" s="418"/>
      <c r="H9" s="270"/>
      <c r="I9" s="884"/>
      <c r="J9" s="45"/>
      <c r="K9" s="45"/>
      <c r="L9" s="387"/>
      <c r="M9" s="263"/>
      <c r="N9" s="282"/>
      <c r="O9" s="263"/>
      <c r="P9" s="263"/>
      <c r="Q9" s="263"/>
      <c r="R9" s="263"/>
      <c r="S9" s="263"/>
      <c r="T9" s="263"/>
      <c r="U9" s="263"/>
      <c r="V9" s="263"/>
      <c r="W9" s="263"/>
      <c r="X9" s="263"/>
      <c r="Y9" s="263"/>
      <c r="Z9" s="263"/>
      <c r="AA9" s="263"/>
      <c r="AB9" s="950"/>
      <c r="AC9" s="263"/>
    </row>
    <row r="10" spans="1:34">
      <c r="A10" s="414" t="s">
        <v>11</v>
      </c>
      <c r="B10" s="1580" t="s">
        <v>66</v>
      </c>
      <c r="C10" s="1580"/>
      <c r="D10" s="1580"/>
      <c r="E10" s="1580"/>
      <c r="F10" s="1580"/>
      <c r="G10" s="1580"/>
      <c r="H10" s="270"/>
      <c r="I10" s="884"/>
      <c r="J10" s="45"/>
      <c r="K10" s="45"/>
      <c r="L10" s="387"/>
      <c r="M10" s="263"/>
      <c r="N10" s="282"/>
      <c r="O10" s="263"/>
      <c r="P10" s="263"/>
      <c r="Q10" s="263"/>
      <c r="R10" s="263"/>
      <c r="S10" s="263"/>
      <c r="T10" s="263"/>
      <c r="U10" s="263"/>
      <c r="V10" s="263"/>
      <c r="W10" s="263"/>
      <c r="X10" s="263"/>
      <c r="Y10" s="263"/>
      <c r="Z10" s="263"/>
      <c r="AA10" s="263"/>
      <c r="AB10" s="950"/>
      <c r="AC10" s="263"/>
    </row>
    <row r="11" spans="1:34">
      <c r="A11" s="416" t="s">
        <v>13</v>
      </c>
      <c r="B11" s="1580" t="s">
        <v>67</v>
      </c>
      <c r="C11" s="1580"/>
      <c r="D11" s="1580"/>
      <c r="E11" s="1580"/>
      <c r="F11" s="1580"/>
      <c r="G11" s="1580"/>
      <c r="H11" s="270"/>
      <c r="I11" s="884"/>
      <c r="J11" s="45"/>
      <c r="K11" s="45"/>
      <c r="L11" s="387"/>
      <c r="M11" s="263"/>
      <c r="N11" s="282"/>
      <c r="O11" s="263"/>
      <c r="P11" s="263"/>
      <c r="Q11" s="263"/>
      <c r="R11" s="263"/>
      <c r="S11" s="263"/>
      <c r="T11" s="263"/>
      <c r="U11" s="263"/>
      <c r="V11" s="263"/>
      <c r="W11" s="263"/>
      <c r="X11" s="263"/>
      <c r="Y11" s="263"/>
      <c r="Z11" s="263"/>
      <c r="AA11" s="263"/>
      <c r="AB11" s="950"/>
      <c r="AC11" s="263"/>
    </row>
    <row r="12" spans="1:34">
      <c r="A12" s="46" t="s">
        <v>15</v>
      </c>
      <c r="B12" s="890">
        <v>43475</v>
      </c>
      <c r="C12" s="47"/>
      <c r="D12" s="47"/>
      <c r="E12" s="47"/>
      <c r="F12" s="47"/>
      <c r="G12" s="83"/>
      <c r="H12" s="270"/>
      <c r="I12" s="884"/>
      <c r="J12" s="45"/>
      <c r="K12" s="45"/>
      <c r="L12" s="387"/>
      <c r="M12" s="263"/>
      <c r="N12" s="282"/>
      <c r="O12" s="263"/>
      <c r="P12" s="263"/>
      <c r="Q12" s="263"/>
      <c r="R12" s="263"/>
      <c r="S12" s="263"/>
      <c r="T12" s="263"/>
      <c r="U12" s="263"/>
      <c r="V12" s="263"/>
      <c r="W12" s="263"/>
      <c r="X12" s="263"/>
      <c r="Y12" s="263"/>
      <c r="Z12" s="263"/>
      <c r="AA12" s="263"/>
      <c r="AB12" s="950"/>
      <c r="AC12" s="263"/>
    </row>
    <row r="13" spans="1:34">
      <c r="A13" s="48" t="s">
        <v>16</v>
      </c>
      <c r="B13" s="450"/>
      <c r="C13" s="451"/>
      <c r="D13" s="451"/>
      <c r="E13" s="451"/>
      <c r="F13" s="451"/>
      <c r="G13" s="451"/>
      <c r="H13" s="271"/>
      <c r="I13" s="885"/>
      <c r="J13" s="50"/>
      <c r="K13" s="50"/>
      <c r="L13" s="388"/>
      <c r="M13" s="265"/>
      <c r="N13" s="283"/>
      <c r="O13" s="265"/>
      <c r="P13" s="265"/>
      <c r="Q13" s="265"/>
      <c r="R13" s="265"/>
      <c r="S13" s="265"/>
      <c r="T13" s="265"/>
      <c r="U13" s="265"/>
      <c r="V13" s="265"/>
      <c r="W13" s="265"/>
      <c r="X13" s="265"/>
      <c r="Y13" s="265"/>
      <c r="Z13" s="265"/>
      <c r="AA13" s="265"/>
      <c r="AB13" s="951"/>
      <c r="AC13" s="263"/>
    </row>
    <row r="14" spans="1:34">
      <c r="A14" s="51" t="s">
        <v>68</v>
      </c>
      <c r="B14" s="374">
        <f>B16+B26+B33+B36+B39+B46</f>
        <v>5578162000</v>
      </c>
      <c r="C14" s="452"/>
      <c r="D14" s="453"/>
      <c r="E14" s="453"/>
      <c r="F14" s="453"/>
      <c r="G14" s="453"/>
      <c r="H14" s="272"/>
      <c r="I14" s="754"/>
      <c r="J14" s="52"/>
      <c r="K14" s="84"/>
      <c r="L14" s="512"/>
      <c r="M14" s="266"/>
      <c r="N14" s="284"/>
      <c r="O14" s="266"/>
      <c r="P14" s="266"/>
      <c r="Q14" s="266"/>
      <c r="R14" s="266"/>
      <c r="S14" s="266"/>
      <c r="T14" s="266"/>
      <c r="U14" s="266"/>
      <c r="V14" s="266"/>
      <c r="W14" s="266"/>
      <c r="X14" s="266"/>
      <c r="Y14" s="266"/>
      <c r="Z14" s="266"/>
      <c r="AA14" s="267"/>
      <c r="AB14" s="952"/>
      <c r="AC14" s="263"/>
    </row>
    <row r="15" spans="1:34" ht="25.5">
      <c r="A15" s="54" t="s">
        <v>18</v>
      </c>
      <c r="B15" s="375" t="s">
        <v>19</v>
      </c>
      <c r="C15" s="56" t="s">
        <v>20</v>
      </c>
      <c r="D15" s="56" t="s">
        <v>21</v>
      </c>
      <c r="E15" s="56" t="s">
        <v>22</v>
      </c>
      <c r="F15" s="56" t="s">
        <v>379</v>
      </c>
      <c r="G15" s="56" t="s">
        <v>24</v>
      </c>
      <c r="H15" s="273" t="s">
        <v>126</v>
      </c>
      <c r="I15" s="381" t="s">
        <v>279</v>
      </c>
      <c r="J15" s="141" t="s">
        <v>127</v>
      </c>
      <c r="K15" s="6" t="s">
        <v>25</v>
      </c>
      <c r="L15" s="132" t="s">
        <v>128</v>
      </c>
      <c r="M15" s="6" t="s">
        <v>147</v>
      </c>
      <c r="N15" s="305" t="s">
        <v>129</v>
      </c>
      <c r="O15" s="299" t="s">
        <v>130</v>
      </c>
      <c r="P15" s="6" t="s">
        <v>131</v>
      </c>
      <c r="Q15" s="6" t="s">
        <v>132</v>
      </c>
      <c r="R15" s="6" t="s">
        <v>133</v>
      </c>
      <c r="S15" s="6" t="s">
        <v>134</v>
      </c>
      <c r="T15" s="6" t="s">
        <v>135</v>
      </c>
      <c r="U15" s="6" t="s">
        <v>136</v>
      </c>
      <c r="V15" s="6" t="s">
        <v>137</v>
      </c>
      <c r="W15" s="6" t="s">
        <v>138</v>
      </c>
      <c r="X15" s="6" t="s">
        <v>139</v>
      </c>
      <c r="Y15" s="6" t="s">
        <v>140</v>
      </c>
      <c r="Z15" s="6" t="s">
        <v>141</v>
      </c>
      <c r="AA15" s="6" t="s">
        <v>142</v>
      </c>
      <c r="AB15" s="326" t="s">
        <v>143</v>
      </c>
      <c r="AC15" s="456" t="s">
        <v>259</v>
      </c>
      <c r="AD15" s="364" t="s">
        <v>145</v>
      </c>
      <c r="AE15" s="332" t="s">
        <v>146</v>
      </c>
      <c r="AF15" s="364" t="s">
        <v>253</v>
      </c>
      <c r="AG15" s="332" t="s">
        <v>258</v>
      </c>
      <c r="AH15" s="623" t="s">
        <v>277</v>
      </c>
    </row>
    <row r="16" spans="1:34" ht="38.25">
      <c r="A16" s="953" t="s">
        <v>69</v>
      </c>
      <c r="B16" s="946">
        <f>B17+B20+B23</f>
        <v>1460000000</v>
      </c>
      <c r="C16" s="1412"/>
      <c r="D16" s="1412"/>
      <c r="E16" s="947"/>
      <c r="F16" s="947"/>
      <c r="G16" s="1449"/>
      <c r="H16" s="545"/>
      <c r="I16" s="755"/>
      <c r="J16" s="546"/>
      <c r="K16" s="547"/>
      <c r="L16" s="740"/>
      <c r="M16" s="548"/>
      <c r="N16" s="549"/>
      <c r="O16" s="550"/>
      <c r="P16" s="551"/>
      <c r="Q16" s="551"/>
      <c r="R16" s="551"/>
      <c r="S16" s="551"/>
      <c r="T16" s="551"/>
      <c r="U16" s="551"/>
      <c r="V16" s="551"/>
      <c r="W16" s="551"/>
      <c r="X16" s="551"/>
      <c r="Y16" s="551"/>
      <c r="Z16" s="551"/>
      <c r="AA16" s="602"/>
      <c r="AB16" s="590"/>
      <c r="AC16" s="554"/>
      <c r="AD16" s="552"/>
      <c r="AE16" s="803"/>
      <c r="AF16" s="642"/>
      <c r="AG16" s="637"/>
      <c r="AH16" s="634"/>
    </row>
    <row r="17" spans="1:36" s="9" customFormat="1" ht="51">
      <c r="A17" s="1436" t="s">
        <v>69</v>
      </c>
      <c r="B17" s="786">
        <v>1389775000</v>
      </c>
      <c r="C17" s="1458" t="s">
        <v>45</v>
      </c>
      <c r="D17" s="1412" t="s">
        <v>70</v>
      </c>
      <c r="E17" s="1412" t="s">
        <v>71</v>
      </c>
      <c r="F17" s="1412" t="s">
        <v>72</v>
      </c>
      <c r="G17" s="1451" t="s">
        <v>73</v>
      </c>
      <c r="H17" s="641">
        <v>0</v>
      </c>
      <c r="I17" s="639"/>
      <c r="J17" s="552"/>
      <c r="K17" s="552"/>
      <c r="L17" s="741"/>
      <c r="M17" s="552"/>
      <c r="N17" s="553"/>
      <c r="O17" s="554"/>
      <c r="P17" s="555"/>
      <c r="Q17" s="555"/>
      <c r="R17" s="555"/>
      <c r="S17" s="555"/>
      <c r="T17" s="555"/>
      <c r="U17" s="555"/>
      <c r="V17" s="555"/>
      <c r="W17" s="555"/>
      <c r="X17" s="555"/>
      <c r="Y17" s="555"/>
      <c r="Z17" s="555"/>
      <c r="AA17" s="556">
        <v>0</v>
      </c>
      <c r="AB17" s="591"/>
      <c r="AC17" s="554"/>
      <c r="AD17" s="552"/>
      <c r="AE17" s="803"/>
      <c r="AF17" s="642"/>
      <c r="AG17" s="637"/>
      <c r="AH17" s="634"/>
    </row>
    <row r="18" spans="1:36" s="9" customFormat="1" ht="31.5" customHeight="1">
      <c r="A18" s="1437" t="s">
        <v>69</v>
      </c>
      <c r="B18" s="184">
        <f t="shared" ref="B18" si="0">K18</f>
        <v>0</v>
      </c>
      <c r="C18" s="100" t="s">
        <v>45</v>
      </c>
      <c r="D18" s="100" t="s">
        <v>70</v>
      </c>
      <c r="E18" s="100" t="s">
        <v>71</v>
      </c>
      <c r="F18" s="100" t="s">
        <v>72</v>
      </c>
      <c r="G18" s="105" t="s">
        <v>73</v>
      </c>
      <c r="H18" s="274">
        <v>0</v>
      </c>
      <c r="I18" s="395"/>
      <c r="J18" s="260"/>
      <c r="K18" s="261"/>
      <c r="L18" s="390"/>
      <c r="M18" s="194"/>
      <c r="N18" s="306"/>
      <c r="O18" s="311"/>
      <c r="P18" s="194"/>
      <c r="Q18" s="194"/>
      <c r="R18" s="194"/>
      <c r="S18" s="194"/>
      <c r="T18" s="194"/>
      <c r="U18" s="194"/>
      <c r="V18" s="194"/>
      <c r="W18" s="194"/>
      <c r="X18" s="194"/>
      <c r="Y18" s="194"/>
      <c r="Z18" s="194"/>
      <c r="AA18" s="237">
        <f t="shared" ref="AA18" si="1">SUM(O18:Z18)</f>
        <v>0</v>
      </c>
      <c r="AB18" s="592">
        <f t="shared" ref="AB18" si="2">M18-AA18</f>
        <v>0</v>
      </c>
      <c r="AC18" s="311"/>
      <c r="AD18" s="336"/>
      <c r="AE18" s="384"/>
      <c r="AF18" s="208"/>
      <c r="AG18" s="446"/>
      <c r="AH18" s="444">
        <f t="shared" ref="AH18" si="3">AG18-M18</f>
        <v>0</v>
      </c>
      <c r="AJ18" s="444">
        <f t="shared" ref="AJ18:AJ37" si="4">K18-M18</f>
        <v>0</v>
      </c>
    </row>
    <row r="19" spans="1:36" s="9" customFormat="1">
      <c r="A19" s="213" t="s">
        <v>32</v>
      </c>
      <c r="B19" s="787">
        <f>B17-SUM(B18:B18)</f>
        <v>1389775000</v>
      </c>
      <c r="C19" s="106"/>
      <c r="D19" s="106"/>
      <c r="E19" s="106"/>
      <c r="F19" s="106"/>
      <c r="G19" s="107"/>
      <c r="H19" s="275"/>
      <c r="I19" s="756"/>
      <c r="J19" s="63"/>
      <c r="K19" s="207">
        <f>SUM(K18:K18)</f>
        <v>0</v>
      </c>
      <c r="L19" s="513"/>
      <c r="M19" s="207">
        <f>SUM(M18:M18)</f>
        <v>0</v>
      </c>
      <c r="N19" s="314"/>
      <c r="O19" s="301">
        <f t="shared" ref="O19:AB19" si="5">SUM(O17:O18)</f>
        <v>0</v>
      </c>
      <c r="P19" s="207">
        <f t="shared" si="5"/>
        <v>0</v>
      </c>
      <c r="Q19" s="207">
        <f t="shared" si="5"/>
        <v>0</v>
      </c>
      <c r="R19" s="207">
        <f t="shared" si="5"/>
        <v>0</v>
      </c>
      <c r="S19" s="207">
        <f t="shared" si="5"/>
        <v>0</v>
      </c>
      <c r="T19" s="207">
        <f t="shared" si="5"/>
        <v>0</v>
      </c>
      <c r="U19" s="207">
        <f t="shared" si="5"/>
        <v>0</v>
      </c>
      <c r="V19" s="207">
        <f t="shared" si="5"/>
        <v>0</v>
      </c>
      <c r="W19" s="207">
        <f t="shared" si="5"/>
        <v>0</v>
      </c>
      <c r="X19" s="207">
        <f t="shared" si="5"/>
        <v>0</v>
      </c>
      <c r="Y19" s="207">
        <f t="shared" si="5"/>
        <v>0</v>
      </c>
      <c r="Z19" s="207">
        <f t="shared" si="5"/>
        <v>0</v>
      </c>
      <c r="AA19" s="235">
        <f t="shared" si="5"/>
        <v>0</v>
      </c>
      <c r="AB19" s="593">
        <f t="shared" si="5"/>
        <v>0</v>
      </c>
      <c r="AC19" s="360"/>
      <c r="AD19" s="725"/>
      <c r="AE19" s="804"/>
      <c r="AF19" s="726"/>
      <c r="AG19" s="207">
        <f>SUM(AG18:AG18)</f>
        <v>0</v>
      </c>
      <c r="AH19" s="207">
        <f>SUM(AH18:AH18)</f>
        <v>0</v>
      </c>
      <c r="AI19" s="444">
        <f>B17-AG19</f>
        <v>1389775000</v>
      </c>
      <c r="AJ19" s="207">
        <f>SUM(AJ17:AJ18)</f>
        <v>0</v>
      </c>
    </row>
    <row r="20" spans="1:36" s="9" customFormat="1" ht="51">
      <c r="A20" s="953" t="s">
        <v>69</v>
      </c>
      <c r="B20" s="786">
        <v>69775000</v>
      </c>
      <c r="C20" s="1458" t="s">
        <v>74</v>
      </c>
      <c r="D20" s="1412" t="s">
        <v>70</v>
      </c>
      <c r="E20" s="1412" t="s">
        <v>71</v>
      </c>
      <c r="F20" s="1412" t="s">
        <v>72</v>
      </c>
      <c r="G20" s="1451" t="s">
        <v>73</v>
      </c>
      <c r="H20" s="603">
        <v>0</v>
      </c>
      <c r="I20" s="757"/>
      <c r="J20" s="604"/>
      <c r="K20" s="605"/>
      <c r="L20" s="742"/>
      <c r="M20" s="555"/>
      <c r="N20" s="553"/>
      <c r="O20" s="554"/>
      <c r="P20" s="555"/>
      <c r="Q20" s="555"/>
      <c r="R20" s="555"/>
      <c r="S20" s="555"/>
      <c r="T20" s="555"/>
      <c r="U20" s="555"/>
      <c r="V20" s="555"/>
      <c r="W20" s="555"/>
      <c r="X20" s="555"/>
      <c r="Y20" s="555"/>
      <c r="Z20" s="555"/>
      <c r="AA20" s="556">
        <v>0</v>
      </c>
      <c r="AB20" s="591"/>
      <c r="AC20" s="554"/>
      <c r="AD20" s="552"/>
      <c r="AE20" s="803"/>
      <c r="AF20" s="642"/>
      <c r="AG20" s="637"/>
      <c r="AH20" s="634"/>
      <c r="AJ20" s="444">
        <f t="shared" si="4"/>
        <v>0</v>
      </c>
    </row>
    <row r="21" spans="1:36" s="166" customFormat="1" ht="32.25" customHeight="1">
      <c r="A21" s="1438" t="s">
        <v>69</v>
      </c>
      <c r="B21" s="788">
        <f>K21</f>
        <v>0</v>
      </c>
      <c r="C21" s="100" t="s">
        <v>74</v>
      </c>
      <c r="D21" s="100" t="s">
        <v>70</v>
      </c>
      <c r="E21" s="100" t="s">
        <v>71</v>
      </c>
      <c r="F21" s="100" t="s">
        <v>72</v>
      </c>
      <c r="G21" s="105" t="s">
        <v>73</v>
      </c>
      <c r="H21" s="274">
        <v>0</v>
      </c>
      <c r="I21" s="261"/>
      <c r="J21" s="260"/>
      <c r="K21" s="261"/>
      <c r="L21" s="390"/>
      <c r="M21" s="753"/>
      <c r="N21" s="309"/>
      <c r="O21" s="505"/>
      <c r="P21" s="505"/>
      <c r="Q21" s="505"/>
      <c r="R21" s="505"/>
      <c r="S21" s="505"/>
      <c r="T21" s="505"/>
      <c r="U21" s="753"/>
      <c r="V21" s="194"/>
      <c r="W21" s="194"/>
      <c r="X21" s="753"/>
      <c r="Y21" s="753"/>
      <c r="Z21" s="753"/>
      <c r="AA21" s="237"/>
      <c r="AB21" s="592"/>
      <c r="AC21" s="303"/>
      <c r="AD21" s="793"/>
      <c r="AE21" s="466"/>
      <c r="AF21" s="208"/>
      <c r="AG21" s="812"/>
      <c r="AH21" s="444">
        <f>AG21-M21</f>
        <v>0</v>
      </c>
      <c r="AJ21" s="444"/>
    </row>
    <row r="22" spans="1:36" s="9" customFormat="1">
      <c r="A22" s="213" t="s">
        <v>32</v>
      </c>
      <c r="B22" s="787">
        <f>B20-SUM(B21:B21)</f>
        <v>69775000</v>
      </c>
      <c r="C22" s="106"/>
      <c r="D22" s="106"/>
      <c r="E22" s="106"/>
      <c r="F22" s="106"/>
      <c r="G22" s="107"/>
      <c r="H22" s="275"/>
      <c r="I22" s="756"/>
      <c r="J22" s="63"/>
      <c r="K22" s="207">
        <f>SUM(K20:K21)</f>
        <v>0</v>
      </c>
      <c r="L22" s="513"/>
      <c r="M22" s="207">
        <f>SUM(M20:M21)</f>
        <v>0</v>
      </c>
      <c r="N22" s="314"/>
      <c r="O22" s="207">
        <f t="shared" ref="O22:AB22" si="6">SUM(O20:O20)</f>
        <v>0</v>
      </c>
      <c r="P22" s="207">
        <f t="shared" si="6"/>
        <v>0</v>
      </c>
      <c r="Q22" s="207">
        <f t="shared" si="6"/>
        <v>0</v>
      </c>
      <c r="R22" s="207">
        <f t="shared" si="6"/>
        <v>0</v>
      </c>
      <c r="S22" s="207">
        <f t="shared" si="6"/>
        <v>0</v>
      </c>
      <c r="T22" s="207">
        <f t="shared" si="6"/>
        <v>0</v>
      </c>
      <c r="U22" s="207">
        <f t="shared" si="6"/>
        <v>0</v>
      </c>
      <c r="V22" s="207">
        <f t="shared" si="6"/>
        <v>0</v>
      </c>
      <c r="W22" s="207">
        <f t="shared" si="6"/>
        <v>0</v>
      </c>
      <c r="X22" s="207">
        <f t="shared" si="6"/>
        <v>0</v>
      </c>
      <c r="Y22" s="207">
        <f t="shared" si="6"/>
        <v>0</v>
      </c>
      <c r="Z22" s="207">
        <f t="shared" si="6"/>
        <v>0</v>
      </c>
      <c r="AA22" s="235">
        <f t="shared" si="6"/>
        <v>0</v>
      </c>
      <c r="AB22" s="593">
        <f t="shared" si="6"/>
        <v>0</v>
      </c>
      <c r="AC22" s="360"/>
      <c r="AD22" s="725"/>
      <c r="AE22" s="804"/>
      <c r="AF22" s="726"/>
      <c r="AG22" s="207">
        <f>SUM(AG20:AG21)</f>
        <v>0</v>
      </c>
      <c r="AH22" s="207">
        <f>SUM(AH20:AH21)</f>
        <v>0</v>
      </c>
      <c r="AI22" s="444">
        <f>B20-AG22</f>
        <v>69775000</v>
      </c>
      <c r="AJ22" s="207">
        <f>SUM(AJ20:AJ20)</f>
        <v>0</v>
      </c>
    </row>
    <row r="23" spans="1:36" s="9" customFormat="1" ht="51">
      <c r="A23" s="953" t="s">
        <v>69</v>
      </c>
      <c r="B23" s="786">
        <v>450000</v>
      </c>
      <c r="C23" s="1458" t="s">
        <v>347</v>
      </c>
      <c r="D23" s="1412" t="s">
        <v>70</v>
      </c>
      <c r="E23" s="1412" t="s">
        <v>71</v>
      </c>
      <c r="F23" s="1412" t="s">
        <v>72</v>
      </c>
      <c r="G23" s="1451" t="s">
        <v>73</v>
      </c>
      <c r="H23" s="1410"/>
      <c r="I23" s="762"/>
      <c r="J23" s="57"/>
      <c r="K23" s="178"/>
      <c r="L23" s="133"/>
      <c r="M23" s="178"/>
      <c r="N23" s="1411"/>
      <c r="O23" s="304"/>
      <c r="P23" s="178"/>
      <c r="Q23" s="178"/>
      <c r="R23" s="178"/>
      <c r="S23" s="178"/>
      <c r="T23" s="178"/>
      <c r="U23" s="178"/>
      <c r="V23" s="178"/>
      <c r="W23" s="178"/>
      <c r="X23" s="178"/>
      <c r="Y23" s="178"/>
      <c r="Z23" s="178"/>
      <c r="AA23" s="238"/>
      <c r="AB23" s="621"/>
      <c r="AC23" s="324"/>
      <c r="AD23" s="336"/>
      <c r="AE23" s="384"/>
      <c r="AF23" s="208"/>
      <c r="AG23" s="178"/>
      <c r="AH23" s="93"/>
      <c r="AI23" s="444"/>
      <c r="AJ23" s="93"/>
    </row>
    <row r="24" spans="1:36" s="9" customFormat="1" ht="25.5">
      <c r="A24" s="1438" t="s">
        <v>69</v>
      </c>
      <c r="B24" s="1409">
        <f>I24</f>
        <v>0</v>
      </c>
      <c r="C24" s="817" t="s">
        <v>347</v>
      </c>
      <c r="D24" s="817" t="s">
        <v>70</v>
      </c>
      <c r="E24" s="817" t="s">
        <v>71</v>
      </c>
      <c r="F24" s="817" t="s">
        <v>72</v>
      </c>
      <c r="G24" s="1450" t="s">
        <v>73</v>
      </c>
      <c r="H24" s="276">
        <v>0</v>
      </c>
      <c r="I24" s="762"/>
      <c r="J24" s="57"/>
      <c r="K24" s="178"/>
      <c r="L24" s="133"/>
      <c r="M24" s="178"/>
      <c r="N24" s="1411"/>
      <c r="O24" s="304"/>
      <c r="P24" s="178"/>
      <c r="Q24" s="178"/>
      <c r="R24" s="178"/>
      <c r="S24" s="178"/>
      <c r="T24" s="178"/>
      <c r="U24" s="178"/>
      <c r="V24" s="178"/>
      <c r="W24" s="178"/>
      <c r="X24" s="178"/>
      <c r="Y24" s="178"/>
      <c r="Z24" s="178"/>
      <c r="AA24" s="238"/>
      <c r="AB24" s="621"/>
      <c r="AC24" s="324"/>
      <c r="AD24" s="336"/>
      <c r="AE24" s="384"/>
      <c r="AF24" s="208"/>
      <c r="AG24" s="178"/>
      <c r="AH24" s="93"/>
      <c r="AI24" s="444"/>
      <c r="AJ24" s="93"/>
    </row>
    <row r="25" spans="1:36" s="9" customFormat="1">
      <c r="A25" s="213" t="s">
        <v>32</v>
      </c>
      <c r="B25" s="787">
        <f>B23--SUM(B24:B24)</f>
        <v>450000</v>
      </c>
      <c r="C25" s="106"/>
      <c r="D25" s="106"/>
      <c r="E25" s="106"/>
      <c r="F25" s="106"/>
      <c r="G25" s="107"/>
      <c r="H25" s="275"/>
      <c r="I25" s="756"/>
      <c r="J25" s="63"/>
      <c r="K25" s="207"/>
      <c r="L25" s="513"/>
      <c r="M25" s="207"/>
      <c r="N25" s="314"/>
      <c r="O25" s="301"/>
      <c r="P25" s="207"/>
      <c r="Q25" s="207"/>
      <c r="R25" s="207"/>
      <c r="S25" s="207"/>
      <c r="T25" s="207"/>
      <c r="U25" s="207"/>
      <c r="V25" s="207"/>
      <c r="W25" s="207"/>
      <c r="X25" s="207"/>
      <c r="Y25" s="207"/>
      <c r="Z25" s="207"/>
      <c r="AA25" s="235"/>
      <c r="AB25" s="593"/>
      <c r="AC25" s="360"/>
      <c r="AD25" s="725"/>
      <c r="AE25" s="804"/>
      <c r="AF25" s="726"/>
      <c r="AG25" s="207"/>
      <c r="AH25" s="1408"/>
      <c r="AI25" s="444"/>
      <c r="AJ25" s="1408"/>
    </row>
    <row r="26" spans="1:36" s="7" customFormat="1" ht="51">
      <c r="A26" s="1431" t="s">
        <v>149</v>
      </c>
      <c r="B26" s="785">
        <f>B27+B30</f>
        <v>577250000</v>
      </c>
      <c r="C26" s="1413" t="s">
        <v>45</v>
      </c>
      <c r="D26" s="1413" t="s">
        <v>75</v>
      </c>
      <c r="E26" s="1413" t="s">
        <v>71</v>
      </c>
      <c r="F26" s="1413" t="s">
        <v>76</v>
      </c>
      <c r="G26" s="1452" t="s">
        <v>73</v>
      </c>
      <c r="H26" s="557"/>
      <c r="I26" s="758"/>
      <c r="J26" s="558"/>
      <c r="K26" s="559"/>
      <c r="L26" s="743"/>
      <c r="M26" s="490"/>
      <c r="N26" s="561"/>
      <c r="O26" s="562"/>
      <c r="P26" s="490"/>
      <c r="Q26" s="490"/>
      <c r="R26" s="490"/>
      <c r="S26" s="490"/>
      <c r="T26" s="490"/>
      <c r="U26" s="490"/>
      <c r="V26" s="490"/>
      <c r="W26" s="490"/>
      <c r="X26" s="490"/>
      <c r="Y26" s="490"/>
      <c r="Z26" s="490"/>
      <c r="AA26" s="563"/>
      <c r="AB26" s="594"/>
      <c r="AC26" s="562"/>
      <c r="AD26" s="647"/>
      <c r="AE26" s="805"/>
      <c r="AF26" s="648"/>
      <c r="AG26" s="494"/>
      <c r="AH26" s="649"/>
      <c r="AJ26" s="444">
        <f t="shared" si="4"/>
        <v>0</v>
      </c>
    </row>
    <row r="27" spans="1:36" s="9" customFormat="1" ht="25.5">
      <c r="A27" s="954" t="s">
        <v>77</v>
      </c>
      <c r="B27" s="786">
        <v>199250000</v>
      </c>
      <c r="C27" s="110" t="s">
        <v>45</v>
      </c>
      <c r="D27" s="110" t="s">
        <v>75</v>
      </c>
      <c r="E27" s="110" t="s">
        <v>71</v>
      </c>
      <c r="F27" s="110" t="s">
        <v>76</v>
      </c>
      <c r="G27" s="111" t="s">
        <v>73</v>
      </c>
      <c r="H27" s="564">
        <v>0</v>
      </c>
      <c r="I27" s="759"/>
      <c r="J27" s="565"/>
      <c r="K27" s="566"/>
      <c r="L27" s="744"/>
      <c r="M27" s="491"/>
      <c r="N27" s="567"/>
      <c r="O27" s="498"/>
      <c r="P27" s="491"/>
      <c r="Q27" s="491"/>
      <c r="R27" s="491"/>
      <c r="S27" s="491"/>
      <c r="T27" s="491"/>
      <c r="U27" s="491"/>
      <c r="V27" s="491"/>
      <c r="W27" s="491"/>
      <c r="X27" s="491"/>
      <c r="Y27" s="491"/>
      <c r="Z27" s="491"/>
      <c r="AA27" s="502">
        <f>SUM(O27:Z27)</f>
        <v>0</v>
      </c>
      <c r="AB27" s="595">
        <f>M27-AA27</f>
        <v>0</v>
      </c>
      <c r="AC27" s="498"/>
      <c r="AD27" s="652"/>
      <c r="AE27" s="805"/>
      <c r="AF27" s="654"/>
      <c r="AG27" s="655"/>
      <c r="AH27" s="650"/>
      <c r="AJ27" s="444">
        <f t="shared" si="4"/>
        <v>0</v>
      </c>
    </row>
    <row r="28" spans="1:36" s="9" customFormat="1" ht="25.5">
      <c r="A28" s="954" t="s">
        <v>77</v>
      </c>
      <c r="B28" s="184">
        <f>K28</f>
        <v>0</v>
      </c>
      <c r="C28" s="102" t="s">
        <v>45</v>
      </c>
      <c r="D28" s="816" t="s">
        <v>75</v>
      </c>
      <c r="E28" s="102" t="s">
        <v>71</v>
      </c>
      <c r="F28" s="102" t="s">
        <v>76</v>
      </c>
      <c r="G28" s="113" t="s">
        <v>73</v>
      </c>
      <c r="H28" s="276">
        <v>0</v>
      </c>
      <c r="I28" s="395"/>
      <c r="J28" s="205"/>
      <c r="K28" s="261"/>
      <c r="L28" s="390"/>
      <c r="M28" s="194"/>
      <c r="N28" s="306"/>
      <c r="O28" s="311"/>
      <c r="P28" s="194"/>
      <c r="Q28" s="194"/>
      <c r="R28" s="194"/>
      <c r="S28" s="194"/>
      <c r="T28" s="194"/>
      <c r="U28" s="194"/>
      <c r="V28" s="194"/>
      <c r="W28" s="194"/>
      <c r="X28" s="194"/>
      <c r="Y28" s="194"/>
      <c r="Z28" s="194"/>
      <c r="AA28" s="237">
        <f>SUM(O28:Z28)</f>
        <v>0</v>
      </c>
      <c r="AB28" s="592">
        <f>M28-AA28</f>
        <v>0</v>
      </c>
      <c r="AC28" s="311"/>
      <c r="AD28" s="336"/>
      <c r="AE28" s="384"/>
      <c r="AF28" s="208"/>
      <c r="AG28" s="446"/>
      <c r="AH28" s="444">
        <f>AG28-M28</f>
        <v>0</v>
      </c>
      <c r="AJ28" s="444">
        <f t="shared" si="4"/>
        <v>0</v>
      </c>
    </row>
    <row r="29" spans="1:36" s="9" customFormat="1">
      <c r="A29" s="214" t="s">
        <v>32</v>
      </c>
      <c r="B29" s="377">
        <f>B27-SUM(B28:B28)</f>
        <v>199250000</v>
      </c>
      <c r="C29" s="108"/>
      <c r="D29" s="108"/>
      <c r="E29" s="108"/>
      <c r="F29" s="108"/>
      <c r="G29" s="109"/>
      <c r="H29" s="277"/>
      <c r="I29" s="399"/>
      <c r="J29" s="66"/>
      <c r="K29" s="183">
        <f>SUM(K28:K28)</f>
        <v>0</v>
      </c>
      <c r="L29" s="136"/>
      <c r="M29" s="183">
        <f>SUM(M28:M28)</f>
        <v>0</v>
      </c>
      <c r="N29" s="315"/>
      <c r="O29" s="302">
        <f t="shared" ref="O29:AB29" si="7">SUM(O28:O28)</f>
        <v>0</v>
      </c>
      <c r="P29" s="183">
        <f t="shared" si="7"/>
        <v>0</v>
      </c>
      <c r="Q29" s="183">
        <f t="shared" si="7"/>
        <v>0</v>
      </c>
      <c r="R29" s="183">
        <f t="shared" si="7"/>
        <v>0</v>
      </c>
      <c r="S29" s="183">
        <f t="shared" si="7"/>
        <v>0</v>
      </c>
      <c r="T29" s="183">
        <f t="shared" si="7"/>
        <v>0</v>
      </c>
      <c r="U29" s="183">
        <f t="shared" si="7"/>
        <v>0</v>
      </c>
      <c r="V29" s="183">
        <f t="shared" si="7"/>
        <v>0</v>
      </c>
      <c r="W29" s="183">
        <f t="shared" si="7"/>
        <v>0</v>
      </c>
      <c r="X29" s="183">
        <f t="shared" si="7"/>
        <v>0</v>
      </c>
      <c r="Y29" s="183">
        <f t="shared" si="7"/>
        <v>0</v>
      </c>
      <c r="Z29" s="183">
        <f t="shared" si="7"/>
        <v>0</v>
      </c>
      <c r="AA29" s="236">
        <f t="shared" si="7"/>
        <v>0</v>
      </c>
      <c r="AB29" s="596">
        <f t="shared" si="7"/>
        <v>0</v>
      </c>
      <c r="AC29" s="323"/>
      <c r="AD29" s="442"/>
      <c r="AE29" s="432"/>
      <c r="AF29" s="443"/>
      <c r="AG29" s="183">
        <f>SUM(AG28:AG28)</f>
        <v>0</v>
      </c>
      <c r="AH29" s="183">
        <f>SUM(AH28:AH28)</f>
        <v>0</v>
      </c>
      <c r="AI29" s="444">
        <f>B27-AG29</f>
        <v>199250000</v>
      </c>
      <c r="AJ29" s="444">
        <f t="shared" si="4"/>
        <v>0</v>
      </c>
    </row>
    <row r="30" spans="1:36" s="9" customFormat="1" ht="51">
      <c r="A30" s="1431" t="s">
        <v>77</v>
      </c>
      <c r="B30" s="786">
        <v>378000000</v>
      </c>
      <c r="C30" s="1413" t="s">
        <v>45</v>
      </c>
      <c r="D30" s="1413" t="s">
        <v>78</v>
      </c>
      <c r="E30" s="1413" t="s">
        <v>71</v>
      </c>
      <c r="F30" s="1413" t="s">
        <v>76</v>
      </c>
      <c r="G30" s="1452" t="s">
        <v>73</v>
      </c>
      <c r="H30" s="564">
        <v>0</v>
      </c>
      <c r="I30" s="759"/>
      <c r="J30" s="565"/>
      <c r="K30" s="566"/>
      <c r="L30" s="744"/>
      <c r="M30" s="491"/>
      <c r="N30" s="567"/>
      <c r="O30" s="498"/>
      <c r="P30" s="491"/>
      <c r="Q30" s="491"/>
      <c r="R30" s="491"/>
      <c r="S30" s="491"/>
      <c r="T30" s="491"/>
      <c r="U30" s="491"/>
      <c r="V30" s="491"/>
      <c r="W30" s="491"/>
      <c r="X30" s="491"/>
      <c r="Y30" s="491"/>
      <c r="Z30" s="491"/>
      <c r="AA30" s="502"/>
      <c r="AB30" s="595"/>
      <c r="AC30" s="498"/>
      <c r="AD30" s="652"/>
      <c r="AE30" s="805"/>
      <c r="AF30" s="654"/>
      <c r="AG30" s="655"/>
      <c r="AH30" s="650"/>
      <c r="AJ30" s="444">
        <f t="shared" si="4"/>
        <v>0</v>
      </c>
    </row>
    <row r="31" spans="1:36" s="9" customFormat="1" ht="25.5">
      <c r="A31" s="954" t="s">
        <v>77</v>
      </c>
      <c r="B31" s="184">
        <f t="shared" ref="B31" si="8">K31</f>
        <v>0</v>
      </c>
      <c r="C31" s="110" t="s">
        <v>45</v>
      </c>
      <c r="D31" s="110" t="s">
        <v>78</v>
      </c>
      <c r="E31" s="110" t="s">
        <v>71</v>
      </c>
      <c r="F31" s="110" t="s">
        <v>76</v>
      </c>
      <c r="G31" s="111" t="s">
        <v>73</v>
      </c>
      <c r="H31" s="276">
        <v>0</v>
      </c>
      <c r="I31" s="760"/>
      <c r="J31" s="205"/>
      <c r="K31" s="179"/>
      <c r="L31" s="134"/>
      <c r="M31" s="194"/>
      <c r="N31" s="306"/>
      <c r="O31" s="311"/>
      <c r="P31" s="194"/>
      <c r="Q31" s="194"/>
      <c r="R31" s="194"/>
      <c r="S31" s="194"/>
      <c r="T31" s="194"/>
      <c r="U31" s="194"/>
      <c r="V31" s="194"/>
      <c r="W31" s="194"/>
      <c r="X31" s="194"/>
      <c r="Y31" s="194"/>
      <c r="Z31" s="194"/>
      <c r="AA31" s="237">
        <f t="shared" ref="AA31" si="9">SUM(O31:Z31)</f>
        <v>0</v>
      </c>
      <c r="AB31" s="592">
        <f t="shared" ref="AB31" si="10">M31-AA31</f>
        <v>0</v>
      </c>
      <c r="AC31" s="311"/>
      <c r="AD31" s="336"/>
      <c r="AE31" s="384"/>
      <c r="AF31" s="208"/>
      <c r="AG31" s="446"/>
      <c r="AH31" s="444">
        <f t="shared" ref="AH31" si="11">AG31-M31</f>
        <v>0</v>
      </c>
      <c r="AJ31" s="444">
        <f t="shared" si="4"/>
        <v>0</v>
      </c>
    </row>
    <row r="32" spans="1:36" s="9" customFormat="1">
      <c r="A32" s="214" t="s">
        <v>32</v>
      </c>
      <c r="B32" s="377">
        <f>B30-SUM(B31:B31)</f>
        <v>378000000</v>
      </c>
      <c r="C32" s="108"/>
      <c r="D32" s="108"/>
      <c r="E32" s="108"/>
      <c r="F32" s="108"/>
      <c r="G32" s="109"/>
      <c r="H32" s="277"/>
      <c r="I32" s="399"/>
      <c r="J32" s="66"/>
      <c r="K32" s="183">
        <f>SUM(K31:K31)</f>
        <v>0</v>
      </c>
      <c r="L32" s="136"/>
      <c r="M32" s="183">
        <f>SUM(M31:M31)</f>
        <v>0</v>
      </c>
      <c r="N32" s="315"/>
      <c r="O32" s="302">
        <f t="shared" ref="O32:AB32" si="12">SUM(O31:O31)</f>
        <v>0</v>
      </c>
      <c r="P32" s="183">
        <f t="shared" si="12"/>
        <v>0</v>
      </c>
      <c r="Q32" s="183">
        <f t="shared" si="12"/>
        <v>0</v>
      </c>
      <c r="R32" s="183">
        <f t="shared" si="12"/>
        <v>0</v>
      </c>
      <c r="S32" s="183">
        <f t="shared" si="12"/>
        <v>0</v>
      </c>
      <c r="T32" s="183">
        <f t="shared" si="12"/>
        <v>0</v>
      </c>
      <c r="U32" s="183">
        <f t="shared" si="12"/>
        <v>0</v>
      </c>
      <c r="V32" s="183">
        <f t="shared" si="12"/>
        <v>0</v>
      </c>
      <c r="W32" s="183">
        <f t="shared" si="12"/>
        <v>0</v>
      </c>
      <c r="X32" s="183">
        <f t="shared" si="12"/>
        <v>0</v>
      </c>
      <c r="Y32" s="183">
        <f t="shared" si="12"/>
        <v>0</v>
      </c>
      <c r="Z32" s="183">
        <f t="shared" si="12"/>
        <v>0</v>
      </c>
      <c r="AA32" s="236">
        <f t="shared" si="12"/>
        <v>0</v>
      </c>
      <c r="AB32" s="596">
        <f t="shared" si="12"/>
        <v>0</v>
      </c>
      <c r="AC32" s="323"/>
      <c r="AD32" s="442"/>
      <c r="AE32" s="432"/>
      <c r="AF32" s="443"/>
      <c r="AG32" s="183">
        <f>SUM(AG31:AG31)</f>
        <v>0</v>
      </c>
      <c r="AH32" s="183">
        <f>SUM(AH31:AH31)</f>
        <v>0</v>
      </c>
      <c r="AI32" s="444">
        <f>B30-AG32</f>
        <v>378000000</v>
      </c>
      <c r="AJ32" s="183">
        <f>SUM(AJ31:AJ31)</f>
        <v>0</v>
      </c>
    </row>
    <row r="33" spans="1:36" s="7" customFormat="1" ht="63.75">
      <c r="A33" s="962" t="s">
        <v>150</v>
      </c>
      <c r="B33" s="785">
        <v>262687501</v>
      </c>
      <c r="C33" s="1415" t="s">
        <v>45</v>
      </c>
      <c r="D33" s="1415" t="s">
        <v>79</v>
      </c>
      <c r="E33" s="1415" t="s">
        <v>71</v>
      </c>
      <c r="F33" s="1415" t="s">
        <v>76</v>
      </c>
      <c r="G33" s="1453" t="s">
        <v>73</v>
      </c>
      <c r="H33" s="577">
        <v>0</v>
      </c>
      <c r="I33" s="761"/>
      <c r="J33" s="571"/>
      <c r="K33" s="572"/>
      <c r="L33" s="745"/>
      <c r="M33" s="573"/>
      <c r="N33" s="574"/>
      <c r="O33" s="575"/>
      <c r="P33" s="573"/>
      <c r="Q33" s="573"/>
      <c r="R33" s="573"/>
      <c r="S33" s="573"/>
      <c r="T33" s="573"/>
      <c r="U33" s="573"/>
      <c r="V33" s="573"/>
      <c r="W33" s="573"/>
      <c r="X33" s="573"/>
      <c r="Y33" s="573"/>
      <c r="Z33" s="573"/>
      <c r="AA33" s="576"/>
      <c r="AB33" s="597"/>
      <c r="AC33" s="575"/>
      <c r="AD33" s="721"/>
      <c r="AE33" s="806"/>
      <c r="AF33" s="722"/>
      <c r="AG33" s="723"/>
      <c r="AH33" s="724"/>
      <c r="AJ33" s="444">
        <f t="shared" si="4"/>
        <v>0</v>
      </c>
    </row>
    <row r="34" spans="1:36" s="9" customFormat="1" ht="25.5">
      <c r="A34" s="1439" t="s">
        <v>80</v>
      </c>
      <c r="B34" s="195">
        <f t="shared" ref="B34" si="13">K34</f>
        <v>0</v>
      </c>
      <c r="C34" s="120" t="s">
        <v>45</v>
      </c>
      <c r="D34" s="120" t="s">
        <v>79</v>
      </c>
      <c r="E34" s="120" t="s">
        <v>71</v>
      </c>
      <c r="F34" s="120" t="s">
        <v>76</v>
      </c>
      <c r="G34" s="121" t="s">
        <v>73</v>
      </c>
      <c r="H34" s="276">
        <v>0</v>
      </c>
      <c r="I34" s="760"/>
      <c r="J34" s="205"/>
      <c r="K34" s="179"/>
      <c r="L34" s="134"/>
      <c r="M34" s="194"/>
      <c r="N34" s="306"/>
      <c r="O34" s="311"/>
      <c r="P34" s="194"/>
      <c r="Q34" s="194"/>
      <c r="R34" s="194"/>
      <c r="S34" s="194"/>
      <c r="T34" s="194"/>
      <c r="U34" s="194"/>
      <c r="V34" s="194"/>
      <c r="W34" s="194"/>
      <c r="X34" s="194"/>
      <c r="Y34" s="194"/>
      <c r="Z34" s="194"/>
      <c r="AA34" s="237">
        <f t="shared" ref="AA34" si="14">SUM(O34:Z34)</f>
        <v>0</v>
      </c>
      <c r="AB34" s="592">
        <f t="shared" ref="AB34" si="15">M34-AA34</f>
        <v>0</v>
      </c>
      <c r="AC34" s="311"/>
      <c r="AD34" s="336"/>
      <c r="AE34" s="384"/>
      <c r="AF34" s="208"/>
      <c r="AG34" s="446"/>
      <c r="AH34" s="444">
        <f t="shared" ref="AH34" si="16">AG34-M34</f>
        <v>0</v>
      </c>
      <c r="AJ34" s="444">
        <f t="shared" si="4"/>
        <v>0</v>
      </c>
    </row>
    <row r="35" spans="1:36" s="9" customFormat="1">
      <c r="A35" s="214" t="s">
        <v>32</v>
      </c>
      <c r="B35" s="377">
        <f>B33-SUM(B34:B34)</f>
        <v>262687501</v>
      </c>
      <c r="C35" s="108"/>
      <c r="D35" s="108"/>
      <c r="E35" s="108"/>
      <c r="F35" s="108"/>
      <c r="G35" s="109"/>
      <c r="H35" s="277"/>
      <c r="I35" s="399"/>
      <c r="J35" s="66"/>
      <c r="K35" s="183">
        <f>SUM(K34:K34)</f>
        <v>0</v>
      </c>
      <c r="L35" s="136"/>
      <c r="M35" s="183">
        <f>SUM(M34:M34)</f>
        <v>0</v>
      </c>
      <c r="N35" s="315"/>
      <c r="O35" s="302">
        <f t="shared" ref="O35:AB35" si="17">SUM(O34:O34)</f>
        <v>0</v>
      </c>
      <c r="P35" s="183">
        <f t="shared" si="17"/>
        <v>0</v>
      </c>
      <c r="Q35" s="183">
        <f t="shared" si="17"/>
        <v>0</v>
      </c>
      <c r="R35" s="183">
        <f t="shared" si="17"/>
        <v>0</v>
      </c>
      <c r="S35" s="183">
        <f t="shared" si="17"/>
        <v>0</v>
      </c>
      <c r="T35" s="183">
        <f t="shared" si="17"/>
        <v>0</v>
      </c>
      <c r="U35" s="183">
        <f t="shared" si="17"/>
        <v>0</v>
      </c>
      <c r="V35" s="183">
        <f t="shared" si="17"/>
        <v>0</v>
      </c>
      <c r="W35" s="183">
        <f t="shared" si="17"/>
        <v>0</v>
      </c>
      <c r="X35" s="183">
        <f t="shared" si="17"/>
        <v>0</v>
      </c>
      <c r="Y35" s="183">
        <f t="shared" si="17"/>
        <v>0</v>
      </c>
      <c r="Z35" s="183">
        <f t="shared" si="17"/>
        <v>0</v>
      </c>
      <c r="AA35" s="236">
        <f t="shared" si="17"/>
        <v>0</v>
      </c>
      <c r="AB35" s="596">
        <f t="shared" si="17"/>
        <v>0</v>
      </c>
      <c r="AC35" s="458"/>
      <c r="AD35" s="442"/>
      <c r="AE35" s="432"/>
      <c r="AF35" s="443"/>
      <c r="AG35" s="183">
        <f>SUM(AG34:AG34)</f>
        <v>0</v>
      </c>
      <c r="AH35" s="183">
        <f>SUM(AH34:AH34)</f>
        <v>0</v>
      </c>
      <c r="AI35" s="444" t="e">
        <f>#REF!-AG35</f>
        <v>#REF!</v>
      </c>
      <c r="AJ35" s="183">
        <f>SUM(AJ34:AJ34)</f>
        <v>0</v>
      </c>
    </row>
    <row r="36" spans="1:36" s="7" customFormat="1" ht="63.75">
      <c r="A36" s="1430" t="s">
        <v>81</v>
      </c>
      <c r="B36" s="785">
        <v>579811970</v>
      </c>
      <c r="C36" s="1414" t="s">
        <v>45</v>
      </c>
      <c r="D36" s="1414" t="s">
        <v>79</v>
      </c>
      <c r="E36" s="1414" t="s">
        <v>71</v>
      </c>
      <c r="F36" s="1414" t="s">
        <v>76</v>
      </c>
      <c r="G36" s="1454" t="s">
        <v>73</v>
      </c>
      <c r="H36" s="1448">
        <v>0</v>
      </c>
      <c r="I36" s="763"/>
      <c r="J36" s="122"/>
      <c r="K36" s="122"/>
      <c r="L36" s="746"/>
      <c r="M36" s="122"/>
      <c r="N36" s="122"/>
      <c r="O36" s="122"/>
      <c r="P36" s="122"/>
      <c r="Q36" s="122"/>
      <c r="R36" s="122"/>
      <c r="S36" s="122"/>
      <c r="T36" s="122"/>
      <c r="U36" s="122"/>
      <c r="V36" s="122"/>
      <c r="W36" s="122"/>
      <c r="X36" s="122"/>
      <c r="Y36" s="122"/>
      <c r="Z36" s="122"/>
      <c r="AA36" s="570"/>
      <c r="AB36" s="598"/>
      <c r="AC36" s="716"/>
      <c r="AD36" s="717"/>
      <c r="AE36" s="807"/>
      <c r="AF36" s="718"/>
      <c r="AG36" s="719"/>
      <c r="AH36" s="720"/>
      <c r="AJ36" s="444">
        <f t="shared" si="4"/>
        <v>0</v>
      </c>
    </row>
    <row r="37" spans="1:36" s="7" customFormat="1" ht="38.25">
      <c r="A37" s="1440" t="s">
        <v>81</v>
      </c>
      <c r="B37" s="159">
        <f t="shared" ref="B37" si="18">K37</f>
        <v>0</v>
      </c>
      <c r="C37" s="122" t="s">
        <v>45</v>
      </c>
      <c r="D37" s="122" t="s">
        <v>79</v>
      </c>
      <c r="E37" s="122" t="s">
        <v>71</v>
      </c>
      <c r="F37" s="122" t="s">
        <v>76</v>
      </c>
      <c r="G37" s="123" t="s">
        <v>73</v>
      </c>
      <c r="H37" s="274">
        <v>0</v>
      </c>
      <c r="I37" s="395"/>
      <c r="J37" s="260"/>
      <c r="K37" s="261"/>
      <c r="L37" s="390"/>
      <c r="M37" s="184"/>
      <c r="N37" s="316"/>
      <c r="O37" s="312"/>
      <c r="P37" s="184"/>
      <c r="Q37" s="184"/>
      <c r="R37" s="184"/>
      <c r="S37" s="184"/>
      <c r="T37" s="194"/>
      <c r="U37" s="194"/>
      <c r="V37" s="194"/>
      <c r="W37" s="194"/>
      <c r="X37" s="193"/>
      <c r="Y37" s="193"/>
      <c r="Z37" s="193"/>
      <c r="AA37" s="237">
        <f t="shared" ref="AA37" si="19">SUM(O37:Z37)</f>
        <v>0</v>
      </c>
      <c r="AB37" s="592">
        <f t="shared" ref="AB37" si="20">M37-AA37</f>
        <v>0</v>
      </c>
      <c r="AC37" s="311"/>
      <c r="AD37" s="340"/>
      <c r="AE37" s="384"/>
      <c r="AF37" s="208"/>
      <c r="AG37" s="445"/>
      <c r="AH37" s="444">
        <f t="shared" ref="AH37" si="21">AG37-M37</f>
        <v>0</v>
      </c>
      <c r="AJ37" s="444">
        <f t="shared" si="4"/>
        <v>0</v>
      </c>
    </row>
    <row r="38" spans="1:36" s="9" customFormat="1">
      <c r="A38" s="214" t="s">
        <v>32</v>
      </c>
      <c r="B38" s="377">
        <f>B36-SUM(B37:B37)</f>
        <v>579811970</v>
      </c>
      <c r="C38" s="108"/>
      <c r="D38" s="108"/>
      <c r="E38" s="108"/>
      <c r="F38" s="108"/>
      <c r="G38" s="109"/>
      <c r="H38" s="277"/>
      <c r="I38" s="399"/>
      <c r="J38" s="66"/>
      <c r="K38" s="183">
        <f>SUM(K37:K37)</f>
        <v>0</v>
      </c>
      <c r="L38" s="136"/>
      <c r="M38" s="183">
        <f>SUM(M37:M37)</f>
        <v>0</v>
      </c>
      <c r="N38" s="315"/>
      <c r="O38" s="183">
        <f t="shared" ref="O38:AB38" si="22">SUM(O37:O37)</f>
        <v>0</v>
      </c>
      <c r="P38" s="183">
        <f t="shared" si="22"/>
        <v>0</v>
      </c>
      <c r="Q38" s="183">
        <f t="shared" si="22"/>
        <v>0</v>
      </c>
      <c r="R38" s="183">
        <f t="shared" si="22"/>
        <v>0</v>
      </c>
      <c r="S38" s="183">
        <f t="shared" si="22"/>
        <v>0</v>
      </c>
      <c r="T38" s="183">
        <f t="shared" si="22"/>
        <v>0</v>
      </c>
      <c r="U38" s="183">
        <f t="shared" si="22"/>
        <v>0</v>
      </c>
      <c r="V38" s="183">
        <f t="shared" si="22"/>
        <v>0</v>
      </c>
      <c r="W38" s="183">
        <f t="shared" si="22"/>
        <v>0</v>
      </c>
      <c r="X38" s="183">
        <f t="shared" si="22"/>
        <v>0</v>
      </c>
      <c r="Y38" s="183">
        <f t="shared" si="22"/>
        <v>0</v>
      </c>
      <c r="Z38" s="183">
        <f t="shared" si="22"/>
        <v>0</v>
      </c>
      <c r="AA38" s="236">
        <f t="shared" si="22"/>
        <v>0</v>
      </c>
      <c r="AB38" s="596">
        <f t="shared" si="22"/>
        <v>0</v>
      </c>
      <c r="AC38" s="323"/>
      <c r="AD38" s="442"/>
      <c r="AE38" s="432"/>
      <c r="AF38" s="443"/>
      <c r="AG38" s="183">
        <f>SUM(AG37:AG37)</f>
        <v>0</v>
      </c>
      <c r="AH38" s="183">
        <f>SUM(AH37:AH37)</f>
        <v>0</v>
      </c>
      <c r="AI38" s="444">
        <f>B36-AG38</f>
        <v>579811970</v>
      </c>
      <c r="AJ38" s="444">
        <f t="shared" ref="AJ38:AJ40" si="23">K38-M38</f>
        <v>0</v>
      </c>
    </row>
    <row r="39" spans="1:36" s="7" customFormat="1" ht="40.5" customHeight="1">
      <c r="A39" s="1429" t="s">
        <v>82</v>
      </c>
      <c r="B39" s="785">
        <f>B40+B43</f>
        <v>2493153717</v>
      </c>
      <c r="C39" s="963"/>
      <c r="D39" s="963"/>
      <c r="E39" s="963"/>
      <c r="F39" s="963"/>
      <c r="G39" s="964"/>
      <c r="H39" s="606">
        <v>0</v>
      </c>
      <c r="I39" s="764"/>
      <c r="J39" s="607"/>
      <c r="K39" s="608"/>
      <c r="L39" s="747"/>
      <c r="M39" s="568"/>
      <c r="N39" s="581"/>
      <c r="O39" s="582"/>
      <c r="P39" s="568"/>
      <c r="Q39" s="568"/>
      <c r="R39" s="568"/>
      <c r="S39" s="568"/>
      <c r="T39" s="568"/>
      <c r="U39" s="568"/>
      <c r="V39" s="568"/>
      <c r="W39" s="568"/>
      <c r="X39" s="568"/>
      <c r="Y39" s="568"/>
      <c r="Z39" s="568"/>
      <c r="AA39" s="569"/>
      <c r="AB39" s="599"/>
      <c r="AC39" s="582"/>
      <c r="AD39" s="712"/>
      <c r="AE39" s="808"/>
      <c r="AF39" s="713"/>
      <c r="AG39" s="714"/>
      <c r="AH39" s="715"/>
      <c r="AJ39" s="444">
        <f t="shared" si="23"/>
        <v>0</v>
      </c>
    </row>
    <row r="40" spans="1:36" s="7" customFormat="1" ht="63.75">
      <c r="A40" s="965" t="s">
        <v>82</v>
      </c>
      <c r="B40" s="786">
        <v>2491182717</v>
      </c>
      <c r="C40" s="1428" t="s">
        <v>45</v>
      </c>
      <c r="D40" s="1428" t="s">
        <v>79</v>
      </c>
      <c r="E40" s="1428" t="s">
        <v>71</v>
      </c>
      <c r="F40" s="1428" t="s">
        <v>76</v>
      </c>
      <c r="G40" s="1455" t="s">
        <v>73</v>
      </c>
      <c r="H40" s="274">
        <v>0</v>
      </c>
      <c r="I40" s="395"/>
      <c r="J40" s="260"/>
      <c r="K40" s="261"/>
      <c r="L40" s="390"/>
      <c r="M40" s="184"/>
      <c r="N40" s="316"/>
      <c r="O40" s="312"/>
      <c r="P40" s="184"/>
      <c r="Q40" s="184"/>
      <c r="R40" s="184"/>
      <c r="S40" s="184"/>
      <c r="T40" s="193"/>
      <c r="U40" s="194"/>
      <c r="V40" s="194"/>
      <c r="W40" s="194"/>
      <c r="X40" s="193"/>
      <c r="Y40" s="193"/>
      <c r="Z40" s="193"/>
      <c r="AA40" s="237">
        <f>SUM(O40:Z40)</f>
        <v>0</v>
      </c>
      <c r="AB40" s="592">
        <f t="shared" ref="AB40:AB41" si="24">M40-AA40</f>
        <v>0</v>
      </c>
      <c r="AC40" s="311"/>
      <c r="AD40" s="340"/>
      <c r="AE40" s="384"/>
      <c r="AF40" s="208"/>
      <c r="AG40" s="445"/>
      <c r="AH40" s="444">
        <f t="shared" ref="AH40" si="25">AG40-M40</f>
        <v>0</v>
      </c>
      <c r="AJ40" s="444">
        <f t="shared" si="23"/>
        <v>0</v>
      </c>
    </row>
    <row r="41" spans="1:36" s="7" customFormat="1" ht="25.5">
      <c r="A41" s="1441" t="s">
        <v>82</v>
      </c>
      <c r="B41" s="159">
        <f t="shared" ref="B41" si="26">K41</f>
        <v>0</v>
      </c>
      <c r="C41" s="124" t="s">
        <v>45</v>
      </c>
      <c r="D41" s="124" t="s">
        <v>79</v>
      </c>
      <c r="E41" s="124" t="s">
        <v>71</v>
      </c>
      <c r="F41" s="124" t="s">
        <v>76</v>
      </c>
      <c r="G41" s="125" t="s">
        <v>73</v>
      </c>
      <c r="H41" s="274">
        <v>0</v>
      </c>
      <c r="I41" s="395"/>
      <c r="J41" s="260"/>
      <c r="K41" s="261"/>
      <c r="L41" s="390"/>
      <c r="M41" s="261"/>
      <c r="N41" s="316"/>
      <c r="O41" s="312"/>
      <c r="P41" s="184"/>
      <c r="Q41" s="184"/>
      <c r="R41" s="184"/>
      <c r="S41" s="184"/>
      <c r="T41" s="194"/>
      <c r="U41" s="194"/>
      <c r="V41" s="194"/>
      <c r="W41" s="194"/>
      <c r="X41" s="193"/>
      <c r="Y41" s="193"/>
      <c r="Z41" s="193"/>
      <c r="AA41" s="237">
        <f t="shared" ref="AA41" si="27">SUM(O41:Z41)</f>
        <v>0</v>
      </c>
      <c r="AB41" s="592">
        <f t="shared" si="24"/>
        <v>0</v>
      </c>
      <c r="AC41" s="311"/>
      <c r="AD41" s="340"/>
      <c r="AE41" s="384"/>
      <c r="AF41" s="208"/>
      <c r="AG41" s="445"/>
      <c r="AH41" s="444">
        <f>AG41-M41</f>
        <v>0</v>
      </c>
      <c r="AJ41" s="444"/>
    </row>
    <row r="42" spans="1:36" s="9" customFormat="1">
      <c r="A42" s="214" t="s">
        <v>32</v>
      </c>
      <c r="B42" s="377">
        <f>B40-SUM(B41:B41)</f>
        <v>2491182717</v>
      </c>
      <c r="C42" s="108"/>
      <c r="D42" s="108"/>
      <c r="E42" s="108"/>
      <c r="F42" s="108"/>
      <c r="G42" s="109"/>
      <c r="H42" s="277"/>
      <c r="I42" s="399"/>
      <c r="J42" s="66"/>
      <c r="K42" s="183">
        <f>SUM(K40:K41)</f>
        <v>0</v>
      </c>
      <c r="L42" s="136"/>
      <c r="M42" s="183">
        <f>SUM(M40:M41)</f>
        <v>0</v>
      </c>
      <c r="N42" s="236"/>
      <c r="O42" s="183">
        <f t="shared" ref="O42:AB42" si="28">SUM(O40:O41)</f>
        <v>0</v>
      </c>
      <c r="P42" s="183">
        <f t="shared" si="28"/>
        <v>0</v>
      </c>
      <c r="Q42" s="183">
        <f t="shared" si="28"/>
        <v>0</v>
      </c>
      <c r="R42" s="183">
        <f t="shared" si="28"/>
        <v>0</v>
      </c>
      <c r="S42" s="183">
        <f t="shared" si="28"/>
        <v>0</v>
      </c>
      <c r="T42" s="183">
        <f t="shared" si="28"/>
        <v>0</v>
      </c>
      <c r="U42" s="183">
        <f t="shared" si="28"/>
        <v>0</v>
      </c>
      <c r="V42" s="183">
        <f t="shared" si="28"/>
        <v>0</v>
      </c>
      <c r="W42" s="183">
        <f t="shared" si="28"/>
        <v>0</v>
      </c>
      <c r="X42" s="183">
        <f t="shared" si="28"/>
        <v>0</v>
      </c>
      <c r="Y42" s="183">
        <f t="shared" si="28"/>
        <v>0</v>
      </c>
      <c r="Z42" s="183">
        <f t="shared" si="28"/>
        <v>0</v>
      </c>
      <c r="AA42" s="236">
        <f t="shared" si="28"/>
        <v>0</v>
      </c>
      <c r="AB42" s="596">
        <f t="shared" si="28"/>
        <v>0</v>
      </c>
      <c r="AC42" s="458"/>
      <c r="AD42" s="442"/>
      <c r="AE42" s="432"/>
      <c r="AF42" s="443"/>
      <c r="AG42" s="183">
        <f>SUM(AG40:AG41)</f>
        <v>0</v>
      </c>
      <c r="AH42" s="183">
        <f>SUM(AH40:AH41)</f>
        <v>0</v>
      </c>
      <c r="AI42" s="444">
        <f>B39-AG42</f>
        <v>2493153717</v>
      </c>
      <c r="AJ42" s="183">
        <f>SUM(AJ40:AJ41)</f>
        <v>0</v>
      </c>
    </row>
    <row r="43" spans="1:36" s="9" customFormat="1" ht="63.75">
      <c r="A43" s="965" t="s">
        <v>82</v>
      </c>
      <c r="B43" s="786">
        <v>1971000</v>
      </c>
      <c r="C43" s="1428" t="s">
        <v>74</v>
      </c>
      <c r="D43" s="1428" t="s">
        <v>79</v>
      </c>
      <c r="E43" s="1428" t="s">
        <v>71</v>
      </c>
      <c r="F43" s="1428" t="s">
        <v>76</v>
      </c>
      <c r="G43" s="1455" t="s">
        <v>73</v>
      </c>
      <c r="H43" s="1410"/>
      <c r="I43" s="762"/>
      <c r="J43" s="57"/>
      <c r="K43" s="178"/>
      <c r="L43" s="133"/>
      <c r="M43" s="178"/>
      <c r="N43" s="238"/>
      <c r="O43" s="304"/>
      <c r="P43" s="178"/>
      <c r="Q43" s="178"/>
      <c r="R43" s="178"/>
      <c r="S43" s="178"/>
      <c r="T43" s="178"/>
      <c r="U43" s="178"/>
      <c r="V43" s="178"/>
      <c r="W43" s="178"/>
      <c r="X43" s="178"/>
      <c r="Y43" s="178"/>
      <c r="Z43" s="178"/>
      <c r="AA43" s="238"/>
      <c r="AB43" s="621"/>
      <c r="AC43" s="324"/>
      <c r="AD43" s="336"/>
      <c r="AE43" s="384"/>
      <c r="AF43" s="208"/>
      <c r="AG43" s="178"/>
      <c r="AH43" s="93"/>
      <c r="AI43" s="444"/>
      <c r="AJ43" s="93"/>
    </row>
    <row r="44" spans="1:36" s="975" customFormat="1" ht="25.5">
      <c r="A44" s="1442" t="s">
        <v>82</v>
      </c>
      <c r="B44" s="1409">
        <f>I44</f>
        <v>0</v>
      </c>
      <c r="C44" s="124" t="s">
        <v>74</v>
      </c>
      <c r="D44" s="124" t="s">
        <v>79</v>
      </c>
      <c r="E44" s="124" t="s">
        <v>71</v>
      </c>
      <c r="F44" s="124" t="s">
        <v>76</v>
      </c>
      <c r="G44" s="125" t="s">
        <v>73</v>
      </c>
      <c r="H44" s="1416">
        <v>0</v>
      </c>
      <c r="I44" s="1417"/>
      <c r="J44" s="1418"/>
      <c r="K44" s="1419"/>
      <c r="L44" s="1420"/>
      <c r="M44" s="1419"/>
      <c r="N44" s="1421"/>
      <c r="O44" s="1422"/>
      <c r="P44" s="1419"/>
      <c r="Q44" s="1419"/>
      <c r="R44" s="1419"/>
      <c r="S44" s="1419"/>
      <c r="T44" s="1419"/>
      <c r="U44" s="1419"/>
      <c r="V44" s="1419"/>
      <c r="W44" s="1419"/>
      <c r="X44" s="1419"/>
      <c r="Y44" s="1419"/>
      <c r="Z44" s="1419"/>
      <c r="AA44" s="1421"/>
      <c r="AB44" s="1423"/>
      <c r="AC44" s="1424"/>
      <c r="AD44" s="1425"/>
      <c r="AE44" s="538"/>
      <c r="AF44" s="208"/>
      <c r="AG44" s="1419"/>
      <c r="AH44" s="1426"/>
      <c r="AI44" s="1427"/>
      <c r="AJ44" s="1426"/>
    </row>
    <row r="45" spans="1:36" s="9" customFormat="1">
      <c r="A45" s="214" t="s">
        <v>32</v>
      </c>
      <c r="B45" s="377">
        <f>B43-SUM(B44:B44)</f>
        <v>1971000</v>
      </c>
      <c r="C45" s="108"/>
      <c r="D45" s="108"/>
      <c r="E45" s="108"/>
      <c r="F45" s="108"/>
      <c r="G45" s="109"/>
      <c r="H45" s="277"/>
      <c r="I45" s="399"/>
      <c r="J45" s="66"/>
      <c r="K45" s="183">
        <f>SUM(K42:K44)</f>
        <v>0</v>
      </c>
      <c r="L45" s="136"/>
      <c r="M45" s="183">
        <f>SUM(M42:M44)</f>
        <v>0</v>
      </c>
      <c r="N45" s="236"/>
      <c r="O45" s="183">
        <f t="shared" ref="O45:AB45" si="29">SUM(O42:O44)</f>
        <v>0</v>
      </c>
      <c r="P45" s="183">
        <f t="shared" si="29"/>
        <v>0</v>
      </c>
      <c r="Q45" s="183">
        <f t="shared" si="29"/>
        <v>0</v>
      </c>
      <c r="R45" s="183">
        <f t="shared" si="29"/>
        <v>0</v>
      </c>
      <c r="S45" s="183">
        <f t="shared" si="29"/>
        <v>0</v>
      </c>
      <c r="T45" s="183">
        <f t="shared" si="29"/>
        <v>0</v>
      </c>
      <c r="U45" s="183">
        <f t="shared" si="29"/>
        <v>0</v>
      </c>
      <c r="V45" s="183">
        <f t="shared" si="29"/>
        <v>0</v>
      </c>
      <c r="W45" s="183">
        <f t="shared" si="29"/>
        <v>0</v>
      </c>
      <c r="X45" s="183">
        <f t="shared" si="29"/>
        <v>0</v>
      </c>
      <c r="Y45" s="183">
        <f t="shared" si="29"/>
        <v>0</v>
      </c>
      <c r="Z45" s="183">
        <f t="shared" si="29"/>
        <v>0</v>
      </c>
      <c r="AA45" s="236">
        <f t="shared" si="29"/>
        <v>0</v>
      </c>
      <c r="AB45" s="596">
        <f t="shared" si="29"/>
        <v>0</v>
      </c>
      <c r="AC45" s="458"/>
      <c r="AD45" s="442"/>
      <c r="AE45" s="432"/>
      <c r="AF45" s="443"/>
      <c r="AG45" s="183">
        <f>SUM(AG42:AG44)</f>
        <v>0</v>
      </c>
      <c r="AH45" s="183">
        <f>SUM(AH42:AH44)</f>
        <v>0</v>
      </c>
      <c r="AI45" s="444" t="e">
        <f>#REF!-AG45</f>
        <v>#REF!</v>
      </c>
      <c r="AJ45" s="183">
        <f>SUM(AJ42:AJ44)</f>
        <v>0</v>
      </c>
    </row>
    <row r="46" spans="1:36" s="7" customFormat="1" ht="96" customHeight="1">
      <c r="A46" s="1433" t="s">
        <v>83</v>
      </c>
      <c r="B46" s="785">
        <v>205258812</v>
      </c>
      <c r="C46" s="1432" t="s">
        <v>45</v>
      </c>
      <c r="D46" s="1432" t="s">
        <v>79</v>
      </c>
      <c r="E46" s="1432" t="s">
        <v>71</v>
      </c>
      <c r="F46" s="1432" t="s">
        <v>76</v>
      </c>
      <c r="G46" s="1456" t="s">
        <v>73</v>
      </c>
      <c r="H46" s="583">
        <v>0</v>
      </c>
      <c r="I46" s="765"/>
      <c r="J46" s="584"/>
      <c r="K46" s="585"/>
      <c r="L46" s="696"/>
      <c r="M46" s="586"/>
      <c r="N46" s="587"/>
      <c r="O46" s="588"/>
      <c r="P46" s="586"/>
      <c r="Q46" s="586"/>
      <c r="R46" s="586"/>
      <c r="S46" s="586"/>
      <c r="T46" s="586"/>
      <c r="U46" s="586"/>
      <c r="V46" s="586"/>
      <c r="W46" s="586"/>
      <c r="X46" s="586"/>
      <c r="Y46" s="586"/>
      <c r="Z46" s="586"/>
      <c r="AA46" s="589"/>
      <c r="AB46" s="600"/>
      <c r="AC46" s="588"/>
      <c r="AD46" s="709"/>
      <c r="AE46" s="695"/>
      <c r="AF46" s="710"/>
      <c r="AG46" s="711"/>
      <c r="AH46" s="697"/>
      <c r="AJ46" s="444">
        <f t="shared" ref="AJ46:AJ47" si="30">K46-M46</f>
        <v>0</v>
      </c>
    </row>
    <row r="47" spans="1:36" s="7" customFormat="1" ht="25.5">
      <c r="A47" s="1443" t="s">
        <v>83</v>
      </c>
      <c r="B47" s="184">
        <f t="shared" ref="B47" si="31">K47</f>
        <v>0</v>
      </c>
      <c r="C47" s="285" t="s">
        <v>45</v>
      </c>
      <c r="D47" s="285" t="s">
        <v>79</v>
      </c>
      <c r="E47" s="285" t="s">
        <v>71</v>
      </c>
      <c r="F47" s="285" t="s">
        <v>76</v>
      </c>
      <c r="G47" s="286" t="s">
        <v>73</v>
      </c>
      <c r="H47" s="274">
        <v>0</v>
      </c>
      <c r="I47" s="395"/>
      <c r="J47" s="260"/>
      <c r="K47" s="261"/>
      <c r="L47" s="390"/>
      <c r="M47" s="184"/>
      <c r="N47" s="316"/>
      <c r="O47" s="312"/>
      <c r="P47" s="195"/>
      <c r="Q47" s="195"/>
      <c r="R47" s="195"/>
      <c r="S47" s="195"/>
      <c r="T47" s="194"/>
      <c r="U47" s="194"/>
      <c r="V47" s="194"/>
      <c r="W47" s="194"/>
      <c r="X47" s="193"/>
      <c r="Y47" s="193"/>
      <c r="Z47" s="193"/>
      <c r="AA47" s="237">
        <f>SUM(O47:Z47)</f>
        <v>0</v>
      </c>
      <c r="AB47" s="592">
        <f>M47-AA47</f>
        <v>0</v>
      </c>
      <c r="AC47" s="311"/>
      <c r="AD47" s="340"/>
      <c r="AE47" s="384"/>
      <c r="AF47" s="208"/>
      <c r="AG47" s="445"/>
      <c r="AH47" s="444">
        <f>AG47-M47</f>
        <v>0</v>
      </c>
      <c r="AJ47" s="444">
        <f t="shared" si="30"/>
        <v>0</v>
      </c>
    </row>
    <row r="48" spans="1:36">
      <c r="A48" s="69" t="s">
        <v>32</v>
      </c>
      <c r="B48" s="789">
        <f>B46-SUM(B47:B47)</f>
        <v>205258812</v>
      </c>
      <c r="C48" s="86"/>
      <c r="D48" s="86"/>
      <c r="E48" s="86"/>
      <c r="F48" s="86"/>
      <c r="G48" s="87"/>
      <c r="H48" s="278"/>
      <c r="I48" s="766"/>
      <c r="J48" s="88"/>
      <c r="K48" s="251">
        <f>SUM(K47:K47)</f>
        <v>0</v>
      </c>
      <c r="L48" s="748"/>
      <c r="M48" s="251">
        <f>SUM(M47:M47)</f>
        <v>0</v>
      </c>
      <c r="N48" s="317"/>
      <c r="O48" s="251">
        <f t="shared" ref="O48:AB48" si="32">SUM(O47:O47)</f>
        <v>0</v>
      </c>
      <c r="P48" s="251">
        <f t="shared" si="32"/>
        <v>0</v>
      </c>
      <c r="Q48" s="251">
        <f t="shared" si="32"/>
        <v>0</v>
      </c>
      <c r="R48" s="251">
        <f t="shared" si="32"/>
        <v>0</v>
      </c>
      <c r="S48" s="251">
        <f t="shared" si="32"/>
        <v>0</v>
      </c>
      <c r="T48" s="251">
        <f t="shared" si="32"/>
        <v>0</v>
      </c>
      <c r="U48" s="251">
        <f t="shared" si="32"/>
        <v>0</v>
      </c>
      <c r="V48" s="251">
        <f t="shared" si="32"/>
        <v>0</v>
      </c>
      <c r="W48" s="251">
        <f t="shared" si="32"/>
        <v>0</v>
      </c>
      <c r="X48" s="251">
        <f t="shared" si="32"/>
        <v>0</v>
      </c>
      <c r="Y48" s="251">
        <f t="shared" si="32"/>
        <v>0</v>
      </c>
      <c r="Z48" s="251">
        <f t="shared" si="32"/>
        <v>0</v>
      </c>
      <c r="AA48" s="317">
        <f t="shared" si="32"/>
        <v>0</v>
      </c>
      <c r="AB48" s="1434">
        <f t="shared" si="32"/>
        <v>0</v>
      </c>
      <c r="AC48" s="948"/>
      <c r="AD48" s="442"/>
      <c r="AE48" s="432"/>
      <c r="AF48" s="443"/>
      <c r="AG48" s="251">
        <f>SUM(AG47:AG47)</f>
        <v>0</v>
      </c>
      <c r="AH48" s="251">
        <f>SUM(AH47:AH47)</f>
        <v>0</v>
      </c>
      <c r="AI48" s="149">
        <f>B46-AG48</f>
        <v>205258812</v>
      </c>
      <c r="AJ48" s="251">
        <f>SUM(AJ47:AJ47)</f>
        <v>0</v>
      </c>
    </row>
    <row r="49" spans="1:35" s="9" customFormat="1">
      <c r="A49" s="225"/>
      <c r="B49" s="790"/>
      <c r="C49" s="287"/>
      <c r="D49" s="287"/>
      <c r="E49" s="287"/>
      <c r="F49" s="287"/>
      <c r="G49" s="288"/>
      <c r="H49" s="289"/>
      <c r="I49" s="767"/>
      <c r="J49" s="290"/>
      <c r="K49" s="291"/>
      <c r="L49" s="749"/>
      <c r="M49" s="886"/>
      <c r="N49" s="318"/>
      <c r="O49" s="313"/>
      <c r="P49" s="886"/>
      <c r="Q49" s="886"/>
      <c r="R49" s="886"/>
      <c r="S49" s="886"/>
      <c r="T49" s="886"/>
      <c r="U49" s="886"/>
      <c r="V49" s="886"/>
      <c r="W49" s="886"/>
      <c r="X49" s="886"/>
      <c r="Y49" s="886"/>
      <c r="Z49" s="886"/>
      <c r="AA49" s="457"/>
      <c r="AB49" s="601"/>
      <c r="AC49" s="311"/>
      <c r="AD49" s="336"/>
      <c r="AE49" s="384"/>
      <c r="AF49" s="208"/>
      <c r="AG49" s="446"/>
    </row>
    <row r="50" spans="1:35">
      <c r="A50" s="909" t="s">
        <v>383</v>
      </c>
      <c r="B50" s="791">
        <f>B16+B26+B33+B36+B39+B46</f>
        <v>5578162000</v>
      </c>
      <c r="C50" s="254"/>
      <c r="D50" s="254"/>
      <c r="E50" s="254"/>
      <c r="F50" s="254"/>
      <c r="G50" s="255"/>
      <c r="H50" s="279"/>
      <c r="I50" s="768"/>
      <c r="J50" s="256"/>
      <c r="K50" s="257">
        <f>K19+K22+K25+K29+K32+K35+K38+K42+K45+K48</f>
        <v>0</v>
      </c>
      <c r="L50" s="750"/>
      <c r="M50" s="257">
        <f>M19+M22+M25+M29+M32+M35+M38+M42+M45+M48</f>
        <v>0</v>
      </c>
      <c r="N50" s="319"/>
      <c r="O50" s="257">
        <f t="shared" ref="O50:AB50" si="33">O19+O22+O25+O29+O32+O35+O38+O42+O45+O48</f>
        <v>0</v>
      </c>
      <c r="P50" s="257">
        <f t="shared" si="33"/>
        <v>0</v>
      </c>
      <c r="Q50" s="257">
        <f t="shared" si="33"/>
        <v>0</v>
      </c>
      <c r="R50" s="257">
        <f t="shared" si="33"/>
        <v>0</v>
      </c>
      <c r="S50" s="257">
        <f t="shared" si="33"/>
        <v>0</v>
      </c>
      <c r="T50" s="257">
        <f t="shared" si="33"/>
        <v>0</v>
      </c>
      <c r="U50" s="257">
        <f t="shared" si="33"/>
        <v>0</v>
      </c>
      <c r="V50" s="257">
        <f t="shared" si="33"/>
        <v>0</v>
      </c>
      <c r="W50" s="257">
        <f t="shared" si="33"/>
        <v>0</v>
      </c>
      <c r="X50" s="257">
        <f t="shared" si="33"/>
        <v>0</v>
      </c>
      <c r="Y50" s="257">
        <f t="shared" si="33"/>
        <v>0</v>
      </c>
      <c r="Z50" s="257">
        <f t="shared" si="33"/>
        <v>0</v>
      </c>
      <c r="AA50" s="319">
        <f t="shared" si="33"/>
        <v>0</v>
      </c>
      <c r="AB50" s="1435">
        <f t="shared" si="33"/>
        <v>0</v>
      </c>
      <c r="AC50" s="360"/>
      <c r="AD50" s="442"/>
      <c r="AE50" s="432"/>
      <c r="AF50" s="443"/>
      <c r="AG50" s="257" t="e">
        <f>AG19+AG22+AG29+AG32+#REF!+AG35+#REF!+AG38+AG42+AG48</f>
        <v>#REF!</v>
      </c>
      <c r="AH50" s="257" t="e">
        <f>AH19+AH22+AH29+AH32+#REF!+AH35+#REF!+AH38+AH42+AH48</f>
        <v>#REF!</v>
      </c>
      <c r="AI50" s="707" t="e">
        <f>AH50/AG50</f>
        <v>#REF!</v>
      </c>
    </row>
    <row r="51" spans="1:35" s="9" customFormat="1">
      <c r="A51" s="1444"/>
      <c r="B51" s="769"/>
      <c r="C51" s="90"/>
      <c r="D51" s="90"/>
      <c r="E51" s="90"/>
      <c r="F51" s="90"/>
      <c r="G51" s="90"/>
      <c r="H51" s="280"/>
      <c r="I51" s="769"/>
      <c r="J51" s="1407"/>
      <c r="K51" s="93"/>
      <c r="L51" s="397"/>
      <c r="M51" s="93"/>
      <c r="N51" s="93"/>
      <c r="O51" s="93"/>
      <c r="P51" s="93"/>
      <c r="Q51" s="93"/>
      <c r="R51" s="93"/>
      <c r="S51" s="93"/>
      <c r="T51" s="93"/>
      <c r="U51" s="93"/>
      <c r="V51" s="93"/>
      <c r="W51" s="93"/>
      <c r="X51" s="93"/>
      <c r="Y51" s="93"/>
      <c r="Z51" s="93"/>
      <c r="AA51" s="93"/>
      <c r="AB51" s="1445"/>
      <c r="AC51" s="93"/>
      <c r="AD51" s="907"/>
      <c r="AE51" s="1446"/>
      <c r="AF51" s="294"/>
      <c r="AG51" s="93"/>
      <c r="AH51" s="93"/>
      <c r="AI51" s="1447"/>
    </row>
    <row r="52" spans="1:35" s="9" customFormat="1">
      <c r="A52" s="1444"/>
      <c r="B52" s="769"/>
      <c r="C52" s="90"/>
      <c r="D52" s="90"/>
      <c r="E52" s="90"/>
      <c r="F52" s="90"/>
      <c r="G52" s="90"/>
      <c r="H52" s="280"/>
      <c r="I52" s="769"/>
      <c r="J52" s="1407"/>
      <c r="K52" s="93"/>
      <c r="L52" s="397"/>
      <c r="M52" s="93"/>
      <c r="N52" s="93"/>
      <c r="O52" s="93"/>
      <c r="P52" s="93"/>
      <c r="Q52" s="93"/>
      <c r="R52" s="93"/>
      <c r="S52" s="93"/>
      <c r="T52" s="93"/>
      <c r="U52" s="93"/>
      <c r="V52" s="93"/>
      <c r="W52" s="93"/>
      <c r="X52" s="93"/>
      <c r="Y52" s="93"/>
      <c r="Z52" s="93"/>
      <c r="AA52" s="93"/>
      <c r="AB52" s="1445"/>
      <c r="AC52" s="93"/>
      <c r="AD52" s="907"/>
      <c r="AE52" s="1446"/>
      <c r="AF52" s="294"/>
      <c r="AG52" s="93"/>
      <c r="AH52" s="93"/>
      <c r="AI52" s="1447"/>
    </row>
    <row r="53" spans="1:35" s="9" customFormat="1">
      <c r="A53" s="955"/>
      <c r="B53" s="792"/>
      <c r="C53" s="89"/>
      <c r="D53" s="90"/>
      <c r="E53" s="90"/>
      <c r="F53" s="90"/>
      <c r="G53" s="90"/>
      <c r="H53" s="280"/>
      <c r="I53" s="769"/>
      <c r="J53" s="92"/>
      <c r="K53" s="93"/>
      <c r="L53" s="397"/>
      <c r="M53" s="293"/>
      <c r="N53" s="294"/>
      <c r="O53" s="293"/>
      <c r="P53" s="293"/>
      <c r="Q53" s="293"/>
      <c r="R53" s="293"/>
      <c r="S53" s="293"/>
      <c r="T53" s="293"/>
      <c r="U53" s="293"/>
      <c r="V53" s="293"/>
      <c r="W53" s="293"/>
      <c r="X53" s="293"/>
      <c r="Y53" s="293"/>
      <c r="Z53" s="293"/>
      <c r="AA53" s="293"/>
      <c r="AB53" s="956"/>
      <c r="AC53" s="293"/>
      <c r="AE53" s="221"/>
      <c r="AF53" s="222"/>
      <c r="AG53" s="444"/>
    </row>
    <row r="54" spans="1:35">
      <c r="A54" s="24" t="s">
        <v>38</v>
      </c>
      <c r="B54" s="162" t="s">
        <v>19</v>
      </c>
      <c r="C54" s="22"/>
      <c r="D54" s="22"/>
      <c r="E54" s="22"/>
      <c r="F54" s="22"/>
      <c r="G54" s="22"/>
      <c r="H54" s="281"/>
      <c r="I54" s="161"/>
      <c r="J54" s="22"/>
      <c r="K54" s="23"/>
      <c r="L54" s="138"/>
      <c r="M54" s="295"/>
      <c r="N54" s="296"/>
      <c r="O54" s="295"/>
      <c r="P54" s="295"/>
      <c r="Q54" s="295"/>
      <c r="R54" s="295"/>
      <c r="S54" s="295"/>
      <c r="T54" s="295"/>
      <c r="U54" s="295"/>
      <c r="V54" s="295"/>
      <c r="W54" s="295"/>
      <c r="X54" s="295"/>
      <c r="Y54" s="295"/>
      <c r="Z54" s="295"/>
      <c r="AA54" s="295"/>
      <c r="AB54" s="911"/>
      <c r="AC54" s="295"/>
    </row>
    <row r="55" spans="1:35" s="165" customFormat="1" ht="24.75" customHeight="1">
      <c r="A55" s="27" t="s">
        <v>39</v>
      </c>
      <c r="B55" s="94">
        <f>B17+B20+B23+B27+B30+B33+B36+B40+B43+B46</f>
        <v>5578162000</v>
      </c>
      <c r="C55" s="925"/>
      <c r="D55" s="925"/>
      <c r="E55" s="925"/>
      <c r="F55" s="925"/>
      <c r="G55" s="925"/>
      <c r="H55" s="298"/>
      <c r="I55" s="297"/>
      <c r="J55" s="297"/>
      <c r="K55" s="147" t="s">
        <v>25</v>
      </c>
      <c r="L55" s="516" t="s">
        <v>26</v>
      </c>
      <c r="M55" s="26" t="s">
        <v>27</v>
      </c>
      <c r="N55" s="879" t="s">
        <v>324</v>
      </c>
      <c r="O55" s="878"/>
      <c r="P55" s="878"/>
      <c r="Q55" s="878"/>
      <c r="R55" s="878"/>
      <c r="S55" s="878"/>
      <c r="T55" s="878"/>
      <c r="U55" s="878"/>
      <c r="V55" s="878"/>
      <c r="W55" s="878"/>
      <c r="X55" s="878"/>
      <c r="Y55" s="878"/>
      <c r="Z55" s="878"/>
      <c r="AA55" s="878">
        <f>SUM(O55:Z55)</f>
        <v>0</v>
      </c>
      <c r="AB55" s="578">
        <f>M50-AA55</f>
        <v>0</v>
      </c>
      <c r="AC55" s="295"/>
      <c r="AE55" s="870"/>
      <c r="AF55" s="177"/>
      <c r="AG55" s="871"/>
    </row>
    <row r="56" spans="1:35" ht="15">
      <c r="A56" s="71"/>
      <c r="B56" s="459"/>
      <c r="C56" s="73"/>
      <c r="D56" s="1565" t="s">
        <v>338</v>
      </c>
      <c r="E56" s="1591"/>
      <c r="F56" s="1591" t="s">
        <v>336</v>
      </c>
      <c r="G56" s="1591"/>
      <c r="H56" s="296"/>
      <c r="I56" s="778"/>
      <c r="J56" s="73"/>
      <c r="K56" s="148">
        <f>K50</f>
        <v>0</v>
      </c>
      <c r="L56" s="148">
        <f>M50</f>
        <v>0</v>
      </c>
      <c r="M56" s="169">
        <f>AA50</f>
        <v>0</v>
      </c>
      <c r="N56" s="296"/>
      <c r="O56" s="295"/>
      <c r="P56" s="295"/>
      <c r="Q56" s="295"/>
      <c r="R56" s="295"/>
      <c r="S56" s="295"/>
      <c r="T56" s="295"/>
      <c r="U56" s="295"/>
      <c r="V56" s="295"/>
      <c r="W56" s="295"/>
      <c r="X56" s="295"/>
      <c r="Y56" s="295"/>
      <c r="Z56" s="295"/>
      <c r="AA56" s="295"/>
      <c r="AB56" s="911"/>
    </row>
    <row r="57" spans="1:35" ht="24.75" customHeight="1">
      <c r="A57" s="1457" t="s">
        <v>40</v>
      </c>
      <c r="B57" s="459"/>
      <c r="C57" s="73"/>
      <c r="D57" s="1593" t="s">
        <v>387</v>
      </c>
      <c r="E57" s="1593"/>
      <c r="F57" s="1593" t="s">
        <v>337</v>
      </c>
      <c r="G57" s="1593"/>
      <c r="H57" s="296"/>
      <c r="I57" s="778"/>
      <c r="J57" s="73"/>
      <c r="K57" s="231"/>
      <c r="L57" s="751" t="s">
        <v>39</v>
      </c>
      <c r="M57" s="148">
        <f>M50</f>
        <v>0</v>
      </c>
      <c r="N57" s="296"/>
      <c r="O57" s="148">
        <f t="shared" ref="O57:AA57" si="34">O19+O22+O25+O29+O32+O35+O38+O42+O45+O48</f>
        <v>0</v>
      </c>
      <c r="P57" s="148">
        <f t="shared" si="34"/>
        <v>0</v>
      </c>
      <c r="Q57" s="148">
        <f t="shared" si="34"/>
        <v>0</v>
      </c>
      <c r="R57" s="148">
        <f t="shared" si="34"/>
        <v>0</v>
      </c>
      <c r="S57" s="148">
        <f t="shared" si="34"/>
        <v>0</v>
      </c>
      <c r="T57" s="148">
        <f t="shared" si="34"/>
        <v>0</v>
      </c>
      <c r="U57" s="148">
        <f t="shared" si="34"/>
        <v>0</v>
      </c>
      <c r="V57" s="148">
        <f t="shared" si="34"/>
        <v>0</v>
      </c>
      <c r="W57" s="148">
        <f t="shared" si="34"/>
        <v>0</v>
      </c>
      <c r="X57" s="148">
        <f t="shared" si="34"/>
        <v>0</v>
      </c>
      <c r="Y57" s="148">
        <f t="shared" si="34"/>
        <v>0</v>
      </c>
      <c r="Z57" s="148">
        <f t="shared" si="34"/>
        <v>0</v>
      </c>
      <c r="AA57" s="148">
        <f t="shared" si="34"/>
        <v>0</v>
      </c>
      <c r="AB57" s="957">
        <f>M57-AA57</f>
        <v>0</v>
      </c>
      <c r="AC57" s="454"/>
    </row>
    <row r="58" spans="1:35" ht="13.5" thickBot="1">
      <c r="A58" s="958"/>
      <c r="B58" s="959"/>
      <c r="C58" s="960"/>
      <c r="D58" s="961"/>
      <c r="E58" s="81"/>
      <c r="F58" s="81"/>
      <c r="G58" s="81"/>
      <c r="H58" s="338"/>
      <c r="I58" s="798"/>
      <c r="J58" s="81"/>
      <c r="K58" s="81"/>
      <c r="L58" s="518"/>
      <c r="M58" s="921"/>
      <c r="N58" s="338"/>
      <c r="O58" s="921"/>
      <c r="P58" s="921"/>
      <c r="Q58" s="921"/>
      <c r="R58" s="921"/>
      <c r="S58" s="921"/>
      <c r="T58" s="921"/>
      <c r="U58" s="921"/>
      <c r="V58" s="921"/>
      <c r="W58" s="921"/>
      <c r="X58" s="921"/>
      <c r="Y58" s="921"/>
      <c r="Z58" s="921"/>
      <c r="AA58" s="921"/>
      <c r="AB58" s="923"/>
    </row>
    <row r="59" spans="1:35">
      <c r="A59" s="37"/>
      <c r="B59" s="164"/>
      <c r="C59" s="39"/>
      <c r="D59" s="40"/>
      <c r="AA59" s="151">
        <f>AA57-AA50</f>
        <v>0</v>
      </c>
    </row>
    <row r="60" spans="1:35">
      <c r="K60" s="540"/>
      <c r="L60" s="540"/>
      <c r="M60" s="609"/>
    </row>
    <row r="61" spans="1:35">
      <c r="A61" s="37"/>
      <c r="B61" s="164"/>
    </row>
    <row r="62" spans="1:35">
      <c r="A62" s="37"/>
      <c r="B62" s="164"/>
    </row>
    <row r="63" spans="1:35">
      <c r="A63" s="37"/>
      <c r="B63" s="164"/>
    </row>
    <row r="64" spans="1:35">
      <c r="A64" s="37"/>
      <c r="B64" s="164"/>
    </row>
    <row r="65" spans="1:2">
      <c r="A65" s="37"/>
      <c r="B65" s="164"/>
    </row>
    <row r="66" spans="1:2">
      <c r="A66" s="37"/>
      <c r="B66" s="164"/>
    </row>
    <row r="67" spans="1:2">
      <c r="A67" s="37"/>
      <c r="B67" s="164"/>
    </row>
    <row r="68" spans="1:2">
      <c r="A68" s="37"/>
      <c r="B68" s="164"/>
    </row>
    <row r="69" spans="1:2">
      <c r="A69" s="37"/>
      <c r="B69" s="164"/>
    </row>
    <row r="70" spans="1:2">
      <c r="A70" s="37"/>
      <c r="B70" s="164"/>
    </row>
    <row r="71" spans="1:2">
      <c r="A71" s="37"/>
      <c r="B71" s="164"/>
    </row>
    <row r="72" spans="1:2">
      <c r="A72" s="37"/>
      <c r="B72" s="164"/>
    </row>
    <row r="73" spans="1:2">
      <c r="A73" s="37"/>
      <c r="B73" s="164"/>
    </row>
    <row r="74" spans="1:2">
      <c r="A74" s="37"/>
      <c r="B74" s="164"/>
    </row>
    <row r="75" spans="1:2">
      <c r="A75" s="37"/>
      <c r="B75" s="164"/>
    </row>
  </sheetData>
  <autoFilter ref="A15:AG48"/>
  <mergeCells count="20">
    <mergeCell ref="F56:G56"/>
    <mergeCell ref="F57:G57"/>
    <mergeCell ref="D56:E56"/>
    <mergeCell ref="D57:E57"/>
    <mergeCell ref="B9:D9"/>
    <mergeCell ref="B10:G10"/>
    <mergeCell ref="B11:G11"/>
    <mergeCell ref="A8:G8"/>
    <mergeCell ref="A1:A2"/>
    <mergeCell ref="Y1:Z1"/>
    <mergeCell ref="AA1:AB1"/>
    <mergeCell ref="Y2:Z2"/>
    <mergeCell ref="AA2:AB2"/>
    <mergeCell ref="A3:G3"/>
    <mergeCell ref="A4:G4"/>
    <mergeCell ref="A5:G5"/>
    <mergeCell ref="A6:G6"/>
    <mergeCell ref="A7:G7"/>
    <mergeCell ref="C1:L1"/>
    <mergeCell ref="C2:L2"/>
  </mergeCells>
  <conditionalFormatting sqref="AB1:AB44 AB46:AB49 AB53:AB1048576">
    <cfRule type="cellIs" dxfId="27" priority="7" operator="lessThan">
      <formula>0</formula>
    </cfRule>
  </conditionalFormatting>
  <conditionalFormatting sqref="L57:L1048576 L3:L44 L46:L55">
    <cfRule type="duplicateValues" dxfId="26" priority="6"/>
  </conditionalFormatting>
  <conditionalFormatting sqref="AB45">
    <cfRule type="cellIs" dxfId="25" priority="2" operator="lessThan">
      <formula>0</formula>
    </cfRule>
  </conditionalFormatting>
  <conditionalFormatting sqref="L45">
    <cfRule type="duplicateValues" dxfId="24" priority="1"/>
  </conditionalFormatting>
  <printOptions horizontalCentered="1" verticalCentered="1"/>
  <pageMargins left="0.70866141732283472" right="1.74" top="0" bottom="0" header="0" footer="0"/>
  <pageSetup scale="35" fitToWidth="2" fitToHeight="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0"/>
  <sheetViews>
    <sheetView zoomScale="80" zoomScaleNormal="80" workbookViewId="0">
      <selection activeCell="B11" sqref="B11:G11"/>
    </sheetView>
  </sheetViews>
  <sheetFormatPr baseColWidth="10" defaultRowHeight="12.75"/>
  <cols>
    <col min="1" max="1" width="31" customWidth="1"/>
    <col min="2" max="2" width="22.85546875" customWidth="1"/>
    <col min="3" max="3" width="30.7109375" customWidth="1"/>
    <col min="4" max="4" width="29.42578125" customWidth="1"/>
    <col min="5" max="5" width="20.85546875" customWidth="1"/>
    <col min="6" max="6" width="25.42578125" customWidth="1"/>
    <col min="7" max="7" width="26" customWidth="1"/>
    <col min="8" max="8" width="13.42578125" style="223" customWidth="1"/>
    <col min="9" max="9" width="13.42578125" style="210" customWidth="1"/>
    <col min="10" max="10" width="9.42578125" customWidth="1"/>
    <col min="11" max="11" width="16.7109375" bestFit="1" customWidth="1"/>
    <col min="12" max="12" width="16.5703125" style="139" bestFit="1" customWidth="1"/>
    <col min="13" max="13" width="17.28515625" style="861" bestFit="1" customWidth="1"/>
    <col min="14" max="14" width="11.42578125" style="824"/>
    <col min="15" max="15" width="11.42578125" style="862" customWidth="1"/>
    <col min="16" max="16" width="14.140625" style="862" customWidth="1"/>
    <col min="17" max="18" width="15.28515625" style="862" customWidth="1"/>
    <col min="19" max="19" width="15" style="862" customWidth="1"/>
    <col min="20" max="22" width="14.28515625" style="862" customWidth="1"/>
    <col min="23" max="23" width="18.5703125" style="861" bestFit="1" customWidth="1"/>
    <col min="24" max="26" width="11.42578125" style="862" customWidth="1"/>
    <col min="27" max="27" width="18" style="862" customWidth="1"/>
    <col min="28" max="28" width="15.28515625" style="862" customWidth="1"/>
    <col min="29" max="29" width="7.140625" style="862" hidden="1" customWidth="1"/>
    <col min="30" max="30" width="0" hidden="1" customWidth="1"/>
    <col min="31" max="31" width="16.140625" hidden="1" customWidth="1"/>
    <col min="32" max="32" width="10.140625" style="824" hidden="1" customWidth="1"/>
    <col min="33" max="33" width="17.28515625" style="149" hidden="1" customWidth="1"/>
    <col min="34" max="34" width="15" hidden="1" customWidth="1"/>
    <col min="35" max="35" width="13.5703125" hidden="1" customWidth="1"/>
  </cols>
  <sheetData>
    <row r="1" spans="1:34" ht="42" customHeight="1">
      <c r="A1" s="1550"/>
      <c r="B1" s="233" t="s">
        <v>0</v>
      </c>
      <c r="C1" s="1558" t="s">
        <v>1</v>
      </c>
      <c r="D1" s="1559"/>
      <c r="E1" s="1559"/>
      <c r="F1" s="1559"/>
      <c r="G1" s="1559"/>
      <c r="H1" s="1559"/>
      <c r="I1" s="1559"/>
      <c r="J1" s="1559"/>
      <c r="K1" s="1343"/>
      <c r="L1" s="979"/>
      <c r="M1" s="1343"/>
      <c r="N1" s="979"/>
      <c r="O1" s="979"/>
      <c r="P1" s="979"/>
      <c r="Q1" s="979"/>
      <c r="R1" s="979"/>
      <c r="S1" s="979"/>
      <c r="T1" s="979"/>
      <c r="U1" s="979"/>
      <c r="V1" s="979"/>
      <c r="W1" s="979"/>
      <c r="X1" s="980"/>
      <c r="Y1" s="1552" t="s">
        <v>2</v>
      </c>
      <c r="Z1" s="1552"/>
      <c r="AA1" s="1594" t="s">
        <v>3</v>
      </c>
      <c r="AB1" s="1595"/>
      <c r="AC1" s="437"/>
    </row>
    <row r="2" spans="1:34" ht="42" customHeight="1">
      <c r="A2" s="1551"/>
      <c r="B2" s="1" t="s">
        <v>4</v>
      </c>
      <c r="C2" s="1560" t="s">
        <v>5</v>
      </c>
      <c r="D2" s="1561"/>
      <c r="E2" s="1561"/>
      <c r="F2" s="1561"/>
      <c r="G2" s="1561"/>
      <c r="H2" s="1561"/>
      <c r="I2" s="1561"/>
      <c r="J2" s="1561"/>
      <c r="K2" s="977"/>
      <c r="L2" s="977"/>
      <c r="M2" s="977"/>
      <c r="N2" s="977"/>
      <c r="O2" s="977"/>
      <c r="P2" s="977"/>
      <c r="Q2" s="977"/>
      <c r="R2" s="977"/>
      <c r="S2" s="977"/>
      <c r="T2" s="977"/>
      <c r="U2" s="977"/>
      <c r="V2" s="977"/>
      <c r="W2" s="977"/>
      <c r="X2" s="978"/>
      <c r="Y2" s="1555" t="s">
        <v>6</v>
      </c>
      <c r="Z2" s="1555"/>
      <c r="AA2" s="1556">
        <v>1</v>
      </c>
      <c r="AB2" s="1557"/>
      <c r="AC2" s="438"/>
    </row>
    <row r="3" spans="1:34">
      <c r="A3" s="1579" t="s">
        <v>7</v>
      </c>
      <c r="B3" s="1580"/>
      <c r="C3" s="1580"/>
      <c r="D3" s="1580"/>
      <c r="E3" s="1580"/>
      <c r="F3" s="1580"/>
      <c r="G3" s="1580"/>
      <c r="H3" s="270"/>
      <c r="I3" s="1526"/>
      <c r="J3" s="45"/>
      <c r="K3" s="45"/>
      <c r="L3" s="387"/>
      <c r="M3" s="45"/>
      <c r="N3" s="387"/>
      <c r="O3" s="45"/>
      <c r="P3" s="45"/>
      <c r="Q3" s="45"/>
      <c r="R3" s="45"/>
      <c r="S3" s="45"/>
      <c r="T3" s="391"/>
      <c r="U3" s="391"/>
      <c r="V3" s="391"/>
      <c r="W3" s="1526"/>
      <c r="X3" s="391"/>
      <c r="Y3" s="391"/>
      <c r="Z3" s="391"/>
      <c r="AA3" s="391"/>
      <c r="AB3" s="985"/>
      <c r="AC3" s="45"/>
    </row>
    <row r="4" spans="1:34">
      <c r="A4" s="1579" t="s">
        <v>382</v>
      </c>
      <c r="B4" s="1580"/>
      <c r="C4" s="1580"/>
      <c r="D4" s="1580"/>
      <c r="E4" s="1580"/>
      <c r="F4" s="1580"/>
      <c r="G4" s="1580"/>
      <c r="H4" s="270"/>
      <c r="I4" s="1526"/>
      <c r="J4" s="45"/>
      <c r="K4" s="45"/>
      <c r="L4" s="387"/>
      <c r="M4" s="45"/>
      <c r="N4" s="387"/>
      <c r="O4" s="45"/>
      <c r="P4" s="45"/>
      <c r="Q4" s="45"/>
      <c r="R4" s="45"/>
      <c r="S4" s="45"/>
      <c r="T4" s="391"/>
      <c r="U4" s="391"/>
      <c r="V4" s="391"/>
      <c r="W4" s="1526"/>
      <c r="X4" s="391"/>
      <c r="Y4" s="391"/>
      <c r="Z4" s="391"/>
      <c r="AA4" s="391"/>
      <c r="AB4" s="986"/>
      <c r="AC4" s="45"/>
    </row>
    <row r="5" spans="1:34">
      <c r="A5" s="1579" t="s">
        <v>85</v>
      </c>
      <c r="B5" s="1580"/>
      <c r="C5" s="1580"/>
      <c r="D5" s="1580"/>
      <c r="E5" s="1580"/>
      <c r="F5" s="1580"/>
      <c r="G5" s="1580"/>
      <c r="H5" s="270"/>
      <c r="I5" s="1526"/>
      <c r="J5" s="45"/>
      <c r="K5" s="45"/>
      <c r="L5" s="387"/>
      <c r="M5" s="45"/>
      <c r="N5" s="387"/>
      <c r="O5" s="45"/>
      <c r="P5" s="45"/>
      <c r="Q5" s="45"/>
      <c r="R5" s="45"/>
      <c r="S5" s="45"/>
      <c r="T5" s="391"/>
      <c r="U5" s="391"/>
      <c r="V5" s="391"/>
      <c r="W5" s="1526"/>
      <c r="X5" s="391"/>
      <c r="Y5" s="391"/>
      <c r="Z5" s="391"/>
      <c r="AA5" s="391"/>
      <c r="AB5" s="986"/>
      <c r="AC5" s="45"/>
    </row>
    <row r="6" spans="1:34">
      <c r="A6" s="1579" t="s">
        <v>86</v>
      </c>
      <c r="B6" s="1580"/>
      <c r="C6" s="1580"/>
      <c r="D6" s="1580"/>
      <c r="E6" s="1580"/>
      <c r="F6" s="1580"/>
      <c r="G6" s="1580"/>
      <c r="H6" s="270"/>
      <c r="I6" s="1526"/>
      <c r="J6" s="45"/>
      <c r="K6" s="45"/>
      <c r="L6" s="387"/>
      <c r="M6" s="45"/>
      <c r="N6" s="387"/>
      <c r="O6" s="45"/>
      <c r="P6" s="45"/>
      <c r="Q6" s="45"/>
      <c r="R6" s="45"/>
      <c r="S6" s="45"/>
      <c r="T6" s="391"/>
      <c r="U6" s="391"/>
      <c r="V6" s="391"/>
      <c r="W6" s="1526"/>
      <c r="X6" s="391"/>
      <c r="Y6" s="391"/>
      <c r="Z6" s="391"/>
      <c r="AA6" s="391"/>
      <c r="AB6" s="986"/>
      <c r="AC6" s="45"/>
    </row>
    <row r="7" spans="1:34">
      <c r="A7" s="1579" t="s">
        <v>87</v>
      </c>
      <c r="B7" s="1580"/>
      <c r="C7" s="1580"/>
      <c r="D7" s="1580"/>
      <c r="E7" s="1580"/>
      <c r="F7" s="1580"/>
      <c r="G7" s="1580"/>
      <c r="H7" s="270"/>
      <c r="I7" s="1526"/>
      <c r="J7" s="45"/>
      <c r="K7" s="45"/>
      <c r="L7" s="387"/>
      <c r="M7" s="45"/>
      <c r="N7" s="387"/>
      <c r="O7" s="45"/>
      <c r="P7" s="45"/>
      <c r="Q7" s="45"/>
      <c r="R7" s="45"/>
      <c r="S7" s="45"/>
      <c r="T7" s="391"/>
      <c r="U7" s="391"/>
      <c r="V7" s="391"/>
      <c r="W7" s="1526"/>
      <c r="X7" s="391"/>
      <c r="Y7" s="391"/>
      <c r="Z7" s="391"/>
      <c r="AA7" s="391"/>
      <c r="AB7" s="986"/>
      <c r="AC7" s="45"/>
    </row>
    <row r="8" spans="1:34">
      <c r="A8" s="1579" t="s">
        <v>88</v>
      </c>
      <c r="B8" s="1580"/>
      <c r="C8" s="1580"/>
      <c r="D8" s="1580"/>
      <c r="E8" s="1580"/>
      <c r="F8" s="1580"/>
      <c r="G8" s="1580"/>
      <c r="H8" s="270"/>
      <c r="I8" s="1526"/>
      <c r="J8" s="45"/>
      <c r="K8" s="45"/>
      <c r="L8" s="387"/>
      <c r="M8" s="45"/>
      <c r="N8" s="387"/>
      <c r="O8" s="45"/>
      <c r="P8" s="45"/>
      <c r="Q8" s="45"/>
      <c r="R8" s="45"/>
      <c r="S8" s="45"/>
      <c r="T8" s="391"/>
      <c r="U8" s="391"/>
      <c r="V8" s="391"/>
      <c r="W8" s="1526"/>
      <c r="X8" s="391"/>
      <c r="Y8" s="391"/>
      <c r="Z8" s="391"/>
      <c r="AA8" s="391"/>
      <c r="AB8" s="986"/>
      <c r="AC8" s="45"/>
    </row>
    <row r="9" spans="1:34">
      <c r="A9" s="414" t="s">
        <v>9</v>
      </c>
      <c r="B9" s="1580" t="s">
        <v>89</v>
      </c>
      <c r="C9" s="1580"/>
      <c r="D9" s="1580"/>
      <c r="E9" s="415"/>
      <c r="F9" s="415"/>
      <c r="G9" s="418"/>
      <c r="H9" s="270"/>
      <c r="I9" s="1526"/>
      <c r="J9" s="45"/>
      <c r="K9" s="45"/>
      <c r="L9" s="387"/>
      <c r="M9" s="45"/>
      <c r="N9" s="387"/>
      <c r="O9" s="45"/>
      <c r="P9" s="45"/>
      <c r="Q9" s="45"/>
      <c r="R9" s="45"/>
      <c r="S9" s="45"/>
      <c r="T9" s="391"/>
      <c r="U9" s="391"/>
      <c r="V9" s="391"/>
      <c r="W9" s="1526"/>
      <c r="X9" s="391"/>
      <c r="Y9" s="391"/>
      <c r="Z9" s="391"/>
      <c r="AA9" s="391"/>
      <c r="AB9" s="986"/>
      <c r="AC9" s="45"/>
    </row>
    <row r="10" spans="1:34">
      <c r="A10" s="414" t="s">
        <v>11</v>
      </c>
      <c r="B10" s="1580" t="s">
        <v>90</v>
      </c>
      <c r="C10" s="1580"/>
      <c r="D10" s="1580"/>
      <c r="E10" s="1580"/>
      <c r="F10" s="1580"/>
      <c r="G10" s="1580"/>
      <c r="H10" s="270"/>
      <c r="I10" s="1526"/>
      <c r="J10" s="45"/>
      <c r="K10" s="45"/>
      <c r="L10" s="387"/>
      <c r="M10" s="45"/>
      <c r="N10" s="387"/>
      <c r="O10" s="45"/>
      <c r="P10" s="45"/>
      <c r="Q10" s="45"/>
      <c r="R10" s="45"/>
      <c r="S10" s="45"/>
      <c r="T10" s="391"/>
      <c r="U10" s="391"/>
      <c r="V10" s="391"/>
      <c r="W10" s="1526"/>
      <c r="X10" s="391"/>
      <c r="Y10" s="391"/>
      <c r="Z10" s="391"/>
      <c r="AA10" s="391"/>
      <c r="AB10" s="986"/>
      <c r="AC10" s="45"/>
    </row>
    <row r="11" spans="1:34">
      <c r="A11" s="416" t="s">
        <v>13</v>
      </c>
      <c r="B11" s="1580" t="s">
        <v>91</v>
      </c>
      <c r="C11" s="1580"/>
      <c r="D11" s="1580"/>
      <c r="E11" s="1580"/>
      <c r="F11" s="1580"/>
      <c r="G11" s="1580"/>
      <c r="H11" s="270"/>
      <c r="I11" s="1526"/>
      <c r="J11" s="45"/>
      <c r="K11" s="45"/>
      <c r="L11" s="387"/>
      <c r="M11" s="45"/>
      <c r="N11" s="387"/>
      <c r="O11" s="45"/>
      <c r="P11" s="45"/>
      <c r="Q11" s="45"/>
      <c r="R11" s="45"/>
      <c r="S11" s="45"/>
      <c r="T11" s="391"/>
      <c r="U11" s="391"/>
      <c r="V11" s="391"/>
      <c r="W11" s="1526"/>
      <c r="X11" s="391"/>
      <c r="Y11" s="391"/>
      <c r="Z11" s="391"/>
      <c r="AA11" s="391"/>
      <c r="AB11" s="986"/>
      <c r="AC11" s="45"/>
    </row>
    <row r="12" spans="1:34">
      <c r="A12" s="987" t="s">
        <v>15</v>
      </c>
      <c r="B12" s="433">
        <v>43475</v>
      </c>
      <c r="C12" s="424"/>
      <c r="D12" s="424"/>
      <c r="E12" s="424"/>
      <c r="F12" s="424"/>
      <c r="G12" s="425"/>
      <c r="H12" s="270"/>
      <c r="I12" s="1526"/>
      <c r="J12" s="45"/>
      <c r="K12" s="45"/>
      <c r="L12" s="387"/>
      <c r="M12" s="45"/>
      <c r="N12" s="387"/>
      <c r="O12" s="45"/>
      <c r="P12" s="45"/>
      <c r="Q12" s="45"/>
      <c r="R12" s="45"/>
      <c r="S12" s="45"/>
      <c r="T12" s="391"/>
      <c r="U12" s="391"/>
      <c r="V12" s="391"/>
      <c r="W12" s="1526"/>
      <c r="X12" s="391"/>
      <c r="Y12" s="391"/>
      <c r="Z12" s="391"/>
      <c r="AA12" s="391"/>
      <c r="AB12" s="986"/>
      <c r="AC12" s="45"/>
    </row>
    <row r="13" spans="1:34">
      <c r="A13" s="988" t="s">
        <v>16</v>
      </c>
      <c r="B13" s="840">
        <f>D14-E14</f>
        <v>0</v>
      </c>
      <c r="C13" s="841" t="s">
        <v>314</v>
      </c>
      <c r="D13" s="841" t="s">
        <v>315</v>
      </c>
      <c r="E13" s="841" t="s">
        <v>316</v>
      </c>
      <c r="F13" s="436"/>
      <c r="G13" s="436"/>
      <c r="H13" s="271"/>
      <c r="I13" s="1527"/>
      <c r="J13" s="50"/>
      <c r="K13" s="50"/>
      <c r="L13" s="388"/>
      <c r="M13" s="50"/>
      <c r="N13" s="388"/>
      <c r="O13" s="50"/>
      <c r="P13" s="50"/>
      <c r="Q13" s="50"/>
      <c r="R13" s="50"/>
      <c r="S13" s="50"/>
      <c r="T13" s="392"/>
      <c r="U13" s="392"/>
      <c r="V13" s="392"/>
      <c r="W13" s="1527"/>
      <c r="X13" s="392"/>
      <c r="Y13" s="392"/>
      <c r="Z13" s="392"/>
      <c r="AA13" s="392"/>
      <c r="AB13" s="989"/>
      <c r="AC13" s="45"/>
    </row>
    <row r="14" spans="1:34" ht="28.5" customHeight="1">
      <c r="A14" s="990" t="s">
        <v>92</v>
      </c>
      <c r="B14" s="427">
        <f>B16+B22+B28</f>
        <v>2424000000</v>
      </c>
      <c r="C14" s="427"/>
      <c r="D14" s="427"/>
      <c r="E14" s="427"/>
      <c r="F14" s="428"/>
      <c r="G14" s="429"/>
      <c r="H14" s="272"/>
      <c r="I14" s="754"/>
      <c r="J14" s="52"/>
      <c r="K14" s="84"/>
      <c r="L14" s="512"/>
      <c r="M14" s="53"/>
      <c r="N14" s="512"/>
      <c r="O14" s="53"/>
      <c r="P14" s="53"/>
      <c r="Q14" s="53"/>
      <c r="R14" s="53"/>
      <c r="S14" s="53"/>
      <c r="T14" s="393"/>
      <c r="U14" s="393"/>
      <c r="V14" s="393"/>
      <c r="W14" s="380"/>
      <c r="X14" s="393"/>
      <c r="Y14" s="393"/>
      <c r="Z14" s="393"/>
      <c r="AA14" s="393"/>
      <c r="AB14" s="991"/>
      <c r="AC14" s="439"/>
    </row>
    <row r="15" spans="1:34" ht="38.25">
      <c r="A15" s="54" t="s">
        <v>18</v>
      </c>
      <c r="B15" s="55" t="s">
        <v>19</v>
      </c>
      <c r="C15" s="56" t="s">
        <v>20</v>
      </c>
      <c r="D15" s="56" t="s">
        <v>21</v>
      </c>
      <c r="E15" s="56" t="s">
        <v>22</v>
      </c>
      <c r="F15" s="56" t="s">
        <v>379</v>
      </c>
      <c r="G15" s="56" t="s">
        <v>24</v>
      </c>
      <c r="H15" s="273" t="s">
        <v>126</v>
      </c>
      <c r="I15" s="381" t="s">
        <v>279</v>
      </c>
      <c r="J15" s="141" t="s">
        <v>127</v>
      </c>
      <c r="K15" s="6" t="s">
        <v>25</v>
      </c>
      <c r="L15" s="333" t="s">
        <v>128</v>
      </c>
      <c r="M15" s="339" t="s">
        <v>147</v>
      </c>
      <c r="N15" s="333" t="s">
        <v>129</v>
      </c>
      <c r="O15" s="343" t="s">
        <v>130</v>
      </c>
      <c r="P15" s="339" t="s">
        <v>131</v>
      </c>
      <c r="Q15" s="339" t="s">
        <v>132</v>
      </c>
      <c r="R15" s="339" t="s">
        <v>133</v>
      </c>
      <c r="S15" s="339" t="s">
        <v>134</v>
      </c>
      <c r="T15" s="339" t="s">
        <v>135</v>
      </c>
      <c r="U15" s="339" t="s">
        <v>136</v>
      </c>
      <c r="V15" s="339" t="s">
        <v>137</v>
      </c>
      <c r="W15" s="339" t="s">
        <v>138</v>
      </c>
      <c r="X15" s="339" t="s">
        <v>139</v>
      </c>
      <c r="Y15" s="339" t="s">
        <v>140</v>
      </c>
      <c r="Z15" s="400" t="s">
        <v>141</v>
      </c>
      <c r="AA15" s="343" t="s">
        <v>142</v>
      </c>
      <c r="AB15" s="400" t="s">
        <v>143</v>
      </c>
      <c r="AC15" s="385" t="s">
        <v>259</v>
      </c>
      <c r="AD15" s="364" t="s">
        <v>145</v>
      </c>
      <c r="AE15" s="364" t="s">
        <v>146</v>
      </c>
      <c r="AF15" s="825" t="s">
        <v>253</v>
      </c>
      <c r="AG15" s="147" t="s">
        <v>258</v>
      </c>
      <c r="AH15" s="623" t="s">
        <v>277</v>
      </c>
    </row>
    <row r="16" spans="1:34" s="7" customFormat="1" ht="95.25" customHeight="1">
      <c r="A16" s="992" t="s">
        <v>96</v>
      </c>
      <c r="B16" s="201">
        <v>1607100000</v>
      </c>
      <c r="C16" s="981" t="s">
        <v>45</v>
      </c>
      <c r="D16" s="981" t="s">
        <v>50</v>
      </c>
      <c r="E16" s="981" t="s">
        <v>93</v>
      </c>
      <c r="F16" s="981" t="s">
        <v>384</v>
      </c>
      <c r="G16" s="981" t="s">
        <v>95</v>
      </c>
      <c r="H16" s="126"/>
      <c r="I16" s="126"/>
      <c r="J16" s="126"/>
      <c r="K16" s="126"/>
      <c r="L16" s="814"/>
      <c r="M16" s="126"/>
      <c r="N16" s="1465"/>
      <c r="O16" s="126"/>
      <c r="P16" s="126"/>
      <c r="Q16" s="126"/>
      <c r="R16" s="126"/>
      <c r="S16" s="126"/>
      <c r="T16" s="126"/>
      <c r="U16" s="126"/>
      <c r="V16" s="126"/>
      <c r="W16" s="880"/>
      <c r="X16" s="126"/>
      <c r="Y16" s="126"/>
      <c r="Z16" s="993"/>
      <c r="AA16" s="126"/>
      <c r="AB16" s="993"/>
      <c r="AC16" s="126"/>
      <c r="AD16" s="126"/>
      <c r="AE16" s="126"/>
      <c r="AF16" s="814"/>
      <c r="AG16" s="126"/>
      <c r="AH16" s="126"/>
    </row>
    <row r="17" spans="1:35" s="7" customFormat="1" ht="25.5">
      <c r="A17" s="1477" t="s">
        <v>96</v>
      </c>
      <c r="B17" s="820">
        <f>K17</f>
        <v>0</v>
      </c>
      <c r="C17" s="126" t="s">
        <v>45</v>
      </c>
      <c r="D17" s="126" t="s">
        <v>50</v>
      </c>
      <c r="E17" s="126" t="s">
        <v>93</v>
      </c>
      <c r="F17" s="126" t="s">
        <v>384</v>
      </c>
      <c r="G17" s="126" t="s">
        <v>95</v>
      </c>
      <c r="H17" s="818">
        <v>0</v>
      </c>
      <c r="I17" s="819"/>
      <c r="J17" s="260"/>
      <c r="K17" s="262"/>
      <c r="L17" s="390"/>
      <c r="M17" s="822"/>
      <c r="N17" s="1466"/>
      <c r="O17" s="842"/>
      <c r="P17" s="843"/>
      <c r="Q17" s="843"/>
      <c r="R17" s="843"/>
      <c r="S17" s="843"/>
      <c r="T17" s="843"/>
      <c r="U17" s="843"/>
      <c r="V17" s="843"/>
      <c r="W17" s="822"/>
      <c r="X17" s="843"/>
      <c r="Y17" s="843"/>
      <c r="Z17" s="1462"/>
      <c r="AA17" s="311">
        <f>SUM(O17:Z17)</f>
        <v>0</v>
      </c>
      <c r="AB17" s="237">
        <f>M17-AA17</f>
        <v>0</v>
      </c>
      <c r="AC17" s="505"/>
      <c r="AD17" s="839"/>
      <c r="AE17" s="839"/>
      <c r="AF17" s="844"/>
      <c r="AG17" s="445"/>
      <c r="AH17" s="728">
        <f>AG17-M17</f>
        <v>0</v>
      </c>
    </row>
    <row r="18" spans="1:35" s="7" customFormat="1" ht="25.5">
      <c r="A18" s="1477" t="s">
        <v>96</v>
      </c>
      <c r="B18" s="820">
        <f>K18</f>
        <v>0</v>
      </c>
      <c r="C18" s="126" t="s">
        <v>45</v>
      </c>
      <c r="D18" s="126" t="s">
        <v>50</v>
      </c>
      <c r="E18" s="126" t="s">
        <v>93</v>
      </c>
      <c r="F18" s="126" t="s">
        <v>384</v>
      </c>
      <c r="G18" s="126" t="s">
        <v>95</v>
      </c>
      <c r="H18" s="818">
        <v>0</v>
      </c>
      <c r="I18" s="819"/>
      <c r="J18" s="260"/>
      <c r="K18" s="262"/>
      <c r="L18" s="390"/>
      <c r="M18" s="822"/>
      <c r="N18" s="1466"/>
      <c r="O18" s="842"/>
      <c r="P18" s="843"/>
      <c r="Q18" s="843"/>
      <c r="R18" s="843"/>
      <c r="S18" s="843"/>
      <c r="T18" s="843"/>
      <c r="U18" s="843"/>
      <c r="V18" s="843"/>
      <c r="W18" s="822"/>
      <c r="X18" s="843"/>
      <c r="Y18" s="843"/>
      <c r="Z18" s="1462"/>
      <c r="AA18" s="311">
        <f>SUM(O18:Z18)</f>
        <v>0</v>
      </c>
      <c r="AB18" s="237">
        <f>M18-AA18</f>
        <v>0</v>
      </c>
      <c r="AC18" s="506"/>
      <c r="AD18" s="839"/>
      <c r="AE18" s="839"/>
      <c r="AF18" s="844"/>
      <c r="AG18" s="445"/>
      <c r="AH18" s="728">
        <f>AG18-M18</f>
        <v>0</v>
      </c>
    </row>
    <row r="19" spans="1:35" s="7" customFormat="1" ht="25.5">
      <c r="A19" s="1477" t="s">
        <v>96</v>
      </c>
      <c r="B19" s="820">
        <f>K19</f>
        <v>0</v>
      </c>
      <c r="C19" s="126" t="s">
        <v>45</v>
      </c>
      <c r="D19" s="126" t="s">
        <v>50</v>
      </c>
      <c r="E19" s="126" t="s">
        <v>93</v>
      </c>
      <c r="F19" s="126" t="s">
        <v>384</v>
      </c>
      <c r="G19" s="126" t="s">
        <v>95</v>
      </c>
      <c r="H19" s="818">
        <v>0</v>
      </c>
      <c r="I19" s="819"/>
      <c r="J19" s="260"/>
      <c r="K19" s="262"/>
      <c r="L19" s="390"/>
      <c r="M19" s="822"/>
      <c r="N19" s="1466"/>
      <c r="O19" s="842"/>
      <c r="P19" s="843"/>
      <c r="Q19" s="843"/>
      <c r="R19" s="843"/>
      <c r="S19" s="843"/>
      <c r="T19" s="843"/>
      <c r="U19" s="843"/>
      <c r="V19" s="843"/>
      <c r="W19" s="822"/>
      <c r="X19" s="843"/>
      <c r="Y19" s="843"/>
      <c r="Z19" s="1462"/>
      <c r="AA19" s="311">
        <f t="shared" ref="AA19:AA20" si="0">SUM(O19:Z19)</f>
        <v>0</v>
      </c>
      <c r="AB19" s="237">
        <f t="shared" ref="AB19:AB20" si="1">M19-AA19</f>
        <v>0</v>
      </c>
      <c r="AC19" s="505"/>
      <c r="AD19" s="839"/>
      <c r="AE19" s="839"/>
      <c r="AF19" s="844"/>
      <c r="AG19" s="445"/>
      <c r="AH19" s="728">
        <f t="shared" ref="AH19:AH20" si="2">AG19-M19</f>
        <v>0</v>
      </c>
    </row>
    <row r="20" spans="1:35" s="7" customFormat="1" ht="25.5">
      <c r="A20" s="1477" t="s">
        <v>96</v>
      </c>
      <c r="B20" s="820">
        <f t="shared" ref="B20" si="3">K20</f>
        <v>0</v>
      </c>
      <c r="C20" s="126" t="s">
        <v>45</v>
      </c>
      <c r="D20" s="126" t="s">
        <v>50</v>
      </c>
      <c r="E20" s="126" t="s">
        <v>93</v>
      </c>
      <c r="F20" s="126" t="s">
        <v>384</v>
      </c>
      <c r="G20" s="126" t="s">
        <v>95</v>
      </c>
      <c r="H20" s="818">
        <v>0</v>
      </c>
      <c r="I20" s="819"/>
      <c r="J20" s="260"/>
      <c r="K20" s="262"/>
      <c r="L20" s="390"/>
      <c r="M20" s="822"/>
      <c r="N20" s="1466"/>
      <c r="O20" s="842"/>
      <c r="P20" s="843"/>
      <c r="Q20" s="843"/>
      <c r="R20" s="843"/>
      <c r="S20" s="843"/>
      <c r="T20" s="843"/>
      <c r="U20" s="843"/>
      <c r="V20" s="843"/>
      <c r="W20" s="822"/>
      <c r="X20" s="843"/>
      <c r="Y20" s="843"/>
      <c r="Z20" s="1462"/>
      <c r="AA20" s="311">
        <f t="shared" si="0"/>
        <v>0</v>
      </c>
      <c r="AB20" s="237">
        <f t="shared" si="1"/>
        <v>0</v>
      </c>
      <c r="AC20" s="506"/>
      <c r="AD20" s="839"/>
      <c r="AE20" s="839"/>
      <c r="AF20" s="844"/>
      <c r="AG20" s="445"/>
      <c r="AH20" s="728">
        <f t="shared" si="2"/>
        <v>0</v>
      </c>
    </row>
    <row r="21" spans="1:35" s="9" customFormat="1">
      <c r="A21" s="213" t="s">
        <v>32</v>
      </c>
      <c r="B21" s="219">
        <f>B16-SUM(B17:B20)</f>
        <v>1607100000</v>
      </c>
      <c r="C21" s="106"/>
      <c r="D21" s="106"/>
      <c r="E21" s="106"/>
      <c r="F21" s="106"/>
      <c r="G21" s="107"/>
      <c r="H21" s="275"/>
      <c r="I21" s="756"/>
      <c r="J21" s="63"/>
      <c r="K21" s="64">
        <f>SUM(K17:K20)</f>
        <v>0</v>
      </c>
      <c r="L21" s="513"/>
      <c r="M21" s="64">
        <f>SUM(M17:M20)</f>
        <v>0</v>
      </c>
      <c r="N21" s="1467"/>
      <c r="O21" s="360">
        <f t="shared" ref="O21:AB21" si="4">SUM(O17:O20)</f>
        <v>0</v>
      </c>
      <c r="P21" s="64">
        <f t="shared" si="4"/>
        <v>0</v>
      </c>
      <c r="Q21" s="64">
        <f t="shared" si="4"/>
        <v>0</v>
      </c>
      <c r="R21" s="64">
        <f t="shared" si="4"/>
        <v>0</v>
      </c>
      <c r="S21" s="64">
        <f t="shared" si="4"/>
        <v>0</v>
      </c>
      <c r="T21" s="64">
        <f t="shared" si="4"/>
        <v>0</v>
      </c>
      <c r="U21" s="64">
        <f t="shared" si="4"/>
        <v>0</v>
      </c>
      <c r="V21" s="64">
        <f t="shared" si="4"/>
        <v>0</v>
      </c>
      <c r="W21" s="64">
        <f t="shared" si="4"/>
        <v>0</v>
      </c>
      <c r="X21" s="64">
        <f t="shared" si="4"/>
        <v>0</v>
      </c>
      <c r="Y21" s="64">
        <f t="shared" si="4"/>
        <v>0</v>
      </c>
      <c r="Z21" s="235">
        <f t="shared" si="4"/>
        <v>0</v>
      </c>
      <c r="AA21" s="360">
        <f t="shared" si="4"/>
        <v>0</v>
      </c>
      <c r="AB21" s="235">
        <f t="shared" si="4"/>
        <v>0</v>
      </c>
      <c r="AC21" s="507"/>
      <c r="AD21" s="442"/>
      <c r="AE21" s="442"/>
      <c r="AF21" s="827"/>
      <c r="AG21" s="64">
        <f>SUM(AG17:AG20)</f>
        <v>0</v>
      </c>
      <c r="AH21" s="64">
        <f>SUM(AH17:AH20)</f>
        <v>0</v>
      </c>
      <c r="AI21" s="447">
        <f>B16-AG21</f>
        <v>1607100000</v>
      </c>
    </row>
    <row r="22" spans="1:35" s="7" customFormat="1" ht="63.75">
      <c r="A22" s="905" t="s">
        <v>98</v>
      </c>
      <c r="B22" s="201">
        <v>594040000</v>
      </c>
      <c r="C22" s="982" t="s">
        <v>45</v>
      </c>
      <c r="D22" s="982" t="s">
        <v>50</v>
      </c>
      <c r="E22" s="982" t="s">
        <v>93</v>
      </c>
      <c r="F22" s="982" t="s">
        <v>97</v>
      </c>
      <c r="G22" s="982" t="s">
        <v>95</v>
      </c>
      <c r="H22" s="846"/>
      <c r="I22" s="847"/>
      <c r="J22" s="730"/>
      <c r="K22" s="731"/>
      <c r="L22" s="732"/>
      <c r="M22" s="848"/>
      <c r="N22" s="1468"/>
      <c r="O22" s="849"/>
      <c r="P22" s="850"/>
      <c r="Q22" s="850"/>
      <c r="R22" s="850"/>
      <c r="S22" s="850"/>
      <c r="T22" s="850"/>
      <c r="U22" s="850"/>
      <c r="V22" s="850"/>
      <c r="W22" s="848"/>
      <c r="X22" s="850"/>
      <c r="Y22" s="850"/>
      <c r="Z22" s="851"/>
      <c r="AA22" s="849"/>
      <c r="AB22" s="851"/>
      <c r="AC22" s="852"/>
      <c r="AD22" s="647"/>
      <c r="AE22" s="647"/>
      <c r="AF22" s="828"/>
      <c r="AG22" s="738"/>
      <c r="AH22" s="649"/>
    </row>
    <row r="23" spans="1:35" s="7" customFormat="1" ht="25.5">
      <c r="A23" s="1478" t="s">
        <v>98</v>
      </c>
      <c r="B23" s="1460">
        <f>I23</f>
        <v>0</v>
      </c>
      <c r="C23" s="845" t="s">
        <v>45</v>
      </c>
      <c r="D23" s="845" t="s">
        <v>50</v>
      </c>
      <c r="E23" s="845" t="s">
        <v>93</v>
      </c>
      <c r="F23" s="845" t="s">
        <v>97</v>
      </c>
      <c r="G23" s="845" t="s">
        <v>95</v>
      </c>
      <c r="H23" s="818">
        <v>0</v>
      </c>
      <c r="I23" s="819"/>
      <c r="J23" s="1461"/>
      <c r="K23" s="85"/>
      <c r="L23" s="389"/>
      <c r="M23" s="822"/>
      <c r="N23" s="1469"/>
      <c r="O23" s="842"/>
      <c r="P23" s="843"/>
      <c r="Q23" s="843"/>
      <c r="R23" s="843"/>
      <c r="S23" s="843"/>
      <c r="T23" s="843"/>
      <c r="U23" s="843"/>
      <c r="V23" s="843"/>
      <c r="W23" s="822"/>
      <c r="X23" s="843"/>
      <c r="Y23" s="843"/>
      <c r="Z23" s="1462"/>
      <c r="AA23" s="842"/>
      <c r="AB23" s="1462"/>
      <c r="AC23" s="1463"/>
      <c r="AD23" s="335"/>
      <c r="AE23" s="335"/>
      <c r="AF23" s="1464"/>
      <c r="AG23" s="445"/>
    </row>
    <row r="24" spans="1:35" s="7" customFormat="1" ht="25.5">
      <c r="A24" s="1478" t="s">
        <v>98</v>
      </c>
      <c r="B24" s="1460">
        <f t="shared" ref="B24:B26" si="5">I24</f>
        <v>0</v>
      </c>
      <c r="C24" s="845" t="s">
        <v>45</v>
      </c>
      <c r="D24" s="845" t="s">
        <v>50</v>
      </c>
      <c r="E24" s="845" t="s">
        <v>93</v>
      </c>
      <c r="F24" s="845" t="s">
        <v>97</v>
      </c>
      <c r="G24" s="845" t="s">
        <v>95</v>
      </c>
      <c r="H24" s="818">
        <v>0</v>
      </c>
      <c r="I24" s="819"/>
      <c r="J24" s="1461"/>
      <c r="K24" s="85"/>
      <c r="L24" s="389"/>
      <c r="M24" s="822"/>
      <c r="N24" s="1469"/>
      <c r="O24" s="842"/>
      <c r="P24" s="843"/>
      <c r="Q24" s="843"/>
      <c r="R24" s="843"/>
      <c r="S24" s="843"/>
      <c r="T24" s="843"/>
      <c r="U24" s="843"/>
      <c r="V24" s="843"/>
      <c r="W24" s="822"/>
      <c r="X24" s="843"/>
      <c r="Y24" s="843"/>
      <c r="Z24" s="1462"/>
      <c r="AA24" s="842"/>
      <c r="AB24" s="1462"/>
      <c r="AC24" s="1463"/>
      <c r="AD24" s="335"/>
      <c r="AE24" s="335"/>
      <c r="AF24" s="1464"/>
      <c r="AG24" s="445"/>
    </row>
    <row r="25" spans="1:35" s="9" customFormat="1" ht="25.5">
      <c r="A25" s="1478" t="s">
        <v>98</v>
      </c>
      <c r="B25" s="1460">
        <f t="shared" si="5"/>
        <v>0</v>
      </c>
      <c r="C25" s="845" t="s">
        <v>45</v>
      </c>
      <c r="D25" s="845" t="s">
        <v>50</v>
      </c>
      <c r="E25" s="845" t="s">
        <v>93</v>
      </c>
      <c r="F25" s="845" t="s">
        <v>97</v>
      </c>
      <c r="G25" s="845" t="s">
        <v>95</v>
      </c>
      <c r="H25" s="818">
        <v>0</v>
      </c>
      <c r="I25" s="819"/>
      <c r="J25" s="260"/>
      <c r="K25" s="262"/>
      <c r="L25" s="390"/>
      <c r="M25" s="822"/>
      <c r="N25" s="1470"/>
      <c r="O25" s="842"/>
      <c r="P25" s="822"/>
      <c r="Q25" s="822"/>
      <c r="R25" s="822"/>
      <c r="S25" s="822"/>
      <c r="T25" s="843"/>
      <c r="U25" s="843"/>
      <c r="V25" s="843"/>
      <c r="W25" s="822"/>
      <c r="X25" s="843"/>
      <c r="Y25" s="843"/>
      <c r="Z25" s="1462"/>
      <c r="AA25" s="311">
        <f>SUM(O25:Z25)</f>
        <v>0</v>
      </c>
      <c r="AB25" s="237">
        <f>M25-AA25</f>
        <v>0</v>
      </c>
      <c r="AC25" s="505"/>
      <c r="AD25" s="336"/>
      <c r="AE25" s="336"/>
      <c r="AF25" s="809"/>
      <c r="AG25" s="445"/>
      <c r="AH25" s="728">
        <f>AG25-M25</f>
        <v>0</v>
      </c>
    </row>
    <row r="26" spans="1:35" s="9" customFormat="1" ht="25.5">
      <c r="A26" s="1478" t="s">
        <v>98</v>
      </c>
      <c r="B26" s="1460">
        <f t="shared" si="5"/>
        <v>0</v>
      </c>
      <c r="C26" s="845" t="s">
        <v>45</v>
      </c>
      <c r="D26" s="845" t="s">
        <v>50</v>
      </c>
      <c r="E26" s="845" t="s">
        <v>93</v>
      </c>
      <c r="F26" s="845" t="s">
        <v>97</v>
      </c>
      <c r="G26" s="845" t="s">
        <v>95</v>
      </c>
      <c r="H26" s="818">
        <v>0</v>
      </c>
      <c r="I26" s="819"/>
      <c r="J26" s="58"/>
      <c r="K26" s="58"/>
      <c r="L26" s="389"/>
      <c r="M26" s="822"/>
      <c r="N26" s="1470"/>
      <c r="O26" s="842"/>
      <c r="P26" s="843"/>
      <c r="Q26" s="843"/>
      <c r="R26" s="843"/>
      <c r="S26" s="843"/>
      <c r="T26" s="843"/>
      <c r="U26" s="843"/>
      <c r="V26" s="843"/>
      <c r="W26" s="822"/>
      <c r="X26" s="843"/>
      <c r="Y26" s="843"/>
      <c r="Z26" s="1462"/>
      <c r="AA26" s="311">
        <f>SUM(O26:Z26)</f>
        <v>0</v>
      </c>
      <c r="AB26" s="237">
        <f>M26-AA26</f>
        <v>0</v>
      </c>
      <c r="AC26" s="505"/>
      <c r="AD26" s="336"/>
      <c r="AE26" s="336"/>
      <c r="AF26" s="809"/>
      <c r="AG26" s="445"/>
      <c r="AH26" s="728">
        <f>AG26-M26</f>
        <v>0</v>
      </c>
    </row>
    <row r="27" spans="1:35" s="9" customFormat="1">
      <c r="A27" s="214" t="s">
        <v>32</v>
      </c>
      <c r="B27" s="216">
        <f>B22-SUM(B23:B26)</f>
        <v>594040000</v>
      </c>
      <c r="C27" s="108"/>
      <c r="D27" s="108"/>
      <c r="E27" s="108"/>
      <c r="F27" s="108"/>
      <c r="G27" s="109"/>
      <c r="H27" s="277"/>
      <c r="I27" s="399"/>
      <c r="J27" s="66"/>
      <c r="K27" s="15">
        <f>SUM(K25:K26)</f>
        <v>0</v>
      </c>
      <c r="L27" s="136"/>
      <c r="M27" s="15">
        <f>SUM(M25:M26)</f>
        <v>0</v>
      </c>
      <c r="N27" s="1471"/>
      <c r="O27" s="323">
        <f t="shared" ref="O27:AB27" si="6">SUM(O25:O26)</f>
        <v>0</v>
      </c>
      <c r="P27" s="15">
        <f t="shared" si="6"/>
        <v>0</v>
      </c>
      <c r="Q27" s="15">
        <f t="shared" si="6"/>
        <v>0</v>
      </c>
      <c r="R27" s="15">
        <f t="shared" si="6"/>
        <v>0</v>
      </c>
      <c r="S27" s="15">
        <f t="shared" si="6"/>
        <v>0</v>
      </c>
      <c r="T27" s="15">
        <f t="shared" si="6"/>
        <v>0</v>
      </c>
      <c r="U27" s="15">
        <f t="shared" si="6"/>
        <v>0</v>
      </c>
      <c r="V27" s="15">
        <f t="shared" si="6"/>
        <v>0</v>
      </c>
      <c r="W27" s="15">
        <f t="shared" si="6"/>
        <v>0</v>
      </c>
      <c r="X27" s="15">
        <f t="shared" si="6"/>
        <v>0</v>
      </c>
      <c r="Y27" s="15">
        <f t="shared" si="6"/>
        <v>0</v>
      </c>
      <c r="Z27" s="236">
        <f t="shared" si="6"/>
        <v>0</v>
      </c>
      <c r="AA27" s="323">
        <f t="shared" si="6"/>
        <v>0</v>
      </c>
      <c r="AB27" s="236">
        <f t="shared" si="6"/>
        <v>0</v>
      </c>
      <c r="AC27" s="458"/>
      <c r="AD27" s="442"/>
      <c r="AE27" s="442"/>
      <c r="AF27" s="827"/>
      <c r="AG27" s="15">
        <f>SUM(AG25:AG26)</f>
        <v>0</v>
      </c>
      <c r="AH27" s="15">
        <f>SUM(AH25:AH26)</f>
        <v>0</v>
      </c>
      <c r="AI27" s="447">
        <f>B22-AG27</f>
        <v>594040000</v>
      </c>
    </row>
    <row r="28" spans="1:35" s="7" customFormat="1" ht="97.5" customHeight="1">
      <c r="A28" s="994" t="s">
        <v>100</v>
      </c>
      <c r="B28" s="201">
        <v>222860000</v>
      </c>
      <c r="C28" s="983" t="s">
        <v>45</v>
      </c>
      <c r="D28" s="983" t="s">
        <v>50</v>
      </c>
      <c r="E28" s="983" t="s">
        <v>93</v>
      </c>
      <c r="F28" s="983" t="s">
        <v>385</v>
      </c>
      <c r="G28" s="983" t="s">
        <v>95</v>
      </c>
      <c r="H28" s="853">
        <v>0</v>
      </c>
      <c r="I28" s="854"/>
      <c r="J28" s="853"/>
      <c r="K28" s="853"/>
      <c r="L28" s="855"/>
      <c r="M28" s="853"/>
      <c r="N28" s="1472"/>
      <c r="O28" s="984"/>
      <c r="P28" s="853"/>
      <c r="Q28" s="853"/>
      <c r="R28" s="853"/>
      <c r="S28" s="853"/>
      <c r="T28" s="853"/>
      <c r="U28" s="853"/>
      <c r="V28" s="854"/>
      <c r="W28" s="881"/>
      <c r="X28" s="854"/>
      <c r="Y28" s="854"/>
      <c r="Z28" s="995"/>
      <c r="AA28" s="1475"/>
      <c r="AB28" s="995"/>
      <c r="AC28" s="984"/>
      <c r="AD28" s="853"/>
      <c r="AE28" s="853"/>
      <c r="AF28" s="855"/>
      <c r="AG28" s="853"/>
      <c r="AH28" s="853"/>
    </row>
    <row r="29" spans="1:35" s="975" customFormat="1">
      <c r="A29" s="1538" t="s">
        <v>100</v>
      </c>
      <c r="B29" s="821">
        <f>K29</f>
        <v>0</v>
      </c>
      <c r="C29" s="853" t="s">
        <v>45</v>
      </c>
      <c r="D29" s="853" t="s">
        <v>50</v>
      </c>
      <c r="E29" s="853" t="s">
        <v>93</v>
      </c>
      <c r="F29" s="853" t="s">
        <v>385</v>
      </c>
      <c r="G29" s="853" t="s">
        <v>95</v>
      </c>
      <c r="H29" s="1539">
        <v>0</v>
      </c>
      <c r="I29" s="1494"/>
      <c r="J29" s="1540"/>
      <c r="K29" s="788"/>
      <c r="L29" s="1541"/>
      <c r="M29" s="822"/>
      <c r="N29" s="1470"/>
      <c r="O29" s="1542"/>
      <c r="P29" s="1543"/>
      <c r="Q29" s="1543"/>
      <c r="R29" s="1543"/>
      <c r="S29" s="1543"/>
      <c r="T29" s="1543"/>
      <c r="U29" s="1543"/>
      <c r="V29" s="1543"/>
      <c r="W29" s="822"/>
      <c r="X29" s="1543"/>
      <c r="Y29" s="1543"/>
      <c r="Z29" s="1544"/>
      <c r="AA29" s="311">
        <f>SUM(O29:Z29)</f>
        <v>0</v>
      </c>
      <c r="AB29" s="237">
        <f>M29-AA29</f>
        <v>0</v>
      </c>
      <c r="AC29" s="505"/>
      <c r="AD29" s="1425"/>
      <c r="AE29" s="1425"/>
      <c r="AF29" s="809"/>
      <c r="AG29" s="1427"/>
      <c r="AH29" s="1545">
        <f>AG29-M29</f>
        <v>0</v>
      </c>
    </row>
    <row r="30" spans="1:35" s="975" customFormat="1">
      <c r="A30" s="1538" t="s">
        <v>100</v>
      </c>
      <c r="B30" s="821">
        <f>K30</f>
        <v>0</v>
      </c>
      <c r="C30" s="853" t="s">
        <v>45</v>
      </c>
      <c r="D30" s="853" t="s">
        <v>50</v>
      </c>
      <c r="E30" s="853" t="s">
        <v>93</v>
      </c>
      <c r="F30" s="853" t="s">
        <v>385</v>
      </c>
      <c r="G30" s="853" t="s">
        <v>95</v>
      </c>
      <c r="H30" s="1539">
        <v>0</v>
      </c>
      <c r="I30" s="1494"/>
      <c r="J30" s="1540"/>
      <c r="K30" s="788"/>
      <c r="L30" s="1541"/>
      <c r="M30" s="822"/>
      <c r="N30" s="1470"/>
      <c r="O30" s="1542"/>
      <c r="P30" s="1543"/>
      <c r="Q30" s="1543"/>
      <c r="R30" s="1543"/>
      <c r="S30" s="1543"/>
      <c r="T30" s="1543"/>
      <c r="U30" s="1543"/>
      <c r="V30" s="1543"/>
      <c r="W30" s="822"/>
      <c r="X30" s="1543"/>
      <c r="Y30" s="1543"/>
      <c r="Z30" s="1544"/>
      <c r="AA30" s="311">
        <f>SUM(O30:Z30)</f>
        <v>0</v>
      </c>
      <c r="AB30" s="237">
        <f>M30-AA30</f>
        <v>0</v>
      </c>
      <c r="AC30" s="505"/>
      <c r="AD30" s="1425"/>
      <c r="AE30" s="1425"/>
      <c r="AF30" s="809"/>
      <c r="AG30" s="1427"/>
      <c r="AH30" s="1545">
        <f>AG30-M30</f>
        <v>0</v>
      </c>
    </row>
    <row r="31" spans="1:35" s="975" customFormat="1">
      <c r="A31" s="1538" t="s">
        <v>100</v>
      </c>
      <c r="B31" s="821">
        <f>K31</f>
        <v>0</v>
      </c>
      <c r="C31" s="853" t="s">
        <v>45</v>
      </c>
      <c r="D31" s="853" t="s">
        <v>50</v>
      </c>
      <c r="E31" s="853" t="s">
        <v>93</v>
      </c>
      <c r="F31" s="853" t="s">
        <v>385</v>
      </c>
      <c r="G31" s="853" t="s">
        <v>95</v>
      </c>
      <c r="H31" s="1539">
        <v>0</v>
      </c>
      <c r="I31" s="1494"/>
      <c r="J31" s="1540"/>
      <c r="K31" s="788"/>
      <c r="L31" s="1541"/>
      <c r="M31" s="822"/>
      <c r="N31" s="1470"/>
      <c r="O31" s="1542"/>
      <c r="P31" s="1543"/>
      <c r="Q31" s="1543"/>
      <c r="R31" s="1543"/>
      <c r="S31" s="1543"/>
      <c r="T31" s="1543"/>
      <c r="U31" s="1543"/>
      <c r="V31" s="1543"/>
      <c r="W31" s="822"/>
      <c r="X31" s="1543"/>
      <c r="Y31" s="1543"/>
      <c r="Z31" s="1544"/>
      <c r="AA31" s="311"/>
      <c r="AB31" s="237"/>
      <c r="AC31" s="505"/>
      <c r="AD31" s="1425"/>
      <c r="AE31" s="1425"/>
      <c r="AF31" s="809"/>
      <c r="AG31" s="1427"/>
      <c r="AH31" s="1545">
        <f>AG31-M31</f>
        <v>0</v>
      </c>
    </row>
    <row r="32" spans="1:35" s="975" customFormat="1">
      <c r="A32" s="1538" t="s">
        <v>100</v>
      </c>
      <c r="B32" s="821">
        <f>K32</f>
        <v>0</v>
      </c>
      <c r="C32" s="853" t="s">
        <v>45</v>
      </c>
      <c r="D32" s="853" t="s">
        <v>50</v>
      </c>
      <c r="E32" s="853" t="s">
        <v>93</v>
      </c>
      <c r="F32" s="853" t="s">
        <v>385</v>
      </c>
      <c r="G32" s="853" t="s">
        <v>95</v>
      </c>
      <c r="H32" s="1539">
        <v>0</v>
      </c>
      <c r="I32" s="1494"/>
      <c r="J32" s="1546"/>
      <c r="K32" s="1546"/>
      <c r="L32" s="1547"/>
      <c r="M32" s="822"/>
      <c r="N32" s="1470"/>
      <c r="O32" s="1542"/>
      <c r="P32" s="1543"/>
      <c r="Q32" s="1543"/>
      <c r="R32" s="1543"/>
      <c r="S32" s="1543"/>
      <c r="T32" s="1543"/>
      <c r="U32" s="1543"/>
      <c r="V32" s="1543"/>
      <c r="W32" s="822"/>
      <c r="X32" s="1543"/>
      <c r="Y32" s="1543"/>
      <c r="Z32" s="1544"/>
      <c r="AA32" s="311">
        <f>SUM(O32:Z32)</f>
        <v>0</v>
      </c>
      <c r="AB32" s="237">
        <f>M32-AA32</f>
        <v>0</v>
      </c>
      <c r="AC32" s="505"/>
      <c r="AD32" s="1425"/>
      <c r="AE32" s="1425"/>
      <c r="AF32" s="809"/>
      <c r="AG32" s="1427"/>
      <c r="AH32" s="1545">
        <f>AG32-M32</f>
        <v>0</v>
      </c>
    </row>
    <row r="33" spans="1:35">
      <c r="A33" s="202" t="s">
        <v>32</v>
      </c>
      <c r="B33" s="59">
        <f>B28-SUM(B29:B32)</f>
        <v>222860000</v>
      </c>
      <c r="C33" s="67"/>
      <c r="D33" s="67"/>
      <c r="E33" s="67"/>
      <c r="F33" s="67"/>
      <c r="G33" s="68"/>
      <c r="H33" s="275"/>
      <c r="I33" s="756"/>
      <c r="J33" s="63"/>
      <c r="K33" s="64">
        <f>SUM(K29:K32)</f>
        <v>0</v>
      </c>
      <c r="L33" s="513"/>
      <c r="M33" s="64">
        <f>SUM(M29:M32)</f>
        <v>0</v>
      </c>
      <c r="N33" s="1467"/>
      <c r="O33" s="360">
        <f t="shared" ref="O33:AB33" si="7">SUM(O29:O32)</f>
        <v>0</v>
      </c>
      <c r="P33" s="64">
        <f t="shared" si="7"/>
        <v>0</v>
      </c>
      <c r="Q33" s="64">
        <f t="shared" si="7"/>
        <v>0</v>
      </c>
      <c r="R33" s="64">
        <f t="shared" si="7"/>
        <v>0</v>
      </c>
      <c r="S33" s="64">
        <f t="shared" si="7"/>
        <v>0</v>
      </c>
      <c r="T33" s="64">
        <f t="shared" si="7"/>
        <v>0</v>
      </c>
      <c r="U33" s="64">
        <f t="shared" si="7"/>
        <v>0</v>
      </c>
      <c r="V33" s="64">
        <f t="shared" si="7"/>
        <v>0</v>
      </c>
      <c r="W33" s="64">
        <f t="shared" si="7"/>
        <v>0</v>
      </c>
      <c r="X33" s="64">
        <f t="shared" si="7"/>
        <v>0</v>
      </c>
      <c r="Y33" s="64">
        <f t="shared" si="7"/>
        <v>0</v>
      </c>
      <c r="Z33" s="235">
        <f t="shared" si="7"/>
        <v>0</v>
      </c>
      <c r="AA33" s="360">
        <f t="shared" si="7"/>
        <v>0</v>
      </c>
      <c r="AB33" s="235">
        <f t="shared" si="7"/>
        <v>0</v>
      </c>
      <c r="AC33" s="448"/>
      <c r="AD33" s="449"/>
      <c r="AE33" s="449"/>
      <c r="AF33" s="829"/>
      <c r="AG33" s="64">
        <f>SUM(AG29:AG32)</f>
        <v>0</v>
      </c>
      <c r="AH33" s="64">
        <f>SUM(AH29:AH32)</f>
        <v>0</v>
      </c>
      <c r="AI33" s="31">
        <f>B28-AG33</f>
        <v>222860000</v>
      </c>
    </row>
    <row r="34" spans="1:35" s="9" customFormat="1">
      <c r="A34" s="996"/>
      <c r="B34" s="226"/>
      <c r="C34" s="352"/>
      <c r="D34" s="353"/>
      <c r="E34" s="352"/>
      <c r="F34" s="352"/>
      <c r="G34" s="354"/>
      <c r="H34" s="355"/>
      <c r="I34" s="775"/>
      <c r="J34" s="228"/>
      <c r="K34" s="190"/>
      <c r="L34" s="514"/>
      <c r="M34" s="856"/>
      <c r="N34" s="1473"/>
      <c r="O34" s="857"/>
      <c r="P34" s="858"/>
      <c r="Q34" s="858"/>
      <c r="R34" s="858"/>
      <c r="S34" s="858"/>
      <c r="T34" s="858"/>
      <c r="U34" s="858"/>
      <c r="V34" s="858"/>
      <c r="W34" s="856"/>
      <c r="X34" s="858"/>
      <c r="Y34" s="858"/>
      <c r="Z34" s="859"/>
      <c r="AA34" s="857"/>
      <c r="AB34" s="859"/>
      <c r="AC34" s="860"/>
      <c r="AF34" s="830"/>
      <c r="AG34" s="444"/>
    </row>
    <row r="35" spans="1:35">
      <c r="A35" s="909" t="s">
        <v>383</v>
      </c>
      <c r="B35" s="95">
        <f>B16+B22+B28</f>
        <v>2424000000</v>
      </c>
      <c r="C35" s="16"/>
      <c r="D35" s="17"/>
      <c r="E35" s="16"/>
      <c r="F35" s="16"/>
      <c r="G35" s="18"/>
      <c r="H35" s="337"/>
      <c r="I35" s="784"/>
      <c r="J35" s="16"/>
      <c r="K35" s="19">
        <f>K21+K27+K33</f>
        <v>0</v>
      </c>
      <c r="L35" s="515"/>
      <c r="M35" s="19">
        <f>M21+M27+M33</f>
        <v>0</v>
      </c>
      <c r="N35" s="1474"/>
      <c r="O35" s="362">
        <f t="shared" ref="O35:AB35" si="8">O21+O27+O33</f>
        <v>0</v>
      </c>
      <c r="P35" s="19">
        <f t="shared" si="8"/>
        <v>0</v>
      </c>
      <c r="Q35" s="19">
        <f t="shared" si="8"/>
        <v>0</v>
      </c>
      <c r="R35" s="19">
        <f t="shared" si="8"/>
        <v>0</v>
      </c>
      <c r="S35" s="19">
        <f t="shared" si="8"/>
        <v>0</v>
      </c>
      <c r="T35" s="145">
        <f t="shared" si="8"/>
        <v>0</v>
      </c>
      <c r="U35" s="145">
        <f t="shared" si="8"/>
        <v>0</v>
      </c>
      <c r="V35" s="145">
        <f t="shared" si="8"/>
        <v>0</v>
      </c>
      <c r="W35" s="145">
        <f t="shared" si="8"/>
        <v>0</v>
      </c>
      <c r="X35" s="145">
        <f t="shared" si="8"/>
        <v>0</v>
      </c>
      <c r="Y35" s="145">
        <f t="shared" si="8"/>
        <v>0</v>
      </c>
      <c r="Z35" s="523">
        <f t="shared" si="8"/>
        <v>0</v>
      </c>
      <c r="AA35" s="1476">
        <f t="shared" si="8"/>
        <v>0</v>
      </c>
      <c r="AB35" s="523">
        <f t="shared" si="8"/>
        <v>0</v>
      </c>
      <c r="AC35" s="739"/>
      <c r="AD35" s="727"/>
      <c r="AE35" s="727"/>
      <c r="AF35" s="831"/>
      <c r="AG35" s="19">
        <f>AG21+AG27+AG33</f>
        <v>0</v>
      </c>
      <c r="AH35" s="19">
        <f>AH21+AH27+AH33</f>
        <v>0</v>
      </c>
      <c r="AI35" s="707" t="e">
        <f>AH35/AG35</f>
        <v>#DIV/0!</v>
      </c>
    </row>
    <row r="36" spans="1:35" hidden="1">
      <c r="A36" s="20"/>
      <c r="B36" s="96"/>
      <c r="C36" s="1528"/>
      <c r="D36" s="1528"/>
      <c r="E36" s="1528"/>
      <c r="F36" s="1528"/>
      <c r="G36" s="1528"/>
      <c r="H36" s="281"/>
      <c r="I36" s="161"/>
      <c r="J36" s="1528"/>
      <c r="K36" s="23"/>
      <c r="L36" s="138"/>
      <c r="M36" s="997"/>
      <c r="N36" s="998"/>
      <c r="O36" s="999"/>
      <c r="P36" s="999"/>
      <c r="Q36" s="999"/>
      <c r="R36" s="999"/>
      <c r="S36" s="999"/>
      <c r="T36" s="999"/>
      <c r="U36" s="999"/>
      <c r="V36" s="999"/>
      <c r="W36" s="997"/>
      <c r="X36" s="999"/>
      <c r="Y36" s="999"/>
      <c r="Z36" s="999"/>
      <c r="AA36" s="999"/>
      <c r="AB36" s="1000"/>
    </row>
    <row r="37" spans="1:35" hidden="1">
      <c r="A37" s="20"/>
      <c r="B37" s="96"/>
      <c r="C37" s="1528"/>
      <c r="D37" s="1528"/>
      <c r="E37" s="1528"/>
      <c r="F37" s="1528"/>
      <c r="G37" s="1528"/>
      <c r="H37" s="281"/>
      <c r="I37" s="161"/>
      <c r="J37" s="1528"/>
      <c r="K37" s="23"/>
      <c r="L37" s="138"/>
      <c r="M37" s="997"/>
      <c r="N37" s="998"/>
      <c r="O37" s="999"/>
      <c r="P37" s="999"/>
      <c r="Q37" s="999"/>
      <c r="R37" s="999"/>
      <c r="S37" s="999"/>
      <c r="T37" s="999"/>
      <c r="U37" s="999"/>
      <c r="V37" s="999"/>
      <c r="W37" s="997"/>
      <c r="X37" s="999"/>
      <c r="Y37" s="999"/>
      <c r="Z37" s="999"/>
      <c r="AA37" s="999"/>
      <c r="AB37" s="1000"/>
    </row>
    <row r="38" spans="1:35">
      <c r="A38" s="20"/>
      <c r="B38" s="96"/>
      <c r="C38" s="1528"/>
      <c r="D38" s="1528"/>
      <c r="E38" s="1528"/>
      <c r="F38" s="1528"/>
      <c r="G38" s="1528"/>
      <c r="H38" s="281"/>
      <c r="I38" s="161"/>
      <c r="J38" s="1528"/>
      <c r="K38" s="23"/>
      <c r="L38" s="138"/>
      <c r="M38" s="997"/>
      <c r="N38" s="998"/>
      <c r="O38" s="999"/>
      <c r="P38" s="999"/>
      <c r="Q38" s="999"/>
      <c r="R38" s="999"/>
      <c r="S38" s="999"/>
      <c r="T38" s="999"/>
      <c r="U38" s="999"/>
      <c r="V38" s="999"/>
      <c r="W38" s="997"/>
      <c r="X38" s="999"/>
      <c r="Y38" s="999"/>
      <c r="Z38" s="999"/>
      <c r="AA38" s="999"/>
      <c r="AB38" s="1000"/>
    </row>
    <row r="39" spans="1:35">
      <c r="A39" s="20"/>
      <c r="B39" s="1528"/>
      <c r="C39" s="1528"/>
      <c r="D39" s="1528"/>
      <c r="E39" s="1528"/>
      <c r="F39" s="1528"/>
      <c r="G39" s="1528"/>
      <c r="H39" s="281"/>
      <c r="I39" s="161"/>
      <c r="J39" s="1528"/>
      <c r="K39" s="23"/>
      <c r="L39" s="138"/>
      <c r="M39" s="997"/>
      <c r="N39" s="998"/>
      <c r="O39" s="999"/>
      <c r="P39" s="999"/>
      <c r="Q39" s="999"/>
      <c r="R39" s="999"/>
      <c r="S39" s="999"/>
      <c r="T39" s="999"/>
      <c r="U39" s="999"/>
      <c r="V39" s="999"/>
      <c r="W39" s="997"/>
      <c r="X39" s="999"/>
      <c r="Y39" s="999"/>
      <c r="Z39" s="999"/>
      <c r="AA39" s="999"/>
      <c r="AB39" s="1000"/>
    </row>
    <row r="40" spans="1:35" s="165" customFormat="1" ht="31.5" customHeight="1">
      <c r="A40" s="24" t="s">
        <v>38</v>
      </c>
      <c r="B40" s="365" t="s">
        <v>19</v>
      </c>
      <c r="C40" s="867"/>
      <c r="D40" s="867"/>
      <c r="E40" s="867"/>
      <c r="F40" s="867"/>
      <c r="G40" s="872"/>
      <c r="H40" s="280"/>
      <c r="I40" s="769"/>
      <c r="J40" s="232"/>
      <c r="K40" s="147" t="s">
        <v>25</v>
      </c>
      <c r="L40" s="516" t="s">
        <v>26</v>
      </c>
      <c r="M40" s="26" t="s">
        <v>27</v>
      </c>
      <c r="N40" s="1001" t="s">
        <v>324</v>
      </c>
      <c r="O40" s="1002"/>
      <c r="P40" s="1002"/>
      <c r="Q40" s="1002"/>
      <c r="R40" s="1002"/>
      <c r="S40" s="1002"/>
      <c r="T40" s="1002"/>
      <c r="U40" s="1002"/>
      <c r="V40" s="1003"/>
      <c r="W40" s="1004"/>
      <c r="X40" s="1005"/>
      <c r="Y40" s="1005"/>
      <c r="Z40" s="1005"/>
      <c r="AA40" s="1004">
        <f>SUM(O40:Z40)</f>
        <v>0</v>
      </c>
      <c r="AB40" s="1006">
        <f>M35-AA40</f>
        <v>0</v>
      </c>
      <c r="AC40" s="874"/>
      <c r="AF40" s="873"/>
      <c r="AG40" s="871"/>
    </row>
    <row r="41" spans="1:35">
      <c r="A41" s="27" t="s">
        <v>39</v>
      </c>
      <c r="B41" s="358">
        <f>B16+B22+B28</f>
        <v>2424000000</v>
      </c>
      <c r="C41" s="925"/>
      <c r="D41" s="925"/>
      <c r="E41" s="925"/>
      <c r="F41" s="925"/>
      <c r="G41" s="887"/>
      <c r="H41" s="298"/>
      <c r="I41" s="297"/>
      <c r="J41" s="363"/>
      <c r="K41" s="148">
        <f>K35</f>
        <v>0</v>
      </c>
      <c r="L41" s="148">
        <f>M35</f>
        <v>0</v>
      </c>
      <c r="M41" s="169">
        <f>AA35</f>
        <v>0</v>
      </c>
      <c r="N41" s="998"/>
      <c r="O41" s="999"/>
      <c r="P41" s="999"/>
      <c r="Q41" s="999"/>
      <c r="R41" s="999"/>
      <c r="S41" s="999"/>
      <c r="T41" s="999"/>
      <c r="U41" s="999"/>
      <c r="V41" s="999"/>
      <c r="W41" s="997"/>
      <c r="X41" s="999"/>
      <c r="Y41" s="999"/>
      <c r="Z41" s="999"/>
      <c r="AA41" s="999"/>
      <c r="AB41" s="1000"/>
    </row>
    <row r="42" spans="1:35" s="535" customFormat="1" ht="15">
      <c r="A42" s="525"/>
      <c r="B42" s="526"/>
      <c r="C42" s="1565" t="s">
        <v>339</v>
      </c>
      <c r="D42" s="1591"/>
      <c r="F42" s="1591" t="s">
        <v>336</v>
      </c>
      <c r="G42" s="1591"/>
      <c r="H42" s="528"/>
      <c r="I42" s="797"/>
      <c r="J42" s="802"/>
      <c r="K42" s="529"/>
      <c r="L42" s="530" t="s">
        <v>39</v>
      </c>
      <c r="M42" s="531">
        <f>M35</f>
        <v>0</v>
      </c>
      <c r="N42" s="1007"/>
      <c r="O42" s="533">
        <f t="shared" ref="O42:Z42" si="9">O21+O27+O33</f>
        <v>0</v>
      </c>
      <c r="P42" s="533">
        <f t="shared" si="9"/>
        <v>0</v>
      </c>
      <c r="Q42" s="533">
        <f t="shared" si="9"/>
        <v>0</v>
      </c>
      <c r="R42" s="533">
        <f t="shared" si="9"/>
        <v>0</v>
      </c>
      <c r="S42" s="533">
        <f t="shared" si="9"/>
        <v>0</v>
      </c>
      <c r="T42" s="533">
        <f t="shared" si="9"/>
        <v>0</v>
      </c>
      <c r="U42" s="533">
        <f t="shared" si="9"/>
        <v>0</v>
      </c>
      <c r="V42" s="533">
        <f t="shared" si="9"/>
        <v>0</v>
      </c>
      <c r="W42" s="533">
        <f t="shared" si="9"/>
        <v>0</v>
      </c>
      <c r="X42" s="533">
        <f t="shared" si="9"/>
        <v>0</v>
      </c>
      <c r="Y42" s="533">
        <f t="shared" si="9"/>
        <v>0</v>
      </c>
      <c r="Z42" s="533">
        <f t="shared" si="9"/>
        <v>0</v>
      </c>
      <c r="AA42" s="533">
        <f>SUM(O42:Z42)</f>
        <v>0</v>
      </c>
      <c r="AB42" s="1008">
        <f>M42-AA42</f>
        <v>0</v>
      </c>
      <c r="AC42" s="534"/>
      <c r="AF42" s="832"/>
      <c r="AG42" s="536"/>
    </row>
    <row r="43" spans="1:35" ht="14.25">
      <c r="A43" s="71"/>
      <c r="B43" s="73"/>
      <c r="C43" s="1593" t="s">
        <v>386</v>
      </c>
      <c r="D43" s="1593"/>
      <c r="F43" s="1593" t="s">
        <v>337</v>
      </c>
      <c r="G43" s="1593"/>
      <c r="H43" s="296"/>
      <c r="I43" s="778"/>
      <c r="J43" s="73"/>
      <c r="K43" s="73"/>
      <c r="L43" s="517"/>
      <c r="M43" s="997"/>
      <c r="N43" s="998"/>
      <c r="O43" s="999"/>
      <c r="P43" s="999"/>
      <c r="Q43" s="999"/>
      <c r="R43" s="999"/>
      <c r="S43" s="999"/>
      <c r="T43" s="999"/>
      <c r="U43" s="999"/>
      <c r="V43" s="999">
        <f>V42-V40</f>
        <v>0</v>
      </c>
      <c r="W43" s="997"/>
      <c r="X43" s="999"/>
      <c r="Y43" s="999"/>
      <c r="Z43" s="999"/>
      <c r="AA43" s="999"/>
      <c r="AB43" s="1000"/>
    </row>
    <row r="44" spans="1:35">
      <c r="A44" s="71"/>
      <c r="B44" s="73"/>
      <c r="C44" s="73"/>
      <c r="D44" s="73"/>
      <c r="E44" s="73"/>
      <c r="F44" s="73"/>
      <c r="G44" s="73"/>
      <c r="H44" s="296"/>
      <c r="I44" s="778"/>
      <c r="J44" s="73"/>
      <c r="K44" s="73"/>
      <c r="L44" s="517"/>
      <c r="M44" s="997"/>
      <c r="N44" s="998"/>
      <c r="O44" s="999"/>
      <c r="P44" s="999"/>
      <c r="Q44" s="999"/>
      <c r="R44" s="999"/>
      <c r="S44" s="999"/>
      <c r="T44" s="999"/>
      <c r="U44" s="999"/>
      <c r="V44" s="999"/>
      <c r="W44" s="997"/>
      <c r="X44" s="999"/>
      <c r="Y44" s="999"/>
      <c r="Z44" s="999"/>
      <c r="AA44" s="999"/>
      <c r="AB44" s="1000"/>
    </row>
    <row r="45" spans="1:35" ht="14.25" customHeight="1" thickBot="1">
      <c r="A45" s="1459" t="s">
        <v>40</v>
      </c>
      <c r="B45" s="81"/>
      <c r="C45" s="77"/>
      <c r="D45" s="78"/>
      <c r="E45" s="79"/>
      <c r="F45" s="80"/>
      <c r="G45" s="80"/>
      <c r="H45" s="338"/>
      <c r="I45" s="798"/>
      <c r="J45" s="81"/>
      <c r="K45" s="81"/>
      <c r="L45" s="518"/>
      <c r="M45" s="1009"/>
      <c r="N45" s="1010"/>
      <c r="O45" s="1011"/>
      <c r="P45" s="1011"/>
      <c r="Q45" s="1011"/>
      <c r="R45" s="1011"/>
      <c r="S45" s="1011"/>
      <c r="T45" s="1011"/>
      <c r="U45" s="1011"/>
      <c r="V45" s="1011"/>
      <c r="W45" s="1009"/>
      <c r="X45" s="1011"/>
      <c r="Y45" s="1011"/>
      <c r="Z45" s="1011"/>
      <c r="AA45" s="1011"/>
      <c r="AB45" s="1012"/>
    </row>
    <row r="46" spans="1:35">
      <c r="F46" s="32"/>
      <c r="K46" s="610"/>
      <c r="L46" s="540"/>
      <c r="M46" s="882"/>
    </row>
    <row r="47" spans="1:35">
      <c r="K47" s="610"/>
      <c r="L47" s="540">
        <f>L46-L41</f>
        <v>0</v>
      </c>
      <c r="M47" s="882">
        <f>M46-M41</f>
        <v>0</v>
      </c>
    </row>
    <row r="48" spans="1:35">
      <c r="K48" s="540"/>
      <c r="L48" s="752"/>
      <c r="M48" s="882"/>
    </row>
    <row r="50" spans="1:6">
      <c r="A50" s="33"/>
      <c r="B50" s="97"/>
      <c r="C50" s="35"/>
      <c r="D50" s="36"/>
    </row>
    <row r="51" spans="1:6">
      <c r="A51" s="37"/>
      <c r="B51" s="98"/>
      <c r="C51" s="39"/>
      <c r="D51" s="40"/>
    </row>
    <row r="52" spans="1:6">
      <c r="A52" s="37"/>
      <c r="B52" s="98"/>
      <c r="C52" s="39"/>
      <c r="D52" s="40"/>
    </row>
    <row r="53" spans="1:6">
      <c r="A53" s="37"/>
      <c r="B53" s="98"/>
      <c r="C53" s="39"/>
      <c r="D53" s="40"/>
    </row>
    <row r="61" spans="1:6">
      <c r="A61" s="33"/>
      <c r="B61" s="97"/>
    </row>
    <row r="62" spans="1:6">
      <c r="A62" s="37"/>
      <c r="B62" s="98"/>
      <c r="F62" s="41"/>
    </row>
    <row r="63" spans="1:6">
      <c r="A63" s="37"/>
      <c r="B63" s="98"/>
      <c r="F63" s="41"/>
    </row>
    <row r="64" spans="1:6">
      <c r="A64" s="37"/>
      <c r="B64" s="98"/>
      <c r="F64" s="41"/>
    </row>
    <row r="65" spans="1:6">
      <c r="A65" s="37"/>
      <c r="B65" s="98"/>
      <c r="F65" s="41"/>
    </row>
    <row r="72" spans="1:6">
      <c r="A72" s="37"/>
      <c r="B72" s="98"/>
    </row>
    <row r="73" spans="1:6">
      <c r="A73" s="37"/>
      <c r="B73" s="98"/>
    </row>
    <row r="74" spans="1:6">
      <c r="A74" s="37"/>
      <c r="B74" s="98"/>
    </row>
    <row r="75" spans="1:6">
      <c r="A75" s="37"/>
      <c r="B75" s="98"/>
    </row>
    <row r="76" spans="1:6">
      <c r="A76" s="37"/>
      <c r="B76" s="98"/>
    </row>
    <row r="77" spans="1:6">
      <c r="A77" s="37"/>
      <c r="B77" s="98"/>
    </row>
    <row r="78" spans="1:6">
      <c r="A78" s="37"/>
      <c r="B78" s="98"/>
    </row>
    <row r="79" spans="1:6">
      <c r="A79" s="37"/>
      <c r="B79" s="98"/>
    </row>
    <row r="80" spans="1:6">
      <c r="A80" s="37"/>
      <c r="B80" s="98"/>
    </row>
    <row r="81" spans="1:2">
      <c r="A81" s="37"/>
      <c r="B81" s="98"/>
    </row>
    <row r="82" spans="1:2">
      <c r="A82" s="37"/>
      <c r="B82" s="98"/>
    </row>
    <row r="83" spans="1:2">
      <c r="A83" s="37"/>
      <c r="B83" s="98"/>
    </row>
    <row r="84" spans="1:2">
      <c r="A84" s="37"/>
      <c r="B84" s="98"/>
    </row>
    <row r="85" spans="1:2">
      <c r="A85" s="37"/>
      <c r="B85" s="98"/>
    </row>
    <row r="86" spans="1:2">
      <c r="A86" s="37"/>
      <c r="B86" s="98"/>
    </row>
    <row r="87" spans="1:2">
      <c r="A87" s="37"/>
      <c r="B87" s="98"/>
    </row>
    <row r="88" spans="1:2">
      <c r="A88" s="37"/>
      <c r="B88" s="98"/>
    </row>
    <row r="89" spans="1:2">
      <c r="A89" s="37"/>
      <c r="B89" s="98"/>
    </row>
    <row r="90" spans="1:2">
      <c r="A90" s="37"/>
      <c r="B90" s="98"/>
    </row>
  </sheetData>
  <autoFilter ref="A15:AI33"/>
  <mergeCells count="20">
    <mergeCell ref="A1:A2"/>
    <mergeCell ref="C1:J1"/>
    <mergeCell ref="Y1:Z1"/>
    <mergeCell ref="AA1:AB1"/>
    <mergeCell ref="C2:J2"/>
    <mergeCell ref="Y2:Z2"/>
    <mergeCell ref="AA2:AB2"/>
    <mergeCell ref="C43:D43"/>
    <mergeCell ref="F43:G43"/>
    <mergeCell ref="A3:G3"/>
    <mergeCell ref="A4:G4"/>
    <mergeCell ref="A5:G5"/>
    <mergeCell ref="A6:G6"/>
    <mergeCell ref="A7:G7"/>
    <mergeCell ref="A8:G8"/>
    <mergeCell ref="B9:D9"/>
    <mergeCell ref="B10:G10"/>
    <mergeCell ref="B11:G11"/>
    <mergeCell ref="C42:D42"/>
    <mergeCell ref="F42:G42"/>
  </mergeCells>
  <conditionalFormatting sqref="AB1:AB20 AB22:AB1048576">
    <cfRule type="cellIs" dxfId="23" priority="3" operator="lessThan">
      <formula>0</formula>
    </cfRule>
  </conditionalFormatting>
  <conditionalFormatting sqref="L1">
    <cfRule type="duplicateValues" dxfId="22" priority="2"/>
  </conditionalFormatting>
  <conditionalFormatting sqref="L2">
    <cfRule type="duplicateValues" dxfId="21" priority="1"/>
  </conditionalFormatting>
  <printOptions horizontalCentered="1" verticalCentered="1"/>
  <pageMargins left="0.54" right="0.38" top="0.61" bottom="0.31" header="0.31496062992125984" footer="0.26"/>
  <pageSetup scale="53" fitToWidth="2"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0"/>
  <sheetViews>
    <sheetView topLeftCell="A7" zoomScale="80" zoomScaleNormal="80" workbookViewId="0">
      <selection activeCell="B16" sqref="B16"/>
    </sheetView>
  </sheetViews>
  <sheetFormatPr baseColWidth="10" defaultRowHeight="12.75"/>
  <cols>
    <col min="1" max="1" width="31" customWidth="1"/>
    <col min="2" max="2" width="22.85546875" customWidth="1"/>
    <col min="3" max="3" width="30.7109375" customWidth="1"/>
    <col min="4" max="4" width="29.42578125" customWidth="1"/>
    <col min="5" max="5" width="20.85546875" customWidth="1"/>
    <col min="6" max="6" width="25.42578125" customWidth="1"/>
    <col min="7" max="7" width="26" customWidth="1"/>
    <col min="8" max="8" width="13.42578125" style="223" customWidth="1"/>
    <col min="9" max="9" width="13.42578125" style="210" customWidth="1"/>
    <col min="10" max="10" width="9.42578125" customWidth="1"/>
    <col min="11" max="11" width="16.7109375" bestFit="1" customWidth="1"/>
    <col min="12" max="12" width="16.5703125" style="139" bestFit="1" customWidth="1"/>
    <col min="13" max="13" width="17.28515625" style="861" bestFit="1" customWidth="1"/>
    <col min="14" max="14" width="11.42578125" style="824"/>
    <col min="15" max="15" width="11.42578125" style="862" customWidth="1"/>
    <col min="16" max="16" width="14.140625" style="862" customWidth="1"/>
    <col min="17" max="18" width="15.28515625" style="862" customWidth="1"/>
    <col min="19" max="19" width="15" style="862" customWidth="1"/>
    <col min="20" max="22" width="14.28515625" style="862" customWidth="1"/>
    <col min="23" max="23" width="18.5703125" style="861" bestFit="1" customWidth="1"/>
    <col min="24" max="26" width="11.42578125" style="862" customWidth="1"/>
    <col min="27" max="27" width="18" style="862" customWidth="1"/>
    <col min="28" max="28" width="15.28515625" style="862" customWidth="1"/>
    <col min="29" max="29" width="7.140625" style="862" hidden="1" customWidth="1"/>
    <col min="30" max="30" width="0" hidden="1" customWidth="1"/>
    <col min="31" max="31" width="16.140625" hidden="1" customWidth="1"/>
    <col min="32" max="32" width="10.140625" style="824" hidden="1" customWidth="1"/>
    <col min="33" max="33" width="17.28515625" style="149" hidden="1" customWidth="1"/>
    <col min="34" max="34" width="15" hidden="1" customWidth="1"/>
    <col min="35" max="35" width="13.5703125" hidden="1" customWidth="1"/>
  </cols>
  <sheetData>
    <row r="1" spans="1:34" ht="42" customHeight="1">
      <c r="A1" s="1550"/>
      <c r="B1" s="233" t="s">
        <v>0</v>
      </c>
      <c r="C1" s="1558" t="s">
        <v>1</v>
      </c>
      <c r="D1" s="1559"/>
      <c r="E1" s="1559"/>
      <c r="F1" s="1559"/>
      <c r="G1" s="1559"/>
      <c r="H1" s="1559"/>
      <c r="I1" s="1559"/>
      <c r="J1" s="1559"/>
      <c r="K1" s="1343"/>
      <c r="L1" s="979"/>
      <c r="M1" s="1343"/>
      <c r="N1" s="979"/>
      <c r="O1" s="979"/>
      <c r="P1" s="979"/>
      <c r="Q1" s="979"/>
      <c r="R1" s="979"/>
      <c r="S1" s="979"/>
      <c r="T1" s="979"/>
      <c r="U1" s="979"/>
      <c r="V1" s="979"/>
      <c r="W1" s="979"/>
      <c r="X1" s="980"/>
      <c r="Y1" s="1552" t="s">
        <v>2</v>
      </c>
      <c r="Z1" s="1552"/>
      <c r="AA1" s="1594" t="s">
        <v>3</v>
      </c>
      <c r="AB1" s="1595"/>
      <c r="AC1" s="437"/>
    </row>
    <row r="2" spans="1:34" ht="42" customHeight="1">
      <c r="A2" s="1551"/>
      <c r="B2" s="1" t="s">
        <v>4</v>
      </c>
      <c r="C2" s="1560" t="s">
        <v>5</v>
      </c>
      <c r="D2" s="1561"/>
      <c r="E2" s="1561"/>
      <c r="F2" s="1561"/>
      <c r="G2" s="1561"/>
      <c r="H2" s="1561"/>
      <c r="I2" s="1561"/>
      <c r="J2" s="1561"/>
      <c r="K2" s="977"/>
      <c r="L2" s="977"/>
      <c r="M2" s="977"/>
      <c r="N2" s="977"/>
      <c r="O2" s="977"/>
      <c r="P2" s="977"/>
      <c r="Q2" s="977"/>
      <c r="R2" s="977"/>
      <c r="S2" s="977"/>
      <c r="T2" s="977"/>
      <c r="U2" s="977"/>
      <c r="V2" s="977"/>
      <c r="W2" s="977"/>
      <c r="X2" s="978"/>
      <c r="Y2" s="1555" t="s">
        <v>6</v>
      </c>
      <c r="Z2" s="1555"/>
      <c r="AA2" s="1556">
        <v>1</v>
      </c>
      <c r="AB2" s="1557"/>
      <c r="AC2" s="438"/>
    </row>
    <row r="3" spans="1:34">
      <c r="A3" s="1579" t="s">
        <v>7</v>
      </c>
      <c r="B3" s="1580"/>
      <c r="C3" s="1580"/>
      <c r="D3" s="1580"/>
      <c r="E3" s="1580"/>
      <c r="F3" s="1580"/>
      <c r="G3" s="1580"/>
      <c r="H3" s="270"/>
      <c r="I3" s="884"/>
      <c r="J3" s="45"/>
      <c r="K3" s="45"/>
      <c r="L3" s="387"/>
      <c r="M3" s="45"/>
      <c r="N3" s="387"/>
      <c r="O3" s="45"/>
      <c r="P3" s="45"/>
      <c r="Q3" s="45"/>
      <c r="R3" s="45"/>
      <c r="S3" s="45"/>
      <c r="T3" s="391"/>
      <c r="U3" s="391"/>
      <c r="V3" s="391"/>
      <c r="W3" s="884"/>
      <c r="X3" s="391"/>
      <c r="Y3" s="391"/>
      <c r="Z3" s="391"/>
      <c r="AA3" s="391"/>
      <c r="AB3" s="985"/>
      <c r="AC3" s="45"/>
    </row>
    <row r="4" spans="1:34">
      <c r="A4" s="1579" t="s">
        <v>84</v>
      </c>
      <c r="B4" s="1580"/>
      <c r="C4" s="1580"/>
      <c r="D4" s="1580"/>
      <c r="E4" s="1580"/>
      <c r="F4" s="1580"/>
      <c r="G4" s="1580"/>
      <c r="H4" s="270"/>
      <c r="I4" s="884"/>
      <c r="J4" s="45"/>
      <c r="K4" s="45"/>
      <c r="L4" s="387"/>
      <c r="M4" s="45"/>
      <c r="N4" s="387"/>
      <c r="O4" s="45"/>
      <c r="P4" s="45"/>
      <c r="Q4" s="45"/>
      <c r="R4" s="45"/>
      <c r="S4" s="45"/>
      <c r="T4" s="391"/>
      <c r="U4" s="391"/>
      <c r="V4" s="391"/>
      <c r="W4" s="884"/>
      <c r="X4" s="391"/>
      <c r="Y4" s="391"/>
      <c r="Z4" s="391"/>
      <c r="AA4" s="391"/>
      <c r="AB4" s="986"/>
      <c r="AC4" s="45"/>
    </row>
    <row r="5" spans="1:34">
      <c r="A5" s="1579" t="s">
        <v>85</v>
      </c>
      <c r="B5" s="1580"/>
      <c r="C5" s="1580"/>
      <c r="D5" s="1580"/>
      <c r="E5" s="1580"/>
      <c r="F5" s="1580"/>
      <c r="G5" s="1580"/>
      <c r="H5" s="270"/>
      <c r="I5" s="884"/>
      <c r="J5" s="45"/>
      <c r="K5" s="45"/>
      <c r="L5" s="387"/>
      <c r="M5" s="45"/>
      <c r="N5" s="387"/>
      <c r="O5" s="45"/>
      <c r="P5" s="45"/>
      <c r="Q5" s="45"/>
      <c r="R5" s="45"/>
      <c r="S5" s="45"/>
      <c r="T5" s="391"/>
      <c r="U5" s="391"/>
      <c r="V5" s="391"/>
      <c r="W5" s="884"/>
      <c r="X5" s="391"/>
      <c r="Y5" s="391"/>
      <c r="Z5" s="391"/>
      <c r="AA5" s="391"/>
      <c r="AB5" s="986"/>
      <c r="AC5" s="45"/>
    </row>
    <row r="6" spans="1:34">
      <c r="A6" s="1579" t="s">
        <v>86</v>
      </c>
      <c r="B6" s="1580"/>
      <c r="C6" s="1580"/>
      <c r="D6" s="1580"/>
      <c r="E6" s="1580"/>
      <c r="F6" s="1580"/>
      <c r="G6" s="1580"/>
      <c r="H6" s="270"/>
      <c r="I6" s="884"/>
      <c r="J6" s="45"/>
      <c r="K6" s="45"/>
      <c r="L6" s="387"/>
      <c r="M6" s="45"/>
      <c r="N6" s="387"/>
      <c r="O6" s="45"/>
      <c r="P6" s="45"/>
      <c r="Q6" s="45"/>
      <c r="R6" s="45"/>
      <c r="S6" s="45"/>
      <c r="T6" s="391"/>
      <c r="U6" s="391"/>
      <c r="V6" s="391"/>
      <c r="W6" s="884"/>
      <c r="X6" s="391"/>
      <c r="Y6" s="391"/>
      <c r="Z6" s="391"/>
      <c r="AA6" s="391"/>
      <c r="AB6" s="986"/>
      <c r="AC6" s="45"/>
    </row>
    <row r="7" spans="1:34">
      <c r="A7" s="1579" t="s">
        <v>87</v>
      </c>
      <c r="B7" s="1580"/>
      <c r="C7" s="1580"/>
      <c r="D7" s="1580"/>
      <c r="E7" s="1580"/>
      <c r="F7" s="1580"/>
      <c r="G7" s="1580"/>
      <c r="H7" s="270"/>
      <c r="I7" s="884"/>
      <c r="J7" s="45"/>
      <c r="K7" s="45"/>
      <c r="L7" s="387"/>
      <c r="M7" s="45"/>
      <c r="N7" s="387"/>
      <c r="O7" s="45"/>
      <c r="P7" s="45"/>
      <c r="Q7" s="45"/>
      <c r="R7" s="45"/>
      <c r="S7" s="45"/>
      <c r="T7" s="391"/>
      <c r="U7" s="391"/>
      <c r="V7" s="391"/>
      <c r="W7" s="884"/>
      <c r="X7" s="391"/>
      <c r="Y7" s="391"/>
      <c r="Z7" s="391"/>
      <c r="AA7" s="391"/>
      <c r="AB7" s="986"/>
      <c r="AC7" s="45"/>
    </row>
    <row r="8" spans="1:34">
      <c r="A8" s="1579" t="s">
        <v>88</v>
      </c>
      <c r="B8" s="1580"/>
      <c r="C8" s="1580"/>
      <c r="D8" s="1580"/>
      <c r="E8" s="1580"/>
      <c r="F8" s="1580"/>
      <c r="G8" s="1580"/>
      <c r="H8" s="270"/>
      <c r="I8" s="884"/>
      <c r="J8" s="45"/>
      <c r="K8" s="45"/>
      <c r="L8" s="387"/>
      <c r="M8" s="45"/>
      <c r="N8" s="387"/>
      <c r="O8" s="45"/>
      <c r="P8" s="45"/>
      <c r="Q8" s="45"/>
      <c r="R8" s="45"/>
      <c r="S8" s="45"/>
      <c r="T8" s="391"/>
      <c r="U8" s="391"/>
      <c r="V8" s="391"/>
      <c r="W8" s="884"/>
      <c r="X8" s="391"/>
      <c r="Y8" s="391"/>
      <c r="Z8" s="391"/>
      <c r="AA8" s="391"/>
      <c r="AB8" s="986"/>
      <c r="AC8" s="45"/>
    </row>
    <row r="9" spans="1:34">
      <c r="A9" s="414" t="s">
        <v>9</v>
      </c>
      <c r="B9" s="1580" t="s">
        <v>89</v>
      </c>
      <c r="C9" s="1580"/>
      <c r="D9" s="1580"/>
      <c r="E9" s="415"/>
      <c r="F9" s="415"/>
      <c r="G9" s="418"/>
      <c r="H9" s="270"/>
      <c r="I9" s="884"/>
      <c r="J9" s="45"/>
      <c r="K9" s="45"/>
      <c r="L9" s="387"/>
      <c r="M9" s="45"/>
      <c r="N9" s="387"/>
      <c r="O9" s="45"/>
      <c r="P9" s="45"/>
      <c r="Q9" s="45"/>
      <c r="R9" s="45"/>
      <c r="S9" s="45"/>
      <c r="T9" s="391"/>
      <c r="U9" s="391"/>
      <c r="V9" s="391"/>
      <c r="W9" s="884"/>
      <c r="X9" s="391"/>
      <c r="Y9" s="391"/>
      <c r="Z9" s="391"/>
      <c r="AA9" s="391"/>
      <c r="AB9" s="986"/>
      <c r="AC9" s="45"/>
    </row>
    <row r="10" spans="1:34">
      <c r="A10" s="414" t="s">
        <v>11</v>
      </c>
      <c r="B10" s="1580" t="s">
        <v>90</v>
      </c>
      <c r="C10" s="1580"/>
      <c r="D10" s="1580"/>
      <c r="E10" s="1580"/>
      <c r="F10" s="1580"/>
      <c r="G10" s="1580"/>
      <c r="H10" s="270"/>
      <c r="I10" s="884"/>
      <c r="J10" s="45"/>
      <c r="K10" s="45"/>
      <c r="L10" s="387"/>
      <c r="M10" s="45"/>
      <c r="N10" s="387"/>
      <c r="O10" s="45"/>
      <c r="P10" s="45"/>
      <c r="Q10" s="45"/>
      <c r="R10" s="45"/>
      <c r="S10" s="45"/>
      <c r="T10" s="391"/>
      <c r="U10" s="391"/>
      <c r="V10" s="391"/>
      <c r="W10" s="884"/>
      <c r="X10" s="391"/>
      <c r="Y10" s="391"/>
      <c r="Z10" s="391"/>
      <c r="AA10" s="391"/>
      <c r="AB10" s="986"/>
      <c r="AC10" s="45"/>
    </row>
    <row r="11" spans="1:34">
      <c r="A11" s="416" t="s">
        <v>13</v>
      </c>
      <c r="B11" s="1580" t="s">
        <v>91</v>
      </c>
      <c r="C11" s="1580"/>
      <c r="D11" s="1580"/>
      <c r="E11" s="1580"/>
      <c r="F11" s="1580"/>
      <c r="G11" s="1580"/>
      <c r="H11" s="270"/>
      <c r="I11" s="884"/>
      <c r="J11" s="45"/>
      <c r="K11" s="45"/>
      <c r="L11" s="387"/>
      <c r="M11" s="45"/>
      <c r="N11" s="387"/>
      <c r="O11" s="45"/>
      <c r="P11" s="45"/>
      <c r="Q11" s="45"/>
      <c r="R11" s="45"/>
      <c r="S11" s="45"/>
      <c r="T11" s="391"/>
      <c r="U11" s="391"/>
      <c r="V11" s="391"/>
      <c r="W11" s="884"/>
      <c r="X11" s="391"/>
      <c r="Y11" s="391"/>
      <c r="Z11" s="391"/>
      <c r="AA11" s="391"/>
      <c r="AB11" s="986"/>
      <c r="AC11" s="45"/>
    </row>
    <row r="12" spans="1:34">
      <c r="A12" s="987" t="s">
        <v>15</v>
      </c>
      <c r="B12" s="433">
        <v>43388</v>
      </c>
      <c r="C12" s="424"/>
      <c r="D12" s="424"/>
      <c r="E12" s="424"/>
      <c r="F12" s="424"/>
      <c r="G12" s="425"/>
      <c r="H12" s="270"/>
      <c r="I12" s="884"/>
      <c r="J12" s="45"/>
      <c r="K12" s="45"/>
      <c r="L12" s="387"/>
      <c r="M12" s="45"/>
      <c r="N12" s="387"/>
      <c r="O12" s="45"/>
      <c r="P12" s="45"/>
      <c r="Q12" s="45"/>
      <c r="R12" s="45"/>
      <c r="S12" s="45"/>
      <c r="T12" s="391"/>
      <c r="U12" s="391"/>
      <c r="V12" s="391"/>
      <c r="W12" s="884"/>
      <c r="X12" s="391"/>
      <c r="Y12" s="391"/>
      <c r="Z12" s="391"/>
      <c r="AA12" s="391"/>
      <c r="AB12" s="986"/>
      <c r="AC12" s="45"/>
    </row>
    <row r="13" spans="1:34">
      <c r="A13" s="988" t="s">
        <v>16</v>
      </c>
      <c r="B13" s="840">
        <f>D14-E14</f>
        <v>0</v>
      </c>
      <c r="C13" s="841" t="s">
        <v>314</v>
      </c>
      <c r="D13" s="841" t="s">
        <v>315</v>
      </c>
      <c r="E13" s="841" t="s">
        <v>316</v>
      </c>
      <c r="F13" s="436"/>
      <c r="G13" s="436"/>
      <c r="H13" s="271"/>
      <c r="I13" s="885"/>
      <c r="J13" s="50"/>
      <c r="K13" s="50"/>
      <c r="L13" s="388"/>
      <c r="M13" s="50"/>
      <c r="N13" s="388"/>
      <c r="O13" s="50"/>
      <c r="P13" s="50"/>
      <c r="Q13" s="50"/>
      <c r="R13" s="50"/>
      <c r="S13" s="50"/>
      <c r="T13" s="392"/>
      <c r="U13" s="392"/>
      <c r="V13" s="392"/>
      <c r="W13" s="885"/>
      <c r="X13" s="392"/>
      <c r="Y13" s="392"/>
      <c r="Z13" s="392"/>
      <c r="AA13" s="392"/>
      <c r="AB13" s="989"/>
      <c r="AC13" s="45"/>
    </row>
    <row r="14" spans="1:34" ht="28.5" customHeight="1">
      <c r="A14" s="990" t="s">
        <v>92</v>
      </c>
      <c r="B14" s="427">
        <f>B16+B22+B28</f>
        <v>2424000000</v>
      </c>
      <c r="C14" s="427"/>
      <c r="D14" s="427"/>
      <c r="E14" s="427"/>
      <c r="F14" s="428"/>
      <c r="G14" s="429"/>
      <c r="H14" s="272"/>
      <c r="I14" s="754"/>
      <c r="J14" s="52"/>
      <c r="K14" s="84"/>
      <c r="L14" s="512"/>
      <c r="M14" s="53"/>
      <c r="N14" s="512"/>
      <c r="O14" s="53"/>
      <c r="P14" s="53"/>
      <c r="Q14" s="53"/>
      <c r="R14" s="53"/>
      <c r="S14" s="53"/>
      <c r="T14" s="393"/>
      <c r="U14" s="393"/>
      <c r="V14" s="393"/>
      <c r="W14" s="380"/>
      <c r="X14" s="393"/>
      <c r="Y14" s="393"/>
      <c r="Z14" s="393"/>
      <c r="AA14" s="393"/>
      <c r="AB14" s="991"/>
      <c r="AC14" s="439"/>
    </row>
    <row r="15" spans="1:34" ht="38.25">
      <c r="A15" s="54" t="s">
        <v>18</v>
      </c>
      <c r="B15" s="55" t="s">
        <v>19</v>
      </c>
      <c r="C15" s="56" t="s">
        <v>20</v>
      </c>
      <c r="D15" s="56" t="s">
        <v>21</v>
      </c>
      <c r="E15" s="56" t="s">
        <v>22</v>
      </c>
      <c r="F15" s="56" t="s">
        <v>23</v>
      </c>
      <c r="G15" s="56" t="s">
        <v>24</v>
      </c>
      <c r="H15" s="273" t="s">
        <v>126</v>
      </c>
      <c r="I15" s="381" t="s">
        <v>279</v>
      </c>
      <c r="J15" s="141" t="s">
        <v>127</v>
      </c>
      <c r="K15" s="6" t="s">
        <v>25</v>
      </c>
      <c r="L15" s="333" t="s">
        <v>128</v>
      </c>
      <c r="M15" s="339" t="s">
        <v>147</v>
      </c>
      <c r="N15" s="333" t="s">
        <v>129</v>
      </c>
      <c r="O15" s="343" t="s">
        <v>130</v>
      </c>
      <c r="P15" s="339" t="s">
        <v>131</v>
      </c>
      <c r="Q15" s="339" t="s">
        <v>132</v>
      </c>
      <c r="R15" s="339" t="s">
        <v>133</v>
      </c>
      <c r="S15" s="339" t="s">
        <v>134</v>
      </c>
      <c r="T15" s="339" t="s">
        <v>135</v>
      </c>
      <c r="U15" s="339" t="s">
        <v>136</v>
      </c>
      <c r="V15" s="339" t="s">
        <v>137</v>
      </c>
      <c r="W15" s="339" t="s">
        <v>138</v>
      </c>
      <c r="X15" s="339" t="s">
        <v>139</v>
      </c>
      <c r="Y15" s="339" t="s">
        <v>140</v>
      </c>
      <c r="Z15" s="400" t="s">
        <v>141</v>
      </c>
      <c r="AA15" s="343" t="s">
        <v>142</v>
      </c>
      <c r="AB15" s="400" t="s">
        <v>143</v>
      </c>
      <c r="AC15" s="385" t="s">
        <v>259</v>
      </c>
      <c r="AD15" s="364" t="s">
        <v>145</v>
      </c>
      <c r="AE15" s="364" t="s">
        <v>146</v>
      </c>
      <c r="AF15" s="825" t="s">
        <v>253</v>
      </c>
      <c r="AG15" s="147" t="s">
        <v>258</v>
      </c>
      <c r="AH15" s="623" t="s">
        <v>277</v>
      </c>
    </row>
    <row r="16" spans="1:34" s="7" customFormat="1" ht="95.25" customHeight="1">
      <c r="A16" s="992" t="s">
        <v>96</v>
      </c>
      <c r="B16" s="201">
        <v>2161633250</v>
      </c>
      <c r="C16" s="981" t="s">
        <v>45</v>
      </c>
      <c r="D16" s="981" t="s">
        <v>50</v>
      </c>
      <c r="E16" s="981" t="s">
        <v>93</v>
      </c>
      <c r="F16" s="981" t="s">
        <v>94</v>
      </c>
      <c r="G16" s="981" t="s">
        <v>95</v>
      </c>
      <c r="H16" s="126"/>
      <c r="I16" s="126"/>
      <c r="J16" s="126"/>
      <c r="K16" s="126"/>
      <c r="L16" s="814"/>
      <c r="M16" s="126"/>
      <c r="N16" s="1465"/>
      <c r="O16" s="126"/>
      <c r="P16" s="126"/>
      <c r="Q16" s="126"/>
      <c r="R16" s="126"/>
      <c r="S16" s="126"/>
      <c r="T16" s="126"/>
      <c r="U16" s="126"/>
      <c r="V16" s="126"/>
      <c r="W16" s="880"/>
      <c r="X16" s="126"/>
      <c r="Y16" s="126"/>
      <c r="Z16" s="993"/>
      <c r="AA16" s="126"/>
      <c r="AB16" s="993"/>
      <c r="AC16" s="126"/>
      <c r="AD16" s="126"/>
      <c r="AE16" s="126"/>
      <c r="AF16" s="814"/>
      <c r="AG16" s="126"/>
      <c r="AH16" s="126"/>
    </row>
    <row r="17" spans="1:35" s="7" customFormat="1" ht="25.5">
      <c r="A17" s="1477" t="s">
        <v>96</v>
      </c>
      <c r="B17" s="820">
        <f>K17</f>
        <v>0</v>
      </c>
      <c r="C17" s="126" t="s">
        <v>45</v>
      </c>
      <c r="D17" s="126" t="s">
        <v>50</v>
      </c>
      <c r="E17" s="126" t="s">
        <v>93</v>
      </c>
      <c r="F17" s="126" t="s">
        <v>94</v>
      </c>
      <c r="G17" s="126" t="s">
        <v>95</v>
      </c>
      <c r="H17" s="818">
        <v>0</v>
      </c>
      <c r="I17" s="819"/>
      <c r="J17" s="260"/>
      <c r="K17" s="262"/>
      <c r="L17" s="390"/>
      <c r="M17" s="822"/>
      <c r="N17" s="1466"/>
      <c r="O17" s="842"/>
      <c r="P17" s="843"/>
      <c r="Q17" s="843"/>
      <c r="R17" s="843"/>
      <c r="S17" s="843"/>
      <c r="T17" s="843"/>
      <c r="U17" s="843"/>
      <c r="V17" s="843"/>
      <c r="W17" s="822"/>
      <c r="X17" s="843"/>
      <c r="Y17" s="843"/>
      <c r="Z17" s="1462"/>
      <c r="AA17" s="311">
        <f>SUM(O17:Z17)</f>
        <v>0</v>
      </c>
      <c r="AB17" s="237">
        <f>M17-AA17</f>
        <v>0</v>
      </c>
      <c r="AC17" s="505"/>
      <c r="AD17" s="839"/>
      <c r="AE17" s="839"/>
      <c r="AF17" s="844"/>
      <c r="AG17" s="445"/>
      <c r="AH17" s="728">
        <f>AG17-M17</f>
        <v>0</v>
      </c>
    </row>
    <row r="18" spans="1:35" s="7" customFormat="1" ht="25.5">
      <c r="A18" s="1477" t="s">
        <v>96</v>
      </c>
      <c r="B18" s="820">
        <f>K18</f>
        <v>0</v>
      </c>
      <c r="C18" s="126" t="s">
        <v>45</v>
      </c>
      <c r="D18" s="126" t="s">
        <v>50</v>
      </c>
      <c r="E18" s="126" t="s">
        <v>93</v>
      </c>
      <c r="F18" s="126" t="s">
        <v>94</v>
      </c>
      <c r="G18" s="126" t="s">
        <v>95</v>
      </c>
      <c r="H18" s="818">
        <v>0</v>
      </c>
      <c r="I18" s="819"/>
      <c r="J18" s="260"/>
      <c r="K18" s="262"/>
      <c r="L18" s="390"/>
      <c r="M18" s="822"/>
      <c r="N18" s="1466"/>
      <c r="O18" s="842"/>
      <c r="P18" s="843"/>
      <c r="Q18" s="843"/>
      <c r="R18" s="843"/>
      <c r="S18" s="843"/>
      <c r="T18" s="843"/>
      <c r="U18" s="843"/>
      <c r="V18" s="843"/>
      <c r="W18" s="822"/>
      <c r="X18" s="843"/>
      <c r="Y18" s="843"/>
      <c r="Z18" s="1462"/>
      <c r="AA18" s="311">
        <f>SUM(O18:Z18)</f>
        <v>0</v>
      </c>
      <c r="AB18" s="237">
        <f>M18-AA18</f>
        <v>0</v>
      </c>
      <c r="AC18" s="506"/>
      <c r="AD18" s="839"/>
      <c r="AE18" s="839"/>
      <c r="AF18" s="844"/>
      <c r="AG18" s="445"/>
      <c r="AH18" s="728">
        <f>AG18-M18</f>
        <v>0</v>
      </c>
    </row>
    <row r="19" spans="1:35" s="7" customFormat="1" ht="25.5">
      <c r="A19" s="1477" t="s">
        <v>96</v>
      </c>
      <c r="B19" s="820">
        <f>K19</f>
        <v>0</v>
      </c>
      <c r="C19" s="126" t="s">
        <v>45</v>
      </c>
      <c r="D19" s="126" t="s">
        <v>50</v>
      </c>
      <c r="E19" s="126" t="s">
        <v>93</v>
      </c>
      <c r="F19" s="126" t="s">
        <v>94</v>
      </c>
      <c r="G19" s="126" t="s">
        <v>95</v>
      </c>
      <c r="H19" s="818">
        <v>0</v>
      </c>
      <c r="I19" s="819"/>
      <c r="J19" s="260"/>
      <c r="K19" s="262"/>
      <c r="L19" s="390"/>
      <c r="M19" s="822"/>
      <c r="N19" s="1466"/>
      <c r="O19" s="842"/>
      <c r="P19" s="843"/>
      <c r="Q19" s="843"/>
      <c r="R19" s="843"/>
      <c r="S19" s="843"/>
      <c r="T19" s="843"/>
      <c r="U19" s="843"/>
      <c r="V19" s="843"/>
      <c r="W19" s="822"/>
      <c r="X19" s="843"/>
      <c r="Y19" s="843"/>
      <c r="Z19" s="1462"/>
      <c r="AA19" s="311">
        <f t="shared" ref="AA19:AA20" si="0">SUM(O19:Z19)</f>
        <v>0</v>
      </c>
      <c r="AB19" s="237">
        <f t="shared" ref="AB19:AB20" si="1">M19-AA19</f>
        <v>0</v>
      </c>
      <c r="AC19" s="505"/>
      <c r="AD19" s="839"/>
      <c r="AE19" s="839"/>
      <c r="AF19" s="844"/>
      <c r="AG19" s="445"/>
      <c r="AH19" s="728">
        <f t="shared" ref="AH19:AH20" si="2">AG19-M19</f>
        <v>0</v>
      </c>
    </row>
    <row r="20" spans="1:35" s="7" customFormat="1" ht="25.5">
      <c r="A20" s="1477" t="s">
        <v>96</v>
      </c>
      <c r="B20" s="820">
        <f t="shared" ref="B20" si="3">K20</f>
        <v>0</v>
      </c>
      <c r="C20" s="126" t="s">
        <v>45</v>
      </c>
      <c r="D20" s="126" t="s">
        <v>50</v>
      </c>
      <c r="E20" s="126" t="s">
        <v>93</v>
      </c>
      <c r="F20" s="126" t="s">
        <v>94</v>
      </c>
      <c r="G20" s="126" t="s">
        <v>95</v>
      </c>
      <c r="H20" s="818">
        <v>0</v>
      </c>
      <c r="I20" s="819"/>
      <c r="J20" s="260"/>
      <c r="K20" s="262"/>
      <c r="L20" s="390"/>
      <c r="M20" s="822"/>
      <c r="N20" s="1466"/>
      <c r="O20" s="842"/>
      <c r="P20" s="843"/>
      <c r="Q20" s="843"/>
      <c r="R20" s="843"/>
      <c r="S20" s="843"/>
      <c r="T20" s="843"/>
      <c r="U20" s="843"/>
      <c r="V20" s="843"/>
      <c r="W20" s="822"/>
      <c r="X20" s="843"/>
      <c r="Y20" s="843"/>
      <c r="Z20" s="1462"/>
      <c r="AA20" s="311">
        <f t="shared" si="0"/>
        <v>0</v>
      </c>
      <c r="AB20" s="237">
        <f t="shared" si="1"/>
        <v>0</v>
      </c>
      <c r="AC20" s="506"/>
      <c r="AD20" s="839"/>
      <c r="AE20" s="839"/>
      <c r="AF20" s="844"/>
      <c r="AG20" s="445"/>
      <c r="AH20" s="728">
        <f t="shared" si="2"/>
        <v>0</v>
      </c>
    </row>
    <row r="21" spans="1:35" s="9" customFormat="1">
      <c r="A21" s="213" t="s">
        <v>32</v>
      </c>
      <c r="B21" s="219">
        <f>B16-SUM(B17:B20)</f>
        <v>2161633250</v>
      </c>
      <c r="C21" s="106"/>
      <c r="D21" s="106"/>
      <c r="E21" s="106"/>
      <c r="F21" s="106"/>
      <c r="G21" s="107"/>
      <c r="H21" s="275"/>
      <c r="I21" s="756"/>
      <c r="J21" s="63"/>
      <c r="K21" s="64">
        <f>SUM(K17:K20)</f>
        <v>0</v>
      </c>
      <c r="L21" s="513"/>
      <c r="M21" s="64">
        <f>SUM(M17:M20)</f>
        <v>0</v>
      </c>
      <c r="N21" s="1467"/>
      <c r="O21" s="360">
        <f t="shared" ref="O21:AB21" si="4">SUM(O17:O20)</f>
        <v>0</v>
      </c>
      <c r="P21" s="64">
        <f t="shared" si="4"/>
        <v>0</v>
      </c>
      <c r="Q21" s="64">
        <f t="shared" si="4"/>
        <v>0</v>
      </c>
      <c r="R21" s="64">
        <f t="shared" si="4"/>
        <v>0</v>
      </c>
      <c r="S21" s="64">
        <f t="shared" si="4"/>
        <v>0</v>
      </c>
      <c r="T21" s="64">
        <f t="shared" si="4"/>
        <v>0</v>
      </c>
      <c r="U21" s="64">
        <f t="shared" si="4"/>
        <v>0</v>
      </c>
      <c r="V21" s="64">
        <f t="shared" si="4"/>
        <v>0</v>
      </c>
      <c r="W21" s="64">
        <f t="shared" si="4"/>
        <v>0</v>
      </c>
      <c r="X21" s="64">
        <f t="shared" si="4"/>
        <v>0</v>
      </c>
      <c r="Y21" s="64">
        <f t="shared" si="4"/>
        <v>0</v>
      </c>
      <c r="Z21" s="235">
        <f t="shared" si="4"/>
        <v>0</v>
      </c>
      <c r="AA21" s="360">
        <f t="shared" si="4"/>
        <v>0</v>
      </c>
      <c r="AB21" s="235">
        <f t="shared" si="4"/>
        <v>0</v>
      </c>
      <c r="AC21" s="507"/>
      <c r="AD21" s="442"/>
      <c r="AE21" s="442"/>
      <c r="AF21" s="827"/>
      <c r="AG21" s="64">
        <f>SUM(AG17:AG20)</f>
        <v>0</v>
      </c>
      <c r="AH21" s="64">
        <f>SUM(AH17:AH20)</f>
        <v>0</v>
      </c>
      <c r="AI21" s="447">
        <f>B16-AG21</f>
        <v>2161633250</v>
      </c>
    </row>
    <row r="22" spans="1:35" s="7" customFormat="1" ht="63.75">
      <c r="A22" s="905" t="s">
        <v>98</v>
      </c>
      <c r="B22" s="201">
        <v>163461000</v>
      </c>
      <c r="C22" s="982" t="s">
        <v>45</v>
      </c>
      <c r="D22" s="982" t="s">
        <v>50</v>
      </c>
      <c r="E22" s="982" t="s">
        <v>93</v>
      </c>
      <c r="F22" s="982" t="s">
        <v>97</v>
      </c>
      <c r="G22" s="982" t="s">
        <v>95</v>
      </c>
      <c r="H22" s="846"/>
      <c r="I22" s="847"/>
      <c r="J22" s="730"/>
      <c r="K22" s="731"/>
      <c r="L22" s="732"/>
      <c r="M22" s="848"/>
      <c r="N22" s="1468"/>
      <c r="O22" s="849"/>
      <c r="P22" s="850"/>
      <c r="Q22" s="850"/>
      <c r="R22" s="850"/>
      <c r="S22" s="850"/>
      <c r="T22" s="850"/>
      <c r="U22" s="850"/>
      <c r="V22" s="850"/>
      <c r="W22" s="848"/>
      <c r="X22" s="850"/>
      <c r="Y22" s="850"/>
      <c r="Z22" s="851"/>
      <c r="AA22" s="849"/>
      <c r="AB22" s="851"/>
      <c r="AC22" s="852"/>
      <c r="AD22" s="647"/>
      <c r="AE22" s="647"/>
      <c r="AF22" s="828"/>
      <c r="AG22" s="738"/>
      <c r="AH22" s="649"/>
    </row>
    <row r="23" spans="1:35" s="7" customFormat="1" ht="25.5">
      <c r="A23" s="1478" t="s">
        <v>98</v>
      </c>
      <c r="B23" s="1460">
        <f>I23</f>
        <v>0</v>
      </c>
      <c r="C23" s="845" t="s">
        <v>45</v>
      </c>
      <c r="D23" s="845" t="s">
        <v>50</v>
      </c>
      <c r="E23" s="845" t="s">
        <v>93</v>
      </c>
      <c r="F23" s="845" t="s">
        <v>97</v>
      </c>
      <c r="G23" s="845" t="s">
        <v>95</v>
      </c>
      <c r="H23" s="818">
        <v>0</v>
      </c>
      <c r="I23" s="819"/>
      <c r="J23" s="1461"/>
      <c r="K23" s="85"/>
      <c r="L23" s="389"/>
      <c r="M23" s="822"/>
      <c r="N23" s="1469"/>
      <c r="O23" s="842"/>
      <c r="P23" s="843"/>
      <c r="Q23" s="843"/>
      <c r="R23" s="843"/>
      <c r="S23" s="843"/>
      <c r="T23" s="843"/>
      <c r="U23" s="843"/>
      <c r="V23" s="843"/>
      <c r="W23" s="822"/>
      <c r="X23" s="843"/>
      <c r="Y23" s="843"/>
      <c r="Z23" s="1462"/>
      <c r="AA23" s="842"/>
      <c r="AB23" s="1462"/>
      <c r="AC23" s="1463"/>
      <c r="AD23" s="335"/>
      <c r="AE23" s="335"/>
      <c r="AF23" s="1464"/>
      <c r="AG23" s="445"/>
    </row>
    <row r="24" spans="1:35" s="7" customFormat="1" ht="25.5">
      <c r="A24" s="1478" t="s">
        <v>98</v>
      </c>
      <c r="B24" s="1460">
        <f t="shared" ref="B24:B26" si="5">I24</f>
        <v>0</v>
      </c>
      <c r="C24" s="845" t="s">
        <v>45</v>
      </c>
      <c r="D24" s="845" t="s">
        <v>50</v>
      </c>
      <c r="E24" s="845" t="s">
        <v>93</v>
      </c>
      <c r="F24" s="845" t="s">
        <v>97</v>
      </c>
      <c r="G24" s="845" t="s">
        <v>95</v>
      </c>
      <c r="H24" s="818">
        <v>0</v>
      </c>
      <c r="I24" s="819"/>
      <c r="J24" s="1461"/>
      <c r="K24" s="85"/>
      <c r="L24" s="389"/>
      <c r="M24" s="822"/>
      <c r="N24" s="1469"/>
      <c r="O24" s="842"/>
      <c r="P24" s="843"/>
      <c r="Q24" s="843"/>
      <c r="R24" s="843"/>
      <c r="S24" s="843"/>
      <c r="T24" s="843"/>
      <c r="U24" s="843"/>
      <c r="V24" s="843"/>
      <c r="W24" s="822"/>
      <c r="X24" s="843"/>
      <c r="Y24" s="843"/>
      <c r="Z24" s="1462"/>
      <c r="AA24" s="842"/>
      <c r="AB24" s="1462"/>
      <c r="AC24" s="1463"/>
      <c r="AD24" s="335"/>
      <c r="AE24" s="335"/>
      <c r="AF24" s="1464"/>
      <c r="AG24" s="445"/>
    </row>
    <row r="25" spans="1:35" s="9" customFormat="1" ht="25.5">
      <c r="A25" s="1478" t="s">
        <v>98</v>
      </c>
      <c r="B25" s="1460">
        <f t="shared" si="5"/>
        <v>0</v>
      </c>
      <c r="C25" s="845" t="s">
        <v>45</v>
      </c>
      <c r="D25" s="845" t="s">
        <v>50</v>
      </c>
      <c r="E25" s="845" t="s">
        <v>93</v>
      </c>
      <c r="F25" s="845" t="s">
        <v>97</v>
      </c>
      <c r="G25" s="845" t="s">
        <v>95</v>
      </c>
      <c r="H25" s="818">
        <v>0</v>
      </c>
      <c r="I25" s="819"/>
      <c r="J25" s="260"/>
      <c r="K25" s="262"/>
      <c r="L25" s="390"/>
      <c r="M25" s="822"/>
      <c r="N25" s="1470"/>
      <c r="O25" s="842"/>
      <c r="P25" s="822"/>
      <c r="Q25" s="822"/>
      <c r="R25" s="822"/>
      <c r="S25" s="822"/>
      <c r="T25" s="843"/>
      <c r="U25" s="843"/>
      <c r="V25" s="843"/>
      <c r="W25" s="822"/>
      <c r="X25" s="843"/>
      <c r="Y25" s="843"/>
      <c r="Z25" s="1462"/>
      <c r="AA25" s="311">
        <f>SUM(O25:Z25)</f>
        <v>0</v>
      </c>
      <c r="AB25" s="237">
        <f>M25-AA25</f>
        <v>0</v>
      </c>
      <c r="AC25" s="505"/>
      <c r="AD25" s="336"/>
      <c r="AE25" s="336"/>
      <c r="AF25" s="809"/>
      <c r="AG25" s="445"/>
      <c r="AH25" s="728">
        <f>AG25-M25</f>
        <v>0</v>
      </c>
    </row>
    <row r="26" spans="1:35" s="9" customFormat="1" ht="25.5">
      <c r="A26" s="1478" t="s">
        <v>98</v>
      </c>
      <c r="B26" s="1460">
        <f t="shared" si="5"/>
        <v>0</v>
      </c>
      <c r="C26" s="845" t="s">
        <v>45</v>
      </c>
      <c r="D26" s="845" t="s">
        <v>50</v>
      </c>
      <c r="E26" s="845" t="s">
        <v>93</v>
      </c>
      <c r="F26" s="845" t="s">
        <v>97</v>
      </c>
      <c r="G26" s="845" t="s">
        <v>95</v>
      </c>
      <c r="H26" s="818">
        <v>0</v>
      </c>
      <c r="I26" s="819"/>
      <c r="J26" s="58"/>
      <c r="K26" s="58"/>
      <c r="L26" s="389"/>
      <c r="M26" s="822"/>
      <c r="N26" s="1470"/>
      <c r="O26" s="842"/>
      <c r="P26" s="843"/>
      <c r="Q26" s="843"/>
      <c r="R26" s="843"/>
      <c r="S26" s="843"/>
      <c r="T26" s="843"/>
      <c r="U26" s="843"/>
      <c r="V26" s="843"/>
      <c r="W26" s="822"/>
      <c r="X26" s="843"/>
      <c r="Y26" s="843"/>
      <c r="Z26" s="1462"/>
      <c r="AA26" s="311">
        <f>SUM(O26:Z26)</f>
        <v>0</v>
      </c>
      <c r="AB26" s="237">
        <f>M26-AA26</f>
        <v>0</v>
      </c>
      <c r="AC26" s="505"/>
      <c r="AD26" s="336"/>
      <c r="AE26" s="336"/>
      <c r="AF26" s="809"/>
      <c r="AG26" s="445"/>
      <c r="AH26" s="728">
        <f>AG26-M26</f>
        <v>0</v>
      </c>
    </row>
    <row r="27" spans="1:35" s="9" customFormat="1">
      <c r="A27" s="214" t="s">
        <v>32</v>
      </c>
      <c r="B27" s="216">
        <f>B22-SUM(B23:B26)</f>
        <v>163461000</v>
      </c>
      <c r="C27" s="108"/>
      <c r="D27" s="108"/>
      <c r="E27" s="108"/>
      <c r="F27" s="108"/>
      <c r="G27" s="109"/>
      <c r="H27" s="277"/>
      <c r="I27" s="399"/>
      <c r="J27" s="66"/>
      <c r="K27" s="15">
        <f>SUM(K25:K26)</f>
        <v>0</v>
      </c>
      <c r="L27" s="136"/>
      <c r="M27" s="15">
        <f>SUM(M25:M26)</f>
        <v>0</v>
      </c>
      <c r="N27" s="1471"/>
      <c r="O27" s="323">
        <f t="shared" ref="O27:AB27" si="6">SUM(O25:O26)</f>
        <v>0</v>
      </c>
      <c r="P27" s="15">
        <f t="shared" si="6"/>
        <v>0</v>
      </c>
      <c r="Q27" s="15">
        <f t="shared" si="6"/>
        <v>0</v>
      </c>
      <c r="R27" s="15">
        <f t="shared" si="6"/>
        <v>0</v>
      </c>
      <c r="S27" s="15">
        <f t="shared" si="6"/>
        <v>0</v>
      </c>
      <c r="T27" s="15">
        <f t="shared" si="6"/>
        <v>0</v>
      </c>
      <c r="U27" s="15">
        <f t="shared" si="6"/>
        <v>0</v>
      </c>
      <c r="V27" s="15">
        <f t="shared" si="6"/>
        <v>0</v>
      </c>
      <c r="W27" s="15">
        <f t="shared" si="6"/>
        <v>0</v>
      </c>
      <c r="X27" s="15">
        <f t="shared" si="6"/>
        <v>0</v>
      </c>
      <c r="Y27" s="15">
        <f t="shared" si="6"/>
        <v>0</v>
      </c>
      <c r="Z27" s="236">
        <f t="shared" si="6"/>
        <v>0</v>
      </c>
      <c r="AA27" s="323">
        <f t="shared" si="6"/>
        <v>0</v>
      </c>
      <c r="AB27" s="236">
        <f t="shared" si="6"/>
        <v>0</v>
      </c>
      <c r="AC27" s="458"/>
      <c r="AD27" s="442"/>
      <c r="AE27" s="442"/>
      <c r="AF27" s="827"/>
      <c r="AG27" s="15">
        <f>SUM(AG25:AG26)</f>
        <v>0</v>
      </c>
      <c r="AH27" s="15">
        <f>SUM(AH25:AH26)</f>
        <v>0</v>
      </c>
      <c r="AI27" s="447">
        <f>B22-AG27</f>
        <v>163461000</v>
      </c>
    </row>
    <row r="28" spans="1:35" s="7" customFormat="1" ht="97.5" customHeight="1">
      <c r="A28" s="994" t="s">
        <v>100</v>
      </c>
      <c r="B28" s="201">
        <v>98905750</v>
      </c>
      <c r="C28" s="983" t="s">
        <v>45</v>
      </c>
      <c r="D28" s="983" t="s">
        <v>50</v>
      </c>
      <c r="E28" s="983" t="s">
        <v>93</v>
      </c>
      <c r="F28" s="983" t="s">
        <v>99</v>
      </c>
      <c r="G28" s="983" t="s">
        <v>95</v>
      </c>
      <c r="H28" s="853">
        <v>0</v>
      </c>
      <c r="I28" s="854"/>
      <c r="J28" s="853"/>
      <c r="K28" s="853"/>
      <c r="L28" s="855"/>
      <c r="M28" s="853"/>
      <c r="N28" s="1472"/>
      <c r="O28" s="984"/>
      <c r="P28" s="853"/>
      <c r="Q28" s="853"/>
      <c r="R28" s="853"/>
      <c r="S28" s="853"/>
      <c r="T28" s="853"/>
      <c r="U28" s="853"/>
      <c r="V28" s="854"/>
      <c r="W28" s="881"/>
      <c r="X28" s="854"/>
      <c r="Y28" s="854"/>
      <c r="Z28" s="995"/>
      <c r="AA28" s="1475"/>
      <c r="AB28" s="995"/>
      <c r="AC28" s="984"/>
      <c r="AD28" s="853"/>
      <c r="AE28" s="853"/>
      <c r="AF28" s="855"/>
      <c r="AG28" s="853"/>
      <c r="AH28" s="853"/>
    </row>
    <row r="29" spans="1:35" s="9" customFormat="1" ht="25.5">
      <c r="A29" s="1479" t="s">
        <v>100</v>
      </c>
      <c r="B29" s="821">
        <f>K29</f>
        <v>0</v>
      </c>
      <c r="C29" s="853" t="s">
        <v>45</v>
      </c>
      <c r="D29" s="853" t="s">
        <v>50</v>
      </c>
      <c r="E29" s="853" t="s">
        <v>93</v>
      </c>
      <c r="F29" s="853" t="s">
        <v>99</v>
      </c>
      <c r="G29" s="853" t="s">
        <v>95</v>
      </c>
      <c r="H29" s="818">
        <v>0</v>
      </c>
      <c r="I29" s="819"/>
      <c r="J29" s="260"/>
      <c r="K29" s="262"/>
      <c r="L29" s="390"/>
      <c r="M29" s="822"/>
      <c r="N29" s="1470"/>
      <c r="O29" s="842"/>
      <c r="P29" s="843"/>
      <c r="Q29" s="843"/>
      <c r="R29" s="843"/>
      <c r="S29" s="843"/>
      <c r="T29" s="843"/>
      <c r="U29" s="843"/>
      <c r="V29" s="843"/>
      <c r="W29" s="822"/>
      <c r="X29" s="843"/>
      <c r="Y29" s="843"/>
      <c r="Z29" s="1462"/>
      <c r="AA29" s="311">
        <f>SUM(O29:Z29)</f>
        <v>0</v>
      </c>
      <c r="AB29" s="237">
        <f>M29-AA29</f>
        <v>0</v>
      </c>
      <c r="AC29" s="505"/>
      <c r="AD29" s="336"/>
      <c r="AE29" s="336"/>
      <c r="AF29" s="809"/>
      <c r="AG29" s="444"/>
      <c r="AH29" s="728">
        <f>AG29-M29</f>
        <v>0</v>
      </c>
    </row>
    <row r="30" spans="1:35" s="9" customFormat="1" ht="25.5">
      <c r="A30" s="1479" t="s">
        <v>100</v>
      </c>
      <c r="B30" s="821">
        <f>K30</f>
        <v>0</v>
      </c>
      <c r="C30" s="853" t="s">
        <v>45</v>
      </c>
      <c r="D30" s="853" t="s">
        <v>50</v>
      </c>
      <c r="E30" s="853" t="s">
        <v>93</v>
      </c>
      <c r="F30" s="853" t="s">
        <v>99</v>
      </c>
      <c r="G30" s="853" t="s">
        <v>95</v>
      </c>
      <c r="H30" s="818">
        <v>0</v>
      </c>
      <c r="I30" s="819"/>
      <c r="J30" s="260"/>
      <c r="K30" s="262"/>
      <c r="L30" s="390"/>
      <c r="M30" s="822"/>
      <c r="N30" s="1470"/>
      <c r="O30" s="842"/>
      <c r="P30" s="843"/>
      <c r="Q30" s="843"/>
      <c r="R30" s="843"/>
      <c r="S30" s="843"/>
      <c r="T30" s="843"/>
      <c r="U30" s="843"/>
      <c r="V30" s="843"/>
      <c r="W30" s="822"/>
      <c r="X30" s="843"/>
      <c r="Y30" s="843"/>
      <c r="Z30" s="1462"/>
      <c r="AA30" s="311">
        <f>SUM(O30:Z30)</f>
        <v>0</v>
      </c>
      <c r="AB30" s="237">
        <f>M30-AA30</f>
        <v>0</v>
      </c>
      <c r="AC30" s="505"/>
      <c r="AD30" s="336"/>
      <c r="AE30" s="336"/>
      <c r="AF30" s="809"/>
      <c r="AG30" s="444"/>
      <c r="AH30" s="728">
        <f>AG30-M30</f>
        <v>0</v>
      </c>
    </row>
    <row r="31" spans="1:35" s="9" customFormat="1" ht="25.5">
      <c r="A31" s="1479" t="s">
        <v>100</v>
      </c>
      <c r="B31" s="821">
        <f>K31</f>
        <v>0</v>
      </c>
      <c r="C31" s="853" t="s">
        <v>45</v>
      </c>
      <c r="D31" s="853" t="s">
        <v>50</v>
      </c>
      <c r="E31" s="853" t="s">
        <v>93</v>
      </c>
      <c r="F31" s="853" t="s">
        <v>99</v>
      </c>
      <c r="G31" s="853" t="s">
        <v>95</v>
      </c>
      <c r="H31" s="818">
        <v>0</v>
      </c>
      <c r="I31" s="819"/>
      <c r="J31" s="260"/>
      <c r="K31" s="262"/>
      <c r="L31" s="390"/>
      <c r="M31" s="822"/>
      <c r="N31" s="1470"/>
      <c r="O31" s="842"/>
      <c r="P31" s="843"/>
      <c r="Q31" s="843"/>
      <c r="R31" s="843"/>
      <c r="S31" s="843"/>
      <c r="T31" s="843"/>
      <c r="U31" s="843"/>
      <c r="V31" s="843"/>
      <c r="W31" s="822"/>
      <c r="X31" s="843"/>
      <c r="Y31" s="843"/>
      <c r="Z31" s="1462"/>
      <c r="AA31" s="311"/>
      <c r="AB31" s="237"/>
      <c r="AC31" s="505"/>
      <c r="AD31" s="336"/>
      <c r="AE31" s="336"/>
      <c r="AF31" s="809"/>
      <c r="AG31" s="444"/>
      <c r="AH31" s="728">
        <f>AG31-M31</f>
        <v>0</v>
      </c>
    </row>
    <row r="32" spans="1:35" s="9" customFormat="1" ht="25.5">
      <c r="A32" s="1479" t="s">
        <v>100</v>
      </c>
      <c r="B32" s="821">
        <f>K32</f>
        <v>0</v>
      </c>
      <c r="C32" s="853" t="s">
        <v>45</v>
      </c>
      <c r="D32" s="853" t="s">
        <v>50</v>
      </c>
      <c r="E32" s="853" t="s">
        <v>93</v>
      </c>
      <c r="F32" s="853" t="s">
        <v>99</v>
      </c>
      <c r="G32" s="853" t="s">
        <v>95</v>
      </c>
      <c r="H32" s="818">
        <v>0</v>
      </c>
      <c r="I32" s="819"/>
      <c r="J32" s="58"/>
      <c r="K32" s="58"/>
      <c r="L32" s="389"/>
      <c r="M32" s="822"/>
      <c r="N32" s="1470"/>
      <c r="O32" s="842"/>
      <c r="P32" s="843"/>
      <c r="Q32" s="843"/>
      <c r="R32" s="843"/>
      <c r="S32" s="843"/>
      <c r="T32" s="843"/>
      <c r="U32" s="843"/>
      <c r="V32" s="843"/>
      <c r="W32" s="822"/>
      <c r="X32" s="843"/>
      <c r="Y32" s="843"/>
      <c r="Z32" s="1462"/>
      <c r="AA32" s="311">
        <f>SUM(O32:Z32)</f>
        <v>0</v>
      </c>
      <c r="AB32" s="237">
        <f>M32-AA32</f>
        <v>0</v>
      </c>
      <c r="AC32" s="505"/>
      <c r="AD32" s="336"/>
      <c r="AE32" s="336"/>
      <c r="AF32" s="809"/>
      <c r="AG32" s="444"/>
      <c r="AH32" s="728">
        <f>AG32-M32</f>
        <v>0</v>
      </c>
    </row>
    <row r="33" spans="1:35">
      <c r="A33" s="202" t="s">
        <v>32</v>
      </c>
      <c r="B33" s="59">
        <f>B28-SUM(B29:B32)</f>
        <v>98905750</v>
      </c>
      <c r="C33" s="67"/>
      <c r="D33" s="67"/>
      <c r="E33" s="67"/>
      <c r="F33" s="67"/>
      <c r="G33" s="68"/>
      <c r="H33" s="275"/>
      <c r="I33" s="756"/>
      <c r="J33" s="63"/>
      <c r="K33" s="64">
        <f>SUM(K29:K32)</f>
        <v>0</v>
      </c>
      <c r="L33" s="513"/>
      <c r="M33" s="64">
        <f>SUM(M29:M32)</f>
        <v>0</v>
      </c>
      <c r="N33" s="1467"/>
      <c r="O33" s="360">
        <f t="shared" ref="O33:AB33" si="7">SUM(O29:O32)</f>
        <v>0</v>
      </c>
      <c r="P33" s="64">
        <f t="shared" si="7"/>
        <v>0</v>
      </c>
      <c r="Q33" s="64">
        <f t="shared" si="7"/>
        <v>0</v>
      </c>
      <c r="R33" s="64">
        <f t="shared" si="7"/>
        <v>0</v>
      </c>
      <c r="S33" s="64">
        <f t="shared" si="7"/>
        <v>0</v>
      </c>
      <c r="T33" s="64">
        <f t="shared" si="7"/>
        <v>0</v>
      </c>
      <c r="U33" s="64">
        <f t="shared" si="7"/>
        <v>0</v>
      </c>
      <c r="V33" s="64">
        <f t="shared" si="7"/>
        <v>0</v>
      </c>
      <c r="W33" s="64">
        <f t="shared" si="7"/>
        <v>0</v>
      </c>
      <c r="X33" s="64">
        <f t="shared" si="7"/>
        <v>0</v>
      </c>
      <c r="Y33" s="64">
        <f t="shared" si="7"/>
        <v>0</v>
      </c>
      <c r="Z33" s="235">
        <f t="shared" si="7"/>
        <v>0</v>
      </c>
      <c r="AA33" s="360">
        <f t="shared" si="7"/>
        <v>0</v>
      </c>
      <c r="AB33" s="235">
        <f t="shared" si="7"/>
        <v>0</v>
      </c>
      <c r="AC33" s="448"/>
      <c r="AD33" s="449"/>
      <c r="AE33" s="449"/>
      <c r="AF33" s="829"/>
      <c r="AG33" s="64">
        <f>SUM(AG29:AG32)</f>
        <v>0</v>
      </c>
      <c r="AH33" s="64">
        <f>SUM(AH29:AH32)</f>
        <v>0</v>
      </c>
      <c r="AI33" s="31">
        <f>B28-AG33</f>
        <v>98905750</v>
      </c>
    </row>
    <row r="34" spans="1:35" s="9" customFormat="1">
      <c r="A34" s="996"/>
      <c r="B34" s="226"/>
      <c r="C34" s="352"/>
      <c r="D34" s="353"/>
      <c r="E34" s="352"/>
      <c r="F34" s="352"/>
      <c r="G34" s="354"/>
      <c r="H34" s="355"/>
      <c r="I34" s="775"/>
      <c r="J34" s="228"/>
      <c r="K34" s="190"/>
      <c r="L34" s="514"/>
      <c r="M34" s="856"/>
      <c r="N34" s="1473"/>
      <c r="O34" s="857"/>
      <c r="P34" s="858"/>
      <c r="Q34" s="858"/>
      <c r="R34" s="858"/>
      <c r="S34" s="858"/>
      <c r="T34" s="858"/>
      <c r="U34" s="858"/>
      <c r="V34" s="858"/>
      <c r="W34" s="856"/>
      <c r="X34" s="858"/>
      <c r="Y34" s="858"/>
      <c r="Z34" s="859"/>
      <c r="AA34" s="857"/>
      <c r="AB34" s="859"/>
      <c r="AC34" s="860"/>
      <c r="AF34" s="830"/>
      <c r="AG34" s="444"/>
    </row>
    <row r="35" spans="1:35">
      <c r="A35" s="909" t="s">
        <v>53</v>
      </c>
      <c r="B35" s="95">
        <f>B16+B22+B28</f>
        <v>2424000000</v>
      </c>
      <c r="C35" s="16"/>
      <c r="D35" s="17"/>
      <c r="E35" s="16"/>
      <c r="F35" s="16"/>
      <c r="G35" s="18"/>
      <c r="H35" s="337"/>
      <c r="I35" s="784"/>
      <c r="J35" s="16"/>
      <c r="K35" s="19">
        <f>K21+K27+K33</f>
        <v>0</v>
      </c>
      <c r="L35" s="515"/>
      <c r="M35" s="19">
        <f>M21+M27+M33</f>
        <v>0</v>
      </c>
      <c r="N35" s="1474"/>
      <c r="O35" s="362">
        <f t="shared" ref="O35:AB35" si="8">O21+O27+O33</f>
        <v>0</v>
      </c>
      <c r="P35" s="19">
        <f t="shared" si="8"/>
        <v>0</v>
      </c>
      <c r="Q35" s="19">
        <f t="shared" si="8"/>
        <v>0</v>
      </c>
      <c r="R35" s="19">
        <f t="shared" si="8"/>
        <v>0</v>
      </c>
      <c r="S35" s="19">
        <f t="shared" si="8"/>
        <v>0</v>
      </c>
      <c r="T35" s="145">
        <f t="shared" si="8"/>
        <v>0</v>
      </c>
      <c r="U35" s="145">
        <f t="shared" si="8"/>
        <v>0</v>
      </c>
      <c r="V35" s="145">
        <f t="shared" si="8"/>
        <v>0</v>
      </c>
      <c r="W35" s="145">
        <f t="shared" si="8"/>
        <v>0</v>
      </c>
      <c r="X35" s="145">
        <f t="shared" si="8"/>
        <v>0</v>
      </c>
      <c r="Y35" s="145">
        <f t="shared" si="8"/>
        <v>0</v>
      </c>
      <c r="Z35" s="523">
        <f t="shared" si="8"/>
        <v>0</v>
      </c>
      <c r="AA35" s="1476">
        <f t="shared" si="8"/>
        <v>0</v>
      </c>
      <c r="AB35" s="523">
        <f t="shared" si="8"/>
        <v>0</v>
      </c>
      <c r="AC35" s="739"/>
      <c r="AD35" s="727"/>
      <c r="AE35" s="727"/>
      <c r="AF35" s="831"/>
      <c r="AG35" s="19">
        <f>AG21+AG27+AG33</f>
        <v>0</v>
      </c>
      <c r="AH35" s="19">
        <f>AH21+AH27+AH33</f>
        <v>0</v>
      </c>
      <c r="AI35" s="707" t="e">
        <f>AH35/AG35</f>
        <v>#DIV/0!</v>
      </c>
    </row>
    <row r="36" spans="1:35" hidden="1">
      <c r="A36" s="20"/>
      <c r="B36" s="96"/>
      <c r="C36" s="22"/>
      <c r="D36" s="22"/>
      <c r="E36" s="22"/>
      <c r="F36" s="22"/>
      <c r="G36" s="22"/>
      <c r="H36" s="281"/>
      <c r="I36" s="161"/>
      <c r="J36" s="22"/>
      <c r="K36" s="23"/>
      <c r="L36" s="138"/>
      <c r="M36" s="997"/>
      <c r="N36" s="998"/>
      <c r="O36" s="999"/>
      <c r="P36" s="999"/>
      <c r="Q36" s="999"/>
      <c r="R36" s="999"/>
      <c r="S36" s="999"/>
      <c r="T36" s="999"/>
      <c r="U36" s="999"/>
      <c r="V36" s="999"/>
      <c r="W36" s="997"/>
      <c r="X36" s="999"/>
      <c r="Y36" s="999"/>
      <c r="Z36" s="999"/>
      <c r="AA36" s="999"/>
      <c r="AB36" s="1000"/>
    </row>
    <row r="37" spans="1:35" hidden="1">
      <c r="A37" s="20"/>
      <c r="B37" s="96"/>
      <c r="C37" s="22"/>
      <c r="D37" s="22"/>
      <c r="E37" s="22"/>
      <c r="F37" s="22"/>
      <c r="G37" s="22"/>
      <c r="H37" s="281"/>
      <c r="I37" s="161"/>
      <c r="J37" s="22"/>
      <c r="K37" s="23"/>
      <c r="L37" s="138"/>
      <c r="M37" s="997"/>
      <c r="N37" s="998"/>
      <c r="O37" s="999"/>
      <c r="P37" s="999"/>
      <c r="Q37" s="999"/>
      <c r="R37" s="999"/>
      <c r="S37" s="999"/>
      <c r="T37" s="999"/>
      <c r="U37" s="999"/>
      <c r="V37" s="999"/>
      <c r="W37" s="997"/>
      <c r="X37" s="999"/>
      <c r="Y37" s="999"/>
      <c r="Z37" s="999"/>
      <c r="AA37" s="999"/>
      <c r="AB37" s="1000"/>
    </row>
    <row r="38" spans="1:35">
      <c r="A38" s="20"/>
      <c r="B38" s="96"/>
      <c r="C38" s="22"/>
      <c r="D38" s="22"/>
      <c r="E38" s="22"/>
      <c r="F38" s="22"/>
      <c r="G38" s="22"/>
      <c r="H38" s="281"/>
      <c r="I38" s="161"/>
      <c r="J38" s="22"/>
      <c r="K38" s="23"/>
      <c r="L38" s="138"/>
      <c r="M38" s="997"/>
      <c r="N38" s="998"/>
      <c r="O38" s="999"/>
      <c r="P38" s="999"/>
      <c r="Q38" s="999"/>
      <c r="R38" s="999"/>
      <c r="S38" s="999"/>
      <c r="T38" s="999"/>
      <c r="U38" s="999"/>
      <c r="V38" s="999"/>
      <c r="W38" s="997"/>
      <c r="X38" s="999"/>
      <c r="Y38" s="999"/>
      <c r="Z38" s="999"/>
      <c r="AA38" s="999"/>
      <c r="AB38" s="1000"/>
    </row>
    <row r="39" spans="1:35">
      <c r="A39" s="20"/>
      <c r="B39" s="22"/>
      <c r="C39" s="22"/>
      <c r="D39" s="22"/>
      <c r="E39" s="22"/>
      <c r="F39" s="22"/>
      <c r="G39" s="22"/>
      <c r="H39" s="281"/>
      <c r="I39" s="161"/>
      <c r="J39" s="22"/>
      <c r="K39" s="23"/>
      <c r="L39" s="138"/>
      <c r="M39" s="997"/>
      <c r="N39" s="998"/>
      <c r="O39" s="999"/>
      <c r="P39" s="999"/>
      <c r="Q39" s="999"/>
      <c r="R39" s="999"/>
      <c r="S39" s="999"/>
      <c r="T39" s="999"/>
      <c r="U39" s="999"/>
      <c r="V39" s="999"/>
      <c r="W39" s="997"/>
      <c r="X39" s="999"/>
      <c r="Y39" s="999"/>
      <c r="Z39" s="999"/>
      <c r="AA39" s="999"/>
      <c r="AB39" s="1000"/>
    </row>
    <row r="40" spans="1:35" s="165" customFormat="1" ht="31.5" customHeight="1">
      <c r="A40" s="24" t="s">
        <v>38</v>
      </c>
      <c r="B40" s="365" t="s">
        <v>19</v>
      </c>
      <c r="C40" s="867"/>
      <c r="D40" s="867"/>
      <c r="E40" s="867"/>
      <c r="F40" s="867"/>
      <c r="G40" s="872"/>
      <c r="H40" s="280"/>
      <c r="I40" s="769"/>
      <c r="J40" s="232"/>
      <c r="K40" s="147" t="s">
        <v>25</v>
      </c>
      <c r="L40" s="516" t="s">
        <v>26</v>
      </c>
      <c r="M40" s="26" t="s">
        <v>27</v>
      </c>
      <c r="N40" s="1001" t="s">
        <v>324</v>
      </c>
      <c r="O40" s="1002"/>
      <c r="P40" s="1002"/>
      <c r="Q40" s="1002"/>
      <c r="R40" s="1002"/>
      <c r="S40" s="1002"/>
      <c r="T40" s="1002"/>
      <c r="U40" s="1002"/>
      <c r="V40" s="1003"/>
      <c r="W40" s="1004"/>
      <c r="X40" s="1005"/>
      <c r="Y40" s="1005"/>
      <c r="Z40" s="1005"/>
      <c r="AA40" s="1004">
        <f>SUM(O40:Z40)</f>
        <v>0</v>
      </c>
      <c r="AB40" s="1006">
        <f>M35-AA40</f>
        <v>0</v>
      </c>
      <c r="AC40" s="874"/>
      <c r="AF40" s="873"/>
      <c r="AG40" s="871"/>
    </row>
    <row r="41" spans="1:35">
      <c r="A41" s="27" t="s">
        <v>39</v>
      </c>
      <c r="B41" s="358">
        <f>B16+B22+B28</f>
        <v>2424000000</v>
      </c>
      <c r="C41" s="925"/>
      <c r="D41" s="925"/>
      <c r="E41" s="925"/>
      <c r="F41" s="925"/>
      <c r="G41" s="887"/>
      <c r="H41" s="298"/>
      <c r="I41" s="297"/>
      <c r="J41" s="363"/>
      <c r="K41" s="148">
        <f>K35</f>
        <v>0</v>
      </c>
      <c r="L41" s="148">
        <f>M35</f>
        <v>0</v>
      </c>
      <c r="M41" s="169">
        <f>AA35</f>
        <v>0</v>
      </c>
      <c r="N41" s="998"/>
      <c r="O41" s="999"/>
      <c r="P41" s="999"/>
      <c r="Q41" s="999"/>
      <c r="R41" s="999"/>
      <c r="S41" s="999"/>
      <c r="T41" s="999"/>
      <c r="U41" s="999"/>
      <c r="V41" s="999"/>
      <c r="W41" s="997"/>
      <c r="X41" s="999"/>
      <c r="Y41" s="999"/>
      <c r="Z41" s="999"/>
      <c r="AA41" s="999"/>
      <c r="AB41" s="1000"/>
    </row>
    <row r="42" spans="1:35" s="535" customFormat="1" ht="15">
      <c r="A42" s="525"/>
      <c r="B42" s="526"/>
      <c r="C42" s="1565" t="s">
        <v>339</v>
      </c>
      <c r="D42" s="1591"/>
      <c r="F42" s="1591" t="s">
        <v>336</v>
      </c>
      <c r="G42" s="1591"/>
      <c r="H42" s="528"/>
      <c r="I42" s="797"/>
      <c r="J42" s="802"/>
      <c r="K42" s="529"/>
      <c r="L42" s="530" t="s">
        <v>39</v>
      </c>
      <c r="M42" s="531">
        <f>M35</f>
        <v>0</v>
      </c>
      <c r="N42" s="1007"/>
      <c r="O42" s="533">
        <f t="shared" ref="O42:Z42" si="9">O21+O27+O33</f>
        <v>0</v>
      </c>
      <c r="P42" s="533">
        <f t="shared" si="9"/>
        <v>0</v>
      </c>
      <c r="Q42" s="533">
        <f t="shared" si="9"/>
        <v>0</v>
      </c>
      <c r="R42" s="533">
        <f t="shared" si="9"/>
        <v>0</v>
      </c>
      <c r="S42" s="533">
        <f t="shared" si="9"/>
        <v>0</v>
      </c>
      <c r="T42" s="533">
        <f t="shared" si="9"/>
        <v>0</v>
      </c>
      <c r="U42" s="533">
        <f t="shared" si="9"/>
        <v>0</v>
      </c>
      <c r="V42" s="533">
        <f t="shared" si="9"/>
        <v>0</v>
      </c>
      <c r="W42" s="533">
        <f t="shared" si="9"/>
        <v>0</v>
      </c>
      <c r="X42" s="533">
        <f t="shared" si="9"/>
        <v>0</v>
      </c>
      <c r="Y42" s="533">
        <f t="shared" si="9"/>
        <v>0</v>
      </c>
      <c r="Z42" s="533">
        <f t="shared" si="9"/>
        <v>0</v>
      </c>
      <c r="AA42" s="533">
        <f>SUM(O42:Z42)</f>
        <v>0</v>
      </c>
      <c r="AB42" s="1008">
        <f>M42-AA42</f>
        <v>0</v>
      </c>
      <c r="AC42" s="534"/>
      <c r="AF42" s="832"/>
      <c r="AG42" s="536"/>
    </row>
    <row r="43" spans="1:35" ht="14.25">
      <c r="A43" s="71"/>
      <c r="B43" s="73"/>
      <c r="C43" s="1593" t="s">
        <v>89</v>
      </c>
      <c r="D43" s="1593"/>
      <c r="F43" s="1593" t="s">
        <v>337</v>
      </c>
      <c r="G43" s="1593"/>
      <c r="H43" s="296"/>
      <c r="I43" s="778"/>
      <c r="J43" s="73"/>
      <c r="K43" s="73"/>
      <c r="L43" s="517"/>
      <c r="M43" s="997"/>
      <c r="N43" s="998"/>
      <c r="O43" s="999"/>
      <c r="P43" s="999"/>
      <c r="Q43" s="999"/>
      <c r="R43" s="999"/>
      <c r="S43" s="999"/>
      <c r="T43" s="999"/>
      <c r="U43" s="999"/>
      <c r="V43" s="999">
        <f>V42-V40</f>
        <v>0</v>
      </c>
      <c r="W43" s="997"/>
      <c r="X43" s="999"/>
      <c r="Y43" s="999"/>
      <c r="Z43" s="999"/>
      <c r="AA43" s="999"/>
      <c r="AB43" s="1000"/>
    </row>
    <row r="44" spans="1:35">
      <c r="A44" s="71"/>
      <c r="B44" s="73"/>
      <c r="C44" s="73"/>
      <c r="D44" s="73"/>
      <c r="E44" s="73"/>
      <c r="F44" s="73"/>
      <c r="G44" s="73"/>
      <c r="H44" s="296"/>
      <c r="I44" s="778"/>
      <c r="J44" s="73"/>
      <c r="K44" s="73"/>
      <c r="L44" s="517"/>
      <c r="M44" s="997"/>
      <c r="N44" s="998"/>
      <c r="O44" s="999"/>
      <c r="P44" s="999"/>
      <c r="Q44" s="999"/>
      <c r="R44" s="999"/>
      <c r="S44" s="999"/>
      <c r="T44" s="999"/>
      <c r="U44" s="999"/>
      <c r="V44" s="999"/>
      <c r="W44" s="997"/>
      <c r="X44" s="999"/>
      <c r="Y44" s="999"/>
      <c r="Z44" s="999"/>
      <c r="AA44" s="999"/>
      <c r="AB44" s="1000"/>
    </row>
    <row r="45" spans="1:35" ht="14.25" customHeight="1" thickBot="1">
      <c r="A45" s="1459" t="s">
        <v>40</v>
      </c>
      <c r="B45" s="81"/>
      <c r="C45" s="77"/>
      <c r="D45" s="78"/>
      <c r="E45" s="79"/>
      <c r="F45" s="80"/>
      <c r="G45" s="80"/>
      <c r="H45" s="338"/>
      <c r="I45" s="798"/>
      <c r="J45" s="81"/>
      <c r="K45" s="81"/>
      <c r="L45" s="518"/>
      <c r="M45" s="1009"/>
      <c r="N45" s="1010"/>
      <c r="O45" s="1011"/>
      <c r="P45" s="1011"/>
      <c r="Q45" s="1011"/>
      <c r="R45" s="1011"/>
      <c r="S45" s="1011"/>
      <c r="T45" s="1011"/>
      <c r="U45" s="1011"/>
      <c r="V45" s="1011"/>
      <c r="W45" s="1009"/>
      <c r="X45" s="1011"/>
      <c r="Y45" s="1011"/>
      <c r="Z45" s="1011"/>
      <c r="AA45" s="1011"/>
      <c r="AB45" s="1012"/>
    </row>
    <row r="46" spans="1:35">
      <c r="F46" s="32"/>
      <c r="K46" s="610"/>
      <c r="L46" s="540"/>
      <c r="M46" s="882"/>
    </row>
    <row r="47" spans="1:35">
      <c r="K47" s="610"/>
      <c r="L47" s="540">
        <f>L46-L41</f>
        <v>0</v>
      </c>
      <c r="M47" s="882">
        <f>M46-M41</f>
        <v>0</v>
      </c>
    </row>
    <row r="48" spans="1:35">
      <c r="K48" s="540"/>
      <c r="L48" s="752"/>
      <c r="M48" s="882"/>
    </row>
    <row r="50" spans="1:6">
      <c r="A50" s="33"/>
      <c r="B50" s="97"/>
      <c r="C50" s="35"/>
      <c r="D50" s="36"/>
    </row>
    <row r="51" spans="1:6">
      <c r="A51" s="37"/>
      <c r="B51" s="98"/>
      <c r="C51" s="39"/>
      <c r="D51" s="40"/>
    </row>
    <row r="52" spans="1:6">
      <c r="A52" s="37"/>
      <c r="B52" s="98"/>
      <c r="C52" s="39"/>
      <c r="D52" s="40"/>
    </row>
    <row r="53" spans="1:6">
      <c r="A53" s="37"/>
      <c r="B53" s="98"/>
      <c r="C53" s="39"/>
      <c r="D53" s="40"/>
    </row>
    <row r="61" spans="1:6">
      <c r="A61" s="33"/>
      <c r="B61" s="97"/>
    </row>
    <row r="62" spans="1:6">
      <c r="A62" s="37"/>
      <c r="B62" s="98"/>
      <c r="F62" s="41"/>
    </row>
    <row r="63" spans="1:6">
      <c r="A63" s="37"/>
      <c r="B63" s="98"/>
      <c r="F63" s="41"/>
    </row>
    <row r="64" spans="1:6">
      <c r="A64" s="37"/>
      <c r="B64" s="98"/>
      <c r="F64" s="41"/>
    </row>
    <row r="65" spans="1:6">
      <c r="A65" s="37"/>
      <c r="B65" s="98"/>
      <c r="F65" s="41"/>
    </row>
    <row r="72" spans="1:6">
      <c r="A72" s="37"/>
      <c r="B72" s="98"/>
    </row>
    <row r="73" spans="1:6">
      <c r="A73" s="37"/>
      <c r="B73" s="98"/>
    </row>
    <row r="74" spans="1:6">
      <c r="A74" s="37"/>
      <c r="B74" s="98"/>
    </row>
    <row r="75" spans="1:6">
      <c r="A75" s="37"/>
      <c r="B75" s="98"/>
    </row>
    <row r="76" spans="1:6">
      <c r="A76" s="37"/>
      <c r="B76" s="98"/>
    </row>
    <row r="77" spans="1:6">
      <c r="A77" s="37"/>
      <c r="B77" s="98"/>
    </row>
    <row r="78" spans="1:6">
      <c r="A78" s="37"/>
      <c r="B78" s="98"/>
    </row>
    <row r="79" spans="1:6">
      <c r="A79" s="37"/>
      <c r="B79" s="98"/>
    </row>
    <row r="80" spans="1:6">
      <c r="A80" s="37"/>
      <c r="B80" s="98"/>
    </row>
    <row r="81" spans="1:2">
      <c r="A81" s="37"/>
      <c r="B81" s="98"/>
    </row>
    <row r="82" spans="1:2">
      <c r="A82" s="37"/>
      <c r="B82" s="98"/>
    </row>
    <row r="83" spans="1:2">
      <c r="A83" s="37"/>
      <c r="B83" s="98"/>
    </row>
    <row r="84" spans="1:2">
      <c r="A84" s="37"/>
      <c r="B84" s="98"/>
    </row>
    <row r="85" spans="1:2">
      <c r="A85" s="37"/>
      <c r="B85" s="98"/>
    </row>
    <row r="86" spans="1:2">
      <c r="A86" s="37"/>
      <c r="B86" s="98"/>
    </row>
    <row r="87" spans="1:2">
      <c r="A87" s="37"/>
      <c r="B87" s="98"/>
    </row>
    <row r="88" spans="1:2">
      <c r="A88" s="37"/>
      <c r="B88" s="98"/>
    </row>
    <row r="89" spans="1:2">
      <c r="A89" s="37"/>
      <c r="B89" s="98"/>
    </row>
    <row r="90" spans="1:2">
      <c r="A90" s="37"/>
      <c r="B90" s="98"/>
    </row>
  </sheetData>
  <autoFilter ref="A15:AI33"/>
  <mergeCells count="20">
    <mergeCell ref="C42:D42"/>
    <mergeCell ref="C43:D43"/>
    <mergeCell ref="F42:G42"/>
    <mergeCell ref="F43:G43"/>
    <mergeCell ref="B9:D9"/>
    <mergeCell ref="B10:G10"/>
    <mergeCell ref="B11:G11"/>
    <mergeCell ref="A8:G8"/>
    <mergeCell ref="A1:A2"/>
    <mergeCell ref="Y1:Z1"/>
    <mergeCell ref="AA1:AB1"/>
    <mergeCell ref="Y2:Z2"/>
    <mergeCell ref="AA2:AB2"/>
    <mergeCell ref="A3:G3"/>
    <mergeCell ref="A4:G4"/>
    <mergeCell ref="A5:G5"/>
    <mergeCell ref="A6:G6"/>
    <mergeCell ref="A7:G7"/>
    <mergeCell ref="C1:J1"/>
    <mergeCell ref="C2:J2"/>
  </mergeCells>
  <conditionalFormatting sqref="AB1:AB20 AB22:AB1048576">
    <cfRule type="cellIs" dxfId="20" priority="3" operator="lessThan">
      <formula>0</formula>
    </cfRule>
  </conditionalFormatting>
  <conditionalFormatting sqref="L1">
    <cfRule type="duplicateValues" dxfId="19" priority="2"/>
  </conditionalFormatting>
  <conditionalFormatting sqref="L2">
    <cfRule type="duplicateValues" dxfId="18" priority="1"/>
  </conditionalFormatting>
  <printOptions horizontalCentered="1" verticalCentered="1"/>
  <pageMargins left="0.54" right="0.38" top="0.61" bottom="0.31" header="0.31496062992125984" footer="0.26"/>
  <pageSetup scale="53" fitToWidth="2" fitToHeight="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8"/>
  <sheetViews>
    <sheetView showGridLines="0" zoomScale="77" zoomScaleNormal="77" workbookViewId="0">
      <selection activeCell="F14" sqref="F14"/>
    </sheetView>
  </sheetViews>
  <sheetFormatPr baseColWidth="10" defaultColWidth="19.7109375" defaultRowHeight="12"/>
  <cols>
    <col min="1" max="1" width="31.5703125" style="1016" customWidth="1"/>
    <col min="2" max="2" width="19.7109375" style="1298" customWidth="1"/>
    <col min="3" max="3" width="24.5703125" style="1016" customWidth="1"/>
    <col min="4" max="4" width="36" style="1016" customWidth="1"/>
    <col min="5" max="5" width="22.28515625" style="1016" customWidth="1"/>
    <col min="6" max="6" width="45.5703125" style="1016" customWidth="1"/>
    <col min="7" max="7" width="40.5703125" style="1016" customWidth="1"/>
    <col min="8" max="8" width="11.28515625" style="1301" customWidth="1"/>
    <col min="9" max="9" width="14.28515625" style="1066" customWidth="1"/>
    <col min="10" max="10" width="8.7109375" style="1302" customWidth="1"/>
    <col min="11" max="11" width="19.5703125" style="1298" customWidth="1"/>
    <col min="12" max="12" width="16.7109375" style="1298" customWidth="1"/>
    <col min="13" max="13" width="16.7109375" style="1066" customWidth="1"/>
    <col min="14" max="14" width="11.28515625" style="1283" customWidth="1"/>
    <col min="15" max="15" width="13" style="1288" customWidth="1"/>
    <col min="16" max="28" width="19.7109375" style="1288" customWidth="1"/>
    <col min="29" max="29" width="8.140625" style="1244" hidden="1" customWidth="1"/>
    <col min="30" max="31" width="0" style="1016" hidden="1" customWidth="1"/>
    <col min="32" max="32" width="10" style="1017" hidden="1" customWidth="1"/>
    <col min="33" max="33" width="0" style="1018" hidden="1" customWidth="1"/>
    <col min="34" max="34" width="25" style="1016" hidden="1" customWidth="1"/>
    <col min="35" max="35" width="0" style="1019" hidden="1" customWidth="1"/>
    <col min="36" max="16384" width="19.7109375" style="1016"/>
  </cols>
  <sheetData>
    <row r="1" spans="1:35" ht="42" customHeight="1">
      <c r="A1" s="1602"/>
      <c r="B1" s="1524" t="s">
        <v>0</v>
      </c>
      <c r="C1" s="1558" t="s">
        <v>1</v>
      </c>
      <c r="D1" s="1559"/>
      <c r="E1" s="1559"/>
      <c r="F1" s="1559"/>
      <c r="G1" s="1559"/>
      <c r="H1" s="1559"/>
      <c r="I1" s="1559"/>
      <c r="J1" s="1337"/>
      <c r="K1" s="1338"/>
      <c r="L1" s="1337"/>
      <c r="M1" s="1338"/>
      <c r="N1" s="1337"/>
      <c r="O1" s="1337"/>
      <c r="P1" s="1337"/>
      <c r="Q1" s="1337"/>
      <c r="R1" s="1337"/>
      <c r="S1" s="1337"/>
      <c r="T1" s="1337"/>
      <c r="U1" s="1337"/>
      <c r="V1" s="1337"/>
      <c r="W1" s="1337"/>
      <c r="X1" s="1339"/>
      <c r="Y1" s="1604" t="s">
        <v>2</v>
      </c>
      <c r="Z1" s="1604"/>
      <c r="AA1" s="1605" t="s">
        <v>3</v>
      </c>
      <c r="AB1" s="1606"/>
      <c r="AC1" s="1015"/>
    </row>
    <row r="2" spans="1:35" ht="42" customHeight="1">
      <c r="A2" s="1603"/>
      <c r="B2" s="1525" t="s">
        <v>4</v>
      </c>
      <c r="C2" s="1560" t="s">
        <v>5</v>
      </c>
      <c r="D2" s="1561"/>
      <c r="E2" s="1561"/>
      <c r="F2" s="1561"/>
      <c r="G2" s="1561"/>
      <c r="H2" s="1561"/>
      <c r="I2" s="977"/>
      <c r="J2" s="1340"/>
      <c r="K2" s="1340"/>
      <c r="L2" s="1340"/>
      <c r="M2" s="1340"/>
      <c r="N2" s="1340"/>
      <c r="O2" s="1340"/>
      <c r="P2" s="1340"/>
      <c r="Q2" s="1340"/>
      <c r="R2" s="1340"/>
      <c r="S2" s="1340"/>
      <c r="T2" s="1340"/>
      <c r="U2" s="1340"/>
      <c r="V2" s="1340"/>
      <c r="W2" s="1340"/>
      <c r="X2" s="1341"/>
      <c r="Y2" s="1607" t="s">
        <v>6</v>
      </c>
      <c r="Z2" s="1607"/>
      <c r="AA2" s="1608">
        <v>1</v>
      </c>
      <c r="AB2" s="1609"/>
      <c r="AC2" s="1015"/>
    </row>
    <row r="3" spans="1:35" s="1028" customFormat="1">
      <c r="A3" s="1597" t="s">
        <v>7</v>
      </c>
      <c r="B3" s="1598"/>
      <c r="C3" s="1598"/>
      <c r="D3" s="1598"/>
      <c r="E3" s="1598"/>
      <c r="F3" s="1598"/>
      <c r="G3" s="1598"/>
      <c r="H3" s="1020"/>
      <c r="I3" s="1021"/>
      <c r="J3" s="1022"/>
      <c r="K3" s="1023"/>
      <c r="L3" s="1023"/>
      <c r="M3" s="1021"/>
      <c r="N3" s="1024"/>
      <c r="O3" s="1025"/>
      <c r="P3" s="1025"/>
      <c r="Q3" s="1025"/>
      <c r="R3" s="1025"/>
      <c r="S3" s="1025"/>
      <c r="T3" s="1025"/>
      <c r="U3" s="1025"/>
      <c r="V3" s="1025"/>
      <c r="W3" s="1025"/>
      <c r="X3" s="1025"/>
      <c r="Y3" s="1025"/>
      <c r="Z3" s="1025"/>
      <c r="AA3" s="1025"/>
      <c r="AB3" s="1026"/>
      <c r="AC3" s="1027"/>
      <c r="AF3" s="1029"/>
      <c r="AG3" s="1030"/>
      <c r="AI3" s="1031"/>
    </row>
    <row r="4" spans="1:35" s="1028" customFormat="1">
      <c r="A4" s="1597" t="s">
        <v>381</v>
      </c>
      <c r="B4" s="1598"/>
      <c r="C4" s="1598"/>
      <c r="D4" s="1598"/>
      <c r="E4" s="1598"/>
      <c r="F4" s="1598"/>
      <c r="G4" s="1598"/>
      <c r="H4" s="1020"/>
      <c r="I4" s="1021"/>
      <c r="J4" s="1022"/>
      <c r="K4" s="1023"/>
      <c r="L4" s="1023"/>
      <c r="M4" s="1021"/>
      <c r="N4" s="1024"/>
      <c r="O4" s="1025"/>
      <c r="P4" s="1025"/>
      <c r="Q4" s="1025"/>
      <c r="R4" s="1025"/>
      <c r="S4" s="1025"/>
      <c r="T4" s="1025"/>
      <c r="U4" s="1025"/>
      <c r="V4" s="1025"/>
      <c r="W4" s="1025"/>
      <c r="X4" s="1025"/>
      <c r="Y4" s="1025"/>
      <c r="Z4" s="1025"/>
      <c r="AA4" s="1025"/>
      <c r="AB4" s="1026"/>
      <c r="AC4" s="1027"/>
      <c r="AF4" s="1029"/>
      <c r="AG4" s="1030"/>
      <c r="AI4" s="1031"/>
    </row>
    <row r="5" spans="1:35" s="1028" customFormat="1">
      <c r="A5" s="1597" t="s">
        <v>85</v>
      </c>
      <c r="B5" s="1598"/>
      <c r="C5" s="1598"/>
      <c r="D5" s="1598"/>
      <c r="E5" s="1598"/>
      <c r="F5" s="1598"/>
      <c r="G5" s="1598"/>
      <c r="H5" s="1020"/>
      <c r="I5" s="1021"/>
      <c r="J5" s="1022"/>
      <c r="K5" s="1023"/>
      <c r="L5" s="1023"/>
      <c r="M5" s="1021"/>
      <c r="N5" s="1024"/>
      <c r="O5" s="1025"/>
      <c r="P5" s="1025"/>
      <c r="Q5" s="1025"/>
      <c r="R5" s="1025"/>
      <c r="S5" s="1025"/>
      <c r="T5" s="1025"/>
      <c r="U5" s="1025"/>
      <c r="V5" s="1025"/>
      <c r="W5" s="1025"/>
      <c r="X5" s="1025"/>
      <c r="Y5" s="1025"/>
      <c r="Z5" s="1025"/>
      <c r="AA5" s="1025"/>
      <c r="AB5" s="1026"/>
      <c r="AC5" s="1027"/>
      <c r="AF5" s="1029"/>
      <c r="AG5" s="1030"/>
      <c r="AI5" s="1031"/>
    </row>
    <row r="6" spans="1:35" s="1028" customFormat="1">
      <c r="A6" s="1597" t="s">
        <v>86</v>
      </c>
      <c r="B6" s="1598"/>
      <c r="C6" s="1598"/>
      <c r="D6" s="1598"/>
      <c r="E6" s="1598"/>
      <c r="F6" s="1598"/>
      <c r="G6" s="1598"/>
      <c r="H6" s="1020"/>
      <c r="I6" s="1021"/>
      <c r="J6" s="1022"/>
      <c r="K6" s="1023"/>
      <c r="L6" s="1023"/>
      <c r="M6" s="1021"/>
      <c r="N6" s="1024"/>
      <c r="O6" s="1025"/>
      <c r="P6" s="1025"/>
      <c r="Q6" s="1025"/>
      <c r="R6" s="1025"/>
      <c r="S6" s="1025"/>
      <c r="T6" s="1025"/>
      <c r="U6" s="1025"/>
      <c r="V6" s="1025"/>
      <c r="W6" s="1025"/>
      <c r="X6" s="1025"/>
      <c r="Y6" s="1025"/>
      <c r="Z6" s="1025"/>
      <c r="AA6" s="1025"/>
      <c r="AB6" s="1026"/>
      <c r="AC6" s="1027"/>
      <c r="AF6" s="1029"/>
      <c r="AG6" s="1030"/>
      <c r="AI6" s="1031"/>
    </row>
    <row r="7" spans="1:35" s="1028" customFormat="1">
      <c r="A7" s="1597" t="s">
        <v>87</v>
      </c>
      <c r="B7" s="1598"/>
      <c r="C7" s="1598"/>
      <c r="D7" s="1598"/>
      <c r="E7" s="1598"/>
      <c r="F7" s="1598"/>
      <c r="G7" s="1598"/>
      <c r="H7" s="1020"/>
      <c r="I7" s="1021"/>
      <c r="J7" s="1022"/>
      <c r="K7" s="1023"/>
      <c r="L7" s="1023"/>
      <c r="M7" s="1021"/>
      <c r="N7" s="1024"/>
      <c r="O7" s="1025"/>
      <c r="P7" s="1025"/>
      <c r="Q7" s="1025"/>
      <c r="R7" s="1025"/>
      <c r="S7" s="1025"/>
      <c r="T7" s="1025"/>
      <c r="U7" s="1025"/>
      <c r="V7" s="1025"/>
      <c r="W7" s="1025"/>
      <c r="X7" s="1025"/>
      <c r="Y7" s="1025"/>
      <c r="Z7" s="1025"/>
      <c r="AA7" s="1025"/>
      <c r="AB7" s="1026"/>
      <c r="AC7" s="1027"/>
      <c r="AF7" s="1029"/>
      <c r="AG7" s="1030"/>
      <c r="AI7" s="1031"/>
    </row>
    <row r="8" spans="1:35" s="1028" customFormat="1">
      <c r="A8" s="1599" t="s">
        <v>310</v>
      </c>
      <c r="B8" s="1600"/>
      <c r="C8" s="1600"/>
      <c r="D8" s="1600"/>
      <c r="E8" s="1600"/>
      <c r="F8" s="1600"/>
      <c r="G8" s="1600"/>
      <c r="H8" s="1020"/>
      <c r="I8" s="1021"/>
      <c r="J8" s="1022"/>
      <c r="K8" s="1023"/>
      <c r="L8" s="1023"/>
      <c r="M8" s="1021"/>
      <c r="N8" s="1024"/>
      <c r="O8" s="1025"/>
      <c r="P8" s="1025"/>
      <c r="Q8" s="1025"/>
      <c r="R8" s="1025"/>
      <c r="S8" s="1025"/>
      <c r="T8" s="1025"/>
      <c r="U8" s="1025"/>
      <c r="V8" s="1025"/>
      <c r="W8" s="1025"/>
      <c r="X8" s="1025"/>
      <c r="Y8" s="1025"/>
      <c r="Z8" s="1025"/>
      <c r="AA8" s="1025"/>
      <c r="AB8" s="1026"/>
      <c r="AC8" s="1027"/>
      <c r="AF8" s="1029"/>
      <c r="AG8" s="1030"/>
      <c r="AI8" s="1031"/>
    </row>
    <row r="9" spans="1:35">
      <c r="A9" s="1032" t="s">
        <v>9</v>
      </c>
      <c r="B9" s="1598" t="s">
        <v>311</v>
      </c>
      <c r="C9" s="1598"/>
      <c r="D9" s="1598"/>
      <c r="E9" s="1033"/>
      <c r="F9" s="1033"/>
      <c r="G9" s="1034"/>
      <c r="H9" s="1020"/>
      <c r="I9" s="1021"/>
      <c r="J9" s="1035"/>
      <c r="K9" s="1023"/>
      <c r="L9" s="1023"/>
      <c r="M9" s="1021"/>
      <c r="N9" s="1024"/>
      <c r="O9" s="1025"/>
      <c r="P9" s="1025"/>
      <c r="Q9" s="1025"/>
      <c r="R9" s="1025"/>
      <c r="S9" s="1025"/>
      <c r="T9" s="1025"/>
      <c r="U9" s="1025"/>
      <c r="V9" s="1025"/>
      <c r="W9" s="1025"/>
      <c r="X9" s="1025"/>
      <c r="Y9" s="1025"/>
      <c r="Z9" s="1025"/>
      <c r="AA9" s="1025"/>
      <c r="AB9" s="1026"/>
      <c r="AC9" s="1027"/>
    </row>
    <row r="10" spans="1:35">
      <c r="A10" s="1032" t="s">
        <v>11</v>
      </c>
      <c r="B10" s="1598" t="s">
        <v>101</v>
      </c>
      <c r="C10" s="1598"/>
      <c r="D10" s="1598"/>
      <c r="E10" s="1598"/>
      <c r="F10" s="1598"/>
      <c r="G10" s="1598"/>
      <c r="H10" s="1020"/>
      <c r="I10" s="1021"/>
      <c r="J10" s="1035"/>
      <c r="K10" s="1036"/>
      <c r="L10" s="1036"/>
      <c r="M10" s="1021"/>
      <c r="N10" s="1024"/>
      <c r="O10" s="1025"/>
      <c r="P10" s="1025"/>
      <c r="Q10" s="1025"/>
      <c r="R10" s="1025"/>
      <c r="S10" s="1025"/>
      <c r="T10" s="1025"/>
      <c r="U10" s="1025"/>
      <c r="V10" s="1025"/>
      <c r="W10" s="1025"/>
      <c r="X10" s="1025"/>
      <c r="Y10" s="1025"/>
      <c r="Z10" s="1025"/>
      <c r="AA10" s="1025"/>
      <c r="AB10" s="1026"/>
      <c r="AC10" s="1027"/>
    </row>
    <row r="11" spans="1:35">
      <c r="A11" s="1037" t="s">
        <v>13</v>
      </c>
      <c r="B11" s="1598" t="s">
        <v>102</v>
      </c>
      <c r="C11" s="1598"/>
      <c r="D11" s="1598"/>
      <c r="E11" s="1598"/>
      <c r="F11" s="1598"/>
      <c r="G11" s="1598"/>
      <c r="H11" s="1020"/>
      <c r="I11" s="1021"/>
      <c r="J11" s="1035"/>
      <c r="K11" s="1036"/>
      <c r="L11" s="1036"/>
      <c r="M11" s="1021"/>
      <c r="N11" s="1024"/>
      <c r="O11" s="1025"/>
      <c r="P11" s="1025"/>
      <c r="Q11" s="1025"/>
      <c r="R11" s="1025"/>
      <c r="S11" s="1025"/>
      <c r="T11" s="1025"/>
      <c r="U11" s="1025"/>
      <c r="V11" s="1025"/>
      <c r="W11" s="1025"/>
      <c r="X11" s="1025"/>
      <c r="Y11" s="1025"/>
      <c r="Z11" s="1025"/>
      <c r="AA11" s="1025"/>
      <c r="AB11" s="1026"/>
      <c r="AC11" s="1027"/>
    </row>
    <row r="12" spans="1:35">
      <c r="A12" s="1038" t="s">
        <v>15</v>
      </c>
      <c r="B12" s="1039">
        <v>43475</v>
      </c>
      <c r="C12" s="1040"/>
      <c r="D12" s="1040"/>
      <c r="E12" s="1040"/>
      <c r="F12" s="1040"/>
      <c r="G12" s="1041"/>
      <c r="H12" s="1020"/>
      <c r="I12" s="1021"/>
      <c r="J12" s="1035"/>
      <c r="K12" s="1036"/>
      <c r="L12" s="1036"/>
      <c r="M12" s="1021"/>
      <c r="N12" s="1024"/>
      <c r="O12" s="1025"/>
      <c r="P12" s="1025"/>
      <c r="Q12" s="1025"/>
      <c r="R12" s="1025"/>
      <c r="S12" s="1025"/>
      <c r="T12" s="1025"/>
      <c r="U12" s="1025"/>
      <c r="V12" s="1025"/>
      <c r="W12" s="1025"/>
      <c r="X12" s="1025"/>
      <c r="Y12" s="1025"/>
      <c r="Z12" s="1025"/>
      <c r="AA12" s="1025"/>
      <c r="AB12" s="1026"/>
      <c r="AC12" s="1027"/>
    </row>
    <row r="13" spans="1:35">
      <c r="A13" s="1042" t="s">
        <v>16</v>
      </c>
      <c r="B13" s="1043">
        <f>D14-E14</f>
        <v>0</v>
      </c>
      <c r="C13" s="1044" t="s">
        <v>314</v>
      </c>
      <c r="D13" s="1044" t="s">
        <v>315</v>
      </c>
      <c r="E13" s="1044" t="s">
        <v>316</v>
      </c>
      <c r="F13" s="1040"/>
      <c r="G13" s="1041"/>
      <c r="H13" s="1045"/>
      <c r="I13" s="1046"/>
      <c r="J13" s="1047"/>
      <c r="K13" s="1048"/>
      <c r="L13" s="1048"/>
      <c r="M13" s="1046"/>
      <c r="N13" s="1049"/>
      <c r="O13" s="1050"/>
      <c r="P13" s="1050"/>
      <c r="Q13" s="1050"/>
      <c r="R13" s="1050"/>
      <c r="S13" s="1050"/>
      <c r="T13" s="1050"/>
      <c r="U13" s="1050"/>
      <c r="V13" s="1050"/>
      <c r="W13" s="1050"/>
      <c r="X13" s="1050"/>
      <c r="Y13" s="1050"/>
      <c r="Z13" s="1050"/>
      <c r="AA13" s="1050"/>
      <c r="AB13" s="1051"/>
      <c r="AC13" s="1027"/>
    </row>
    <row r="14" spans="1:35" s="1065" customFormat="1">
      <c r="A14" s="1052" t="s">
        <v>103</v>
      </c>
      <c r="B14" s="1053">
        <f>16997000000+B13</f>
        <v>16997000000</v>
      </c>
      <c r="C14" s="1054"/>
      <c r="D14" s="1054"/>
      <c r="E14" s="1054"/>
      <c r="F14" s="1055"/>
      <c r="G14" s="1056"/>
      <c r="H14" s="1057"/>
      <c r="I14" s="1058"/>
      <c r="J14" s="1059"/>
      <c r="K14" s="1058"/>
      <c r="L14" s="1060"/>
      <c r="M14" s="1061"/>
      <c r="N14" s="1062"/>
      <c r="O14" s="1063"/>
      <c r="P14" s="1063"/>
      <c r="Q14" s="1063"/>
      <c r="R14" s="1063"/>
      <c r="S14" s="1063"/>
      <c r="T14" s="1063"/>
      <c r="U14" s="1063"/>
      <c r="V14" s="1063"/>
      <c r="W14" s="1063"/>
      <c r="X14" s="1063"/>
      <c r="Y14" s="1063"/>
      <c r="Z14" s="1063"/>
      <c r="AA14" s="1063"/>
      <c r="AB14" s="1064"/>
      <c r="AC14" s="1024"/>
      <c r="AF14" s="1017"/>
      <c r="AG14" s="1066"/>
      <c r="AI14" s="1019"/>
    </row>
    <row r="15" spans="1:35" s="1071" customFormat="1" ht="24">
      <c r="A15" s="1067" t="s">
        <v>18</v>
      </c>
      <c r="B15" s="1068" t="s">
        <v>19</v>
      </c>
      <c r="C15" s="1069" t="s">
        <v>20</v>
      </c>
      <c r="D15" s="1069" t="s">
        <v>21</v>
      </c>
      <c r="E15" s="1069" t="s">
        <v>22</v>
      </c>
      <c r="F15" s="1069" t="s">
        <v>379</v>
      </c>
      <c r="G15" s="1069" t="s">
        <v>24</v>
      </c>
      <c r="H15" s="1070" t="s">
        <v>126</v>
      </c>
      <c r="I15" s="6" t="s">
        <v>279</v>
      </c>
      <c r="J15" s="132" t="s">
        <v>127</v>
      </c>
      <c r="K15" s="6" t="s">
        <v>25</v>
      </c>
      <c r="L15" s="394" t="s">
        <v>128</v>
      </c>
      <c r="M15" s="339" t="s">
        <v>147</v>
      </c>
      <c r="N15" s="382" t="s">
        <v>129</v>
      </c>
      <c r="O15" s="343" t="s">
        <v>130</v>
      </c>
      <c r="P15" s="339" t="s">
        <v>131</v>
      </c>
      <c r="Q15" s="339" t="s">
        <v>132</v>
      </c>
      <c r="R15" s="339" t="s">
        <v>133</v>
      </c>
      <c r="S15" s="339" t="s">
        <v>134</v>
      </c>
      <c r="T15" s="339" t="s">
        <v>135</v>
      </c>
      <c r="U15" s="339" t="s">
        <v>136</v>
      </c>
      <c r="V15" s="339" t="s">
        <v>137</v>
      </c>
      <c r="W15" s="339" t="s">
        <v>138</v>
      </c>
      <c r="X15" s="339" t="s">
        <v>139</v>
      </c>
      <c r="Y15" s="339" t="s">
        <v>140</v>
      </c>
      <c r="Z15" s="400" t="s">
        <v>141</v>
      </c>
      <c r="AA15" s="343" t="s">
        <v>142</v>
      </c>
      <c r="AB15" s="400" t="s">
        <v>143</v>
      </c>
      <c r="AC15" s="385" t="s">
        <v>312</v>
      </c>
      <c r="AD15" s="383" t="s">
        <v>145</v>
      </c>
      <c r="AE15" s="147" t="s">
        <v>146</v>
      </c>
      <c r="AF15" s="367" t="s">
        <v>253</v>
      </c>
      <c r="AG15" s="147" t="s">
        <v>258</v>
      </c>
      <c r="AH15" s="623" t="s">
        <v>313</v>
      </c>
      <c r="AI15" s="1019"/>
    </row>
    <row r="16" spans="1:35" s="1028" customFormat="1" ht="36" customHeight="1">
      <c r="A16" s="1072" t="s">
        <v>104</v>
      </c>
      <c r="B16" s="1073">
        <f>B17+B20+B23+B26+B29+B32+B35</f>
        <v>10460000000</v>
      </c>
      <c r="C16" s="386"/>
      <c r="D16" s="129"/>
      <c r="E16" s="129"/>
      <c r="F16" s="129"/>
      <c r="G16" s="130"/>
      <c r="H16" s="1074"/>
      <c r="I16" s="1075"/>
      <c r="J16" s="1076"/>
      <c r="K16" s="692"/>
      <c r="L16" s="692"/>
      <c r="M16" s="1077"/>
      <c r="N16" s="1078"/>
      <c r="O16" s="1079"/>
      <c r="P16" s="1080"/>
      <c r="Q16" s="1080"/>
      <c r="R16" s="1080"/>
      <c r="S16" s="1080"/>
      <c r="T16" s="1080"/>
      <c r="U16" s="1080"/>
      <c r="V16" s="1080"/>
      <c r="W16" s="1080"/>
      <c r="X16" s="1080"/>
      <c r="Y16" s="1080"/>
      <c r="Z16" s="1081"/>
      <c r="AA16" s="1079"/>
      <c r="AB16" s="1081"/>
      <c r="AC16" s="1082"/>
      <c r="AD16" s="1083"/>
      <c r="AE16" s="1084"/>
      <c r="AF16" s="1085"/>
      <c r="AG16" s="1086"/>
      <c r="AH16" s="1087"/>
      <c r="AI16" s="1031"/>
    </row>
    <row r="17" spans="1:35" s="1097" customFormat="1" ht="69" customHeight="1">
      <c r="A17" s="1072" t="s">
        <v>104</v>
      </c>
      <c r="B17" s="1088">
        <f>5991346000+1000000000</f>
        <v>6991346000</v>
      </c>
      <c r="C17" s="386" t="s">
        <v>45</v>
      </c>
      <c r="D17" s="1480" t="s">
        <v>105</v>
      </c>
      <c r="E17" s="1480" t="s">
        <v>348</v>
      </c>
      <c r="F17" s="1480" t="s">
        <v>370</v>
      </c>
      <c r="G17" s="1481" t="s">
        <v>106</v>
      </c>
      <c r="H17" s="1089">
        <v>0</v>
      </c>
      <c r="I17" s="1090"/>
      <c r="J17" s="690"/>
      <c r="K17" s="691"/>
      <c r="L17" s="691"/>
      <c r="M17" s="1091"/>
      <c r="N17" s="1078"/>
      <c r="O17" s="1079"/>
      <c r="P17" s="1080"/>
      <c r="Q17" s="1080"/>
      <c r="R17" s="1080"/>
      <c r="S17" s="1080"/>
      <c r="T17" s="1080"/>
      <c r="U17" s="1080"/>
      <c r="V17" s="1080"/>
      <c r="W17" s="1080"/>
      <c r="X17" s="1080"/>
      <c r="Y17" s="1080"/>
      <c r="Z17" s="1081"/>
      <c r="AA17" s="1079"/>
      <c r="AB17" s="1081"/>
      <c r="AC17" s="1082"/>
      <c r="AD17" s="1092"/>
      <c r="AE17" s="1093"/>
      <c r="AF17" s="1094"/>
      <c r="AG17" s="1086"/>
      <c r="AH17" s="1095"/>
      <c r="AI17" s="1096"/>
    </row>
    <row r="18" spans="1:35" s="1028" customFormat="1">
      <c r="A18" s="1098"/>
      <c r="B18" s="376">
        <f>K18</f>
        <v>0</v>
      </c>
      <c r="C18" s="128" t="s">
        <v>45</v>
      </c>
      <c r="D18" s="129" t="s">
        <v>105</v>
      </c>
      <c r="E18" s="129" t="s">
        <v>348</v>
      </c>
      <c r="F18" s="129" t="s">
        <v>370</v>
      </c>
      <c r="G18" s="130" t="s">
        <v>106</v>
      </c>
      <c r="H18" s="1099">
        <v>0</v>
      </c>
      <c r="I18" s="1100"/>
      <c r="J18" s="1101"/>
      <c r="K18" s="262"/>
      <c r="L18" s="85"/>
      <c r="M18" s="1111"/>
      <c r="N18" s="1103"/>
      <c r="O18" s="1102"/>
      <c r="P18" s="788"/>
      <c r="Q18" s="788"/>
      <c r="R18" s="788"/>
      <c r="S18" s="788"/>
      <c r="T18" s="788"/>
      <c r="U18" s="788"/>
      <c r="V18" s="788"/>
      <c r="W18" s="788"/>
      <c r="X18" s="788"/>
      <c r="Y18" s="788"/>
      <c r="Z18" s="1146"/>
      <c r="AA18" s="1112">
        <f t="shared" ref="AA18" si="0">SUM(O18:Z18)</f>
        <v>0</v>
      </c>
      <c r="AB18" s="1105">
        <f t="shared" ref="AB18" si="1">M18-AA18</f>
        <v>0</v>
      </c>
      <c r="AC18" s="1106"/>
      <c r="AD18" s="1107"/>
      <c r="AE18" s="1108"/>
      <c r="AF18" s="1109">
        <f>N18</f>
        <v>0</v>
      </c>
      <c r="AG18" s="1112"/>
      <c r="AH18" s="1110">
        <f>AG18-M18</f>
        <v>0</v>
      </c>
      <c r="AI18" s="1031"/>
    </row>
    <row r="19" spans="1:35" s="1028" customFormat="1">
      <c r="A19" s="1113" t="s">
        <v>107</v>
      </c>
      <c r="B19" s="1114">
        <f>B17-SUM(B18:B18)</f>
        <v>6991346000</v>
      </c>
      <c r="C19" s="1115"/>
      <c r="D19" s="1115"/>
      <c r="E19" s="1115"/>
      <c r="F19" s="1115"/>
      <c r="G19" s="1116"/>
      <c r="H19" s="1117"/>
      <c r="I19" s="323"/>
      <c r="J19" s="136"/>
      <c r="K19" s="15">
        <f>SUM(K18:K18)</f>
        <v>0</v>
      </c>
      <c r="L19" s="15"/>
      <c r="M19" s="15">
        <f>SUM(M18:M18)</f>
        <v>0</v>
      </c>
      <c r="N19" s="236"/>
      <c r="O19" s="323">
        <f t="shared" ref="O19:AB19" si="2">SUM(O18:O18)</f>
        <v>0</v>
      </c>
      <c r="P19" s="15">
        <f t="shared" si="2"/>
        <v>0</v>
      </c>
      <c r="Q19" s="15">
        <f t="shared" si="2"/>
        <v>0</v>
      </c>
      <c r="R19" s="15">
        <f t="shared" si="2"/>
        <v>0</v>
      </c>
      <c r="S19" s="15">
        <f t="shared" si="2"/>
        <v>0</v>
      </c>
      <c r="T19" s="15">
        <f t="shared" si="2"/>
        <v>0</v>
      </c>
      <c r="U19" s="15">
        <f t="shared" si="2"/>
        <v>0</v>
      </c>
      <c r="V19" s="15">
        <f t="shared" si="2"/>
        <v>0</v>
      </c>
      <c r="W19" s="15">
        <f t="shared" si="2"/>
        <v>0</v>
      </c>
      <c r="X19" s="15">
        <f t="shared" si="2"/>
        <v>0</v>
      </c>
      <c r="Y19" s="15">
        <f t="shared" si="2"/>
        <v>0</v>
      </c>
      <c r="Z19" s="236">
        <f t="shared" si="2"/>
        <v>0</v>
      </c>
      <c r="AA19" s="323">
        <f t="shared" si="2"/>
        <v>0</v>
      </c>
      <c r="AB19" s="236">
        <f t="shared" si="2"/>
        <v>0</v>
      </c>
      <c r="AC19" s="1118"/>
      <c r="AD19" s="1119"/>
      <c r="AE19" s="1120"/>
      <c r="AF19" s="1121"/>
      <c r="AG19" s="15">
        <f>SUM(AG18:AG18)</f>
        <v>0</v>
      </c>
      <c r="AH19" s="15">
        <f>SUM(AH18:AH18)</f>
        <v>0</v>
      </c>
      <c r="AI19" s="1122">
        <f>B17-AG19</f>
        <v>6991346000</v>
      </c>
    </row>
    <row r="20" spans="1:35" s="1097" customFormat="1" ht="81" customHeight="1">
      <c r="A20" s="1072" t="s">
        <v>104</v>
      </c>
      <c r="B20" s="1088">
        <v>864424000</v>
      </c>
      <c r="C20" s="386" t="s">
        <v>110</v>
      </c>
      <c r="D20" s="1480" t="s">
        <v>105</v>
      </c>
      <c r="E20" s="1480" t="s">
        <v>348</v>
      </c>
      <c r="F20" s="1480" t="s">
        <v>370</v>
      </c>
      <c r="G20" s="1481" t="s">
        <v>106</v>
      </c>
      <c r="H20" s="1089">
        <v>0</v>
      </c>
      <c r="I20" s="1090"/>
      <c r="J20" s="690"/>
      <c r="K20" s="691"/>
      <c r="L20" s="691"/>
      <c r="M20" s="1091"/>
      <c r="N20" s="1078"/>
      <c r="O20" s="1079"/>
      <c r="P20" s="1080"/>
      <c r="Q20" s="1080"/>
      <c r="R20" s="1080"/>
      <c r="S20" s="1080"/>
      <c r="T20" s="1080"/>
      <c r="U20" s="1080"/>
      <c r="V20" s="1080"/>
      <c r="W20" s="1080"/>
      <c r="X20" s="1080"/>
      <c r="Y20" s="1080"/>
      <c r="Z20" s="1081"/>
      <c r="AA20" s="1079"/>
      <c r="AB20" s="1081"/>
      <c r="AC20" s="1082"/>
      <c r="AD20" s="1092"/>
      <c r="AE20" s="1093"/>
      <c r="AF20" s="1094"/>
      <c r="AG20" s="1086"/>
      <c r="AH20" s="1095"/>
      <c r="AI20" s="1096"/>
    </row>
    <row r="21" spans="1:35" s="1028" customFormat="1">
      <c r="A21" s="1130"/>
      <c r="B21" s="376">
        <f>K21</f>
        <v>0</v>
      </c>
      <c r="C21" s="128" t="s">
        <v>110</v>
      </c>
      <c r="D21" s="129" t="s">
        <v>105</v>
      </c>
      <c r="E21" s="129" t="s">
        <v>348</v>
      </c>
      <c r="F21" s="129" t="s">
        <v>370</v>
      </c>
      <c r="G21" s="130" t="s">
        <v>106</v>
      </c>
      <c r="H21" s="1099">
        <v>0</v>
      </c>
      <c r="I21" s="1100"/>
      <c r="J21" s="389"/>
      <c r="K21" s="85"/>
      <c r="L21" s="85"/>
      <c r="M21" s="1111"/>
      <c r="N21" s="1103"/>
      <c r="O21" s="1102"/>
      <c r="P21" s="788"/>
      <c r="Q21" s="788"/>
      <c r="R21" s="788"/>
      <c r="S21" s="788"/>
      <c r="T21" s="788"/>
      <c r="U21" s="788"/>
      <c r="V21" s="788"/>
      <c r="W21" s="788"/>
      <c r="X21" s="788"/>
      <c r="Y21" s="788"/>
      <c r="Z21" s="1146"/>
      <c r="AA21" s="1112">
        <f>SUM(O21:Z21)</f>
        <v>0</v>
      </c>
      <c r="AB21" s="1105">
        <f>M21-AA21</f>
        <v>0</v>
      </c>
      <c r="AC21" s="1106"/>
      <c r="AD21" s="1107"/>
      <c r="AE21" s="1108"/>
      <c r="AF21" s="1109">
        <f>N21</f>
        <v>0</v>
      </c>
      <c r="AG21" s="1112"/>
      <c r="AH21" s="1110">
        <f>AG21-M21</f>
        <v>0</v>
      </c>
      <c r="AI21" s="1031"/>
    </row>
    <row r="22" spans="1:35" s="1028" customFormat="1">
      <c r="A22" s="1113" t="s">
        <v>107</v>
      </c>
      <c r="B22" s="1114">
        <f>+B21-J21</f>
        <v>0</v>
      </c>
      <c r="C22" s="1115"/>
      <c r="D22" s="1115"/>
      <c r="E22" s="1115"/>
      <c r="F22" s="1115"/>
      <c r="G22" s="1116"/>
      <c r="H22" s="1117"/>
      <c r="I22" s="323"/>
      <c r="J22" s="136"/>
      <c r="K22" s="15">
        <f>SUM(K21:K21)</f>
        <v>0</v>
      </c>
      <c r="L22" s="15"/>
      <c r="M22" s="15">
        <f>SUM(M21:M21)</f>
        <v>0</v>
      </c>
      <c r="N22" s="236"/>
      <c r="O22" s="323">
        <f t="shared" ref="O22:AB22" si="3">SUM(O21:O21)</f>
        <v>0</v>
      </c>
      <c r="P22" s="15">
        <f t="shared" si="3"/>
        <v>0</v>
      </c>
      <c r="Q22" s="15">
        <f t="shared" si="3"/>
        <v>0</v>
      </c>
      <c r="R22" s="15">
        <f t="shared" si="3"/>
        <v>0</v>
      </c>
      <c r="S22" s="15">
        <f t="shared" si="3"/>
        <v>0</v>
      </c>
      <c r="T22" s="15">
        <f t="shared" si="3"/>
        <v>0</v>
      </c>
      <c r="U22" s="15">
        <f t="shared" si="3"/>
        <v>0</v>
      </c>
      <c r="V22" s="15">
        <f t="shared" si="3"/>
        <v>0</v>
      </c>
      <c r="W22" s="15">
        <f t="shared" si="3"/>
        <v>0</v>
      </c>
      <c r="X22" s="15">
        <f t="shared" si="3"/>
        <v>0</v>
      </c>
      <c r="Y22" s="15">
        <f t="shared" si="3"/>
        <v>0</v>
      </c>
      <c r="Z22" s="236">
        <f t="shared" si="3"/>
        <v>0</v>
      </c>
      <c r="AA22" s="323">
        <f t="shared" si="3"/>
        <v>0</v>
      </c>
      <c r="AB22" s="236">
        <f t="shared" si="3"/>
        <v>0</v>
      </c>
      <c r="AC22" s="1126"/>
      <c r="AD22" s="1119"/>
      <c r="AE22" s="1120"/>
      <c r="AF22" s="1121"/>
      <c r="AG22" s="15">
        <f>SUM(AG21:AG21)</f>
        <v>0</v>
      </c>
      <c r="AH22" s="15">
        <f>SUM(AH21:AH21)</f>
        <v>0</v>
      </c>
      <c r="AI22" s="1122">
        <f>B20-AG22</f>
        <v>864424000</v>
      </c>
    </row>
    <row r="23" spans="1:35" s="1097" customFormat="1" ht="74.25" customHeight="1">
      <c r="A23" s="1072" t="s">
        <v>104</v>
      </c>
      <c r="B23" s="1088">
        <v>725000</v>
      </c>
      <c r="C23" s="386" t="s">
        <v>109</v>
      </c>
      <c r="D23" s="1480" t="s">
        <v>105</v>
      </c>
      <c r="E23" s="1480" t="s">
        <v>348</v>
      </c>
      <c r="F23" s="1480" t="s">
        <v>370</v>
      </c>
      <c r="G23" s="1481" t="s">
        <v>106</v>
      </c>
      <c r="H23" s="1089">
        <v>0</v>
      </c>
      <c r="I23" s="1090"/>
      <c r="J23" s="690"/>
      <c r="K23" s="691"/>
      <c r="L23" s="691"/>
      <c r="M23" s="1091"/>
      <c r="N23" s="1078"/>
      <c r="O23" s="1079"/>
      <c r="P23" s="1080"/>
      <c r="Q23" s="1080"/>
      <c r="R23" s="1080"/>
      <c r="S23" s="1080"/>
      <c r="T23" s="1080"/>
      <c r="U23" s="1080"/>
      <c r="V23" s="1080"/>
      <c r="W23" s="1080"/>
      <c r="X23" s="1080"/>
      <c r="Y23" s="1080"/>
      <c r="Z23" s="1081"/>
      <c r="AA23" s="1079"/>
      <c r="AB23" s="1081"/>
      <c r="AC23" s="1082"/>
      <c r="AD23" s="1092"/>
      <c r="AE23" s="1093"/>
      <c r="AF23" s="1094"/>
      <c r="AG23" s="1086"/>
      <c r="AH23" s="1095"/>
      <c r="AI23" s="1096"/>
    </row>
    <row r="24" spans="1:35" s="1028" customFormat="1">
      <c r="A24" s="1130"/>
      <c r="B24" s="376">
        <f>K24</f>
        <v>0</v>
      </c>
      <c r="C24" s="128" t="s">
        <v>109</v>
      </c>
      <c r="D24" s="129" t="s">
        <v>105</v>
      </c>
      <c r="E24" s="129" t="s">
        <v>348</v>
      </c>
      <c r="F24" s="129" t="s">
        <v>370</v>
      </c>
      <c r="G24" s="130" t="s">
        <v>106</v>
      </c>
      <c r="H24" s="1099">
        <v>0</v>
      </c>
      <c r="I24" s="1100"/>
      <c r="J24" s="389"/>
      <c r="K24" s="85"/>
      <c r="L24" s="85"/>
      <c r="M24" s="1111"/>
      <c r="N24" s="1103"/>
      <c r="O24" s="1102"/>
      <c r="P24" s="788"/>
      <c r="Q24" s="788"/>
      <c r="R24" s="788"/>
      <c r="S24" s="788"/>
      <c r="T24" s="788"/>
      <c r="U24" s="788"/>
      <c r="V24" s="788"/>
      <c r="W24" s="788"/>
      <c r="X24" s="788"/>
      <c r="Y24" s="788"/>
      <c r="Z24" s="1146"/>
      <c r="AA24" s="1112">
        <f>SUM(O24:Z24)</f>
        <v>0</v>
      </c>
      <c r="AB24" s="1105">
        <f>M24-AA24</f>
        <v>0</v>
      </c>
      <c r="AC24" s="1106"/>
      <c r="AD24" s="1107"/>
      <c r="AE24" s="1108"/>
      <c r="AF24" s="1109">
        <f>N24</f>
        <v>0</v>
      </c>
      <c r="AG24" s="1112"/>
      <c r="AH24" s="1110">
        <f>AG24-M24</f>
        <v>0</v>
      </c>
      <c r="AI24" s="1031"/>
    </row>
    <row r="25" spans="1:35" s="1028" customFormat="1">
      <c r="A25" s="1113" t="s">
        <v>107</v>
      </c>
      <c r="B25" s="1114">
        <f>B23-SUM(B24:B24)</f>
        <v>725000</v>
      </c>
      <c r="C25" s="1115"/>
      <c r="D25" s="1115"/>
      <c r="E25" s="1115"/>
      <c r="F25" s="1115"/>
      <c r="G25" s="1116"/>
      <c r="H25" s="1117"/>
      <c r="I25" s="323"/>
      <c r="J25" s="136"/>
      <c r="K25" s="15">
        <f>SUM(K24:K24)</f>
        <v>0</v>
      </c>
      <c r="L25" s="15"/>
      <c r="M25" s="15">
        <f>SUM(M24:M24)</f>
        <v>0</v>
      </c>
      <c r="N25" s="236"/>
      <c r="O25" s="323">
        <f t="shared" ref="O25:AB25" si="4">SUM(O24:O24)</f>
        <v>0</v>
      </c>
      <c r="P25" s="15">
        <f t="shared" si="4"/>
        <v>0</v>
      </c>
      <c r="Q25" s="15">
        <f t="shared" si="4"/>
        <v>0</v>
      </c>
      <c r="R25" s="15">
        <f t="shared" si="4"/>
        <v>0</v>
      </c>
      <c r="S25" s="15">
        <f t="shared" si="4"/>
        <v>0</v>
      </c>
      <c r="T25" s="15">
        <f t="shared" si="4"/>
        <v>0</v>
      </c>
      <c r="U25" s="15">
        <f t="shared" si="4"/>
        <v>0</v>
      </c>
      <c r="V25" s="15">
        <f t="shared" si="4"/>
        <v>0</v>
      </c>
      <c r="W25" s="15">
        <f t="shared" si="4"/>
        <v>0</v>
      </c>
      <c r="X25" s="15">
        <f t="shared" si="4"/>
        <v>0</v>
      </c>
      <c r="Y25" s="15">
        <f t="shared" si="4"/>
        <v>0</v>
      </c>
      <c r="Z25" s="236">
        <f t="shared" si="4"/>
        <v>0</v>
      </c>
      <c r="AA25" s="323">
        <f t="shared" si="4"/>
        <v>0</v>
      </c>
      <c r="AB25" s="236">
        <f t="shared" si="4"/>
        <v>0</v>
      </c>
      <c r="AC25" s="1126"/>
      <c r="AD25" s="1119"/>
      <c r="AE25" s="1120"/>
      <c r="AF25" s="1121"/>
      <c r="AG25" s="15">
        <f>SUM(AG24:AG24)</f>
        <v>0</v>
      </c>
      <c r="AH25" s="15">
        <f>SUM(AH24:AH24)</f>
        <v>0</v>
      </c>
      <c r="AI25" s="1122">
        <f>B23-AG25</f>
        <v>725000</v>
      </c>
    </row>
    <row r="26" spans="1:35" s="1097" customFormat="1" ht="67.5" customHeight="1">
      <c r="A26" s="1072" t="s">
        <v>104</v>
      </c>
      <c r="B26" s="1088">
        <v>528108000</v>
      </c>
      <c r="C26" s="386" t="s">
        <v>349</v>
      </c>
      <c r="D26" s="1480" t="s">
        <v>105</v>
      </c>
      <c r="E26" s="1480" t="s">
        <v>348</v>
      </c>
      <c r="F26" s="1480" t="s">
        <v>370</v>
      </c>
      <c r="G26" s="1481" t="s">
        <v>106</v>
      </c>
      <c r="H26" s="1089">
        <v>0</v>
      </c>
      <c r="I26" s="1090"/>
      <c r="J26" s="1123"/>
      <c r="K26" s="691"/>
      <c r="L26" s="691"/>
      <c r="M26" s="1091"/>
      <c r="N26" s="1078"/>
      <c r="O26" s="1079"/>
      <c r="P26" s="1080"/>
      <c r="Q26" s="1080"/>
      <c r="R26" s="1080"/>
      <c r="S26" s="1080"/>
      <c r="T26" s="1080"/>
      <c r="U26" s="1080"/>
      <c r="V26" s="1080"/>
      <c r="W26" s="1080"/>
      <c r="X26" s="1080"/>
      <c r="Y26" s="1080"/>
      <c r="Z26" s="1081"/>
      <c r="AA26" s="1079"/>
      <c r="AB26" s="1081"/>
      <c r="AC26" s="1082"/>
      <c r="AD26" s="1092"/>
      <c r="AE26" s="1093"/>
      <c r="AF26" s="1094"/>
      <c r="AG26" s="1086"/>
      <c r="AH26" s="1095"/>
      <c r="AI26" s="1096"/>
    </row>
    <row r="27" spans="1:35" s="1028" customFormat="1">
      <c r="A27" s="1098"/>
      <c r="B27" s="376">
        <f>K27</f>
        <v>0</v>
      </c>
      <c r="C27" s="128" t="s">
        <v>349</v>
      </c>
      <c r="D27" s="129" t="s">
        <v>105</v>
      </c>
      <c r="E27" s="129" t="s">
        <v>348</v>
      </c>
      <c r="F27" s="129" t="s">
        <v>370</v>
      </c>
      <c r="G27" s="130" t="s">
        <v>106</v>
      </c>
      <c r="H27" s="1099">
        <v>0</v>
      </c>
      <c r="I27" s="1100"/>
      <c r="J27" s="1124"/>
      <c r="K27" s="262"/>
      <c r="L27" s="1100"/>
      <c r="M27" s="1111"/>
      <c r="N27" s="1103"/>
      <c r="O27" s="1102"/>
      <c r="P27" s="788"/>
      <c r="Q27" s="788"/>
      <c r="R27" s="788"/>
      <c r="S27" s="788"/>
      <c r="T27" s="788"/>
      <c r="U27" s="788"/>
      <c r="V27" s="788"/>
      <c r="W27" s="788"/>
      <c r="X27" s="788"/>
      <c r="Y27" s="788"/>
      <c r="Z27" s="1146"/>
      <c r="AA27" s="1112">
        <f t="shared" ref="AA27" si="5">SUM(O27:Z27)</f>
        <v>0</v>
      </c>
      <c r="AB27" s="1105">
        <f t="shared" ref="AB27" si="6">M27-AA27</f>
        <v>0</v>
      </c>
      <c r="AC27" s="1106"/>
      <c r="AD27" s="1107"/>
      <c r="AE27" s="1108"/>
      <c r="AF27" s="1109"/>
      <c r="AG27" s="1112"/>
      <c r="AH27" s="1110">
        <f>AG27-M27</f>
        <v>0</v>
      </c>
      <c r="AI27" s="1031"/>
    </row>
    <row r="28" spans="1:35" s="1028" customFormat="1">
      <c r="A28" s="1113" t="s">
        <v>107</v>
      </c>
      <c r="B28" s="1114">
        <f>B26-SUM(B27:B27)</f>
        <v>528108000</v>
      </c>
      <c r="C28" s="1115"/>
      <c r="D28" s="1115"/>
      <c r="E28" s="1115"/>
      <c r="F28" s="1115"/>
      <c r="G28" s="1116"/>
      <c r="H28" s="1117"/>
      <c r="I28" s="323"/>
      <c r="J28" s="136"/>
      <c r="K28" s="15">
        <f>SUM(K27:K27)</f>
        <v>0</v>
      </c>
      <c r="L28" s="15"/>
      <c r="M28" s="15">
        <f>SUM(M27:M27)</f>
        <v>0</v>
      </c>
      <c r="N28" s="236"/>
      <c r="O28" s="323">
        <f t="shared" ref="O28:AB28" si="7">SUM(O27:O27)</f>
        <v>0</v>
      </c>
      <c r="P28" s="15">
        <f t="shared" si="7"/>
        <v>0</v>
      </c>
      <c r="Q28" s="15">
        <f t="shared" si="7"/>
        <v>0</v>
      </c>
      <c r="R28" s="15">
        <f t="shared" si="7"/>
        <v>0</v>
      </c>
      <c r="S28" s="15">
        <f t="shared" si="7"/>
        <v>0</v>
      </c>
      <c r="T28" s="15">
        <f t="shared" si="7"/>
        <v>0</v>
      </c>
      <c r="U28" s="15">
        <f t="shared" si="7"/>
        <v>0</v>
      </c>
      <c r="V28" s="15">
        <f t="shared" si="7"/>
        <v>0</v>
      </c>
      <c r="W28" s="15">
        <f t="shared" si="7"/>
        <v>0</v>
      </c>
      <c r="X28" s="15">
        <f t="shared" si="7"/>
        <v>0</v>
      </c>
      <c r="Y28" s="15">
        <f t="shared" si="7"/>
        <v>0</v>
      </c>
      <c r="Z28" s="236">
        <f t="shared" si="7"/>
        <v>0</v>
      </c>
      <c r="AA28" s="323">
        <f t="shared" si="7"/>
        <v>0</v>
      </c>
      <c r="AB28" s="236">
        <f t="shared" si="7"/>
        <v>0</v>
      </c>
      <c r="AC28" s="1126"/>
      <c r="AD28" s="1119"/>
      <c r="AE28" s="1120"/>
      <c r="AF28" s="1121"/>
      <c r="AG28" s="15">
        <f>SUM(AG27:AG27)</f>
        <v>0</v>
      </c>
      <c r="AH28" s="15">
        <f>SUM(AH27:AH27)</f>
        <v>0</v>
      </c>
      <c r="AI28" s="1127">
        <f>B26-AG28</f>
        <v>528108000</v>
      </c>
    </row>
    <row r="29" spans="1:35" s="1097" customFormat="1" ht="69.75" customHeight="1">
      <c r="A29" s="1072" t="s">
        <v>104</v>
      </c>
      <c r="B29" s="1088">
        <v>2052827000</v>
      </c>
      <c r="C29" s="386" t="s">
        <v>108</v>
      </c>
      <c r="D29" s="1480" t="s">
        <v>105</v>
      </c>
      <c r="E29" s="1480" t="s">
        <v>348</v>
      </c>
      <c r="F29" s="1480" t="s">
        <v>370</v>
      </c>
      <c r="G29" s="1481" t="s">
        <v>106</v>
      </c>
      <c r="H29" s="1089">
        <v>0</v>
      </c>
      <c r="I29" s="1090"/>
      <c r="J29" s="690"/>
      <c r="K29" s="691"/>
      <c r="L29" s="691"/>
      <c r="M29" s="1091"/>
      <c r="N29" s="1078"/>
      <c r="O29" s="1079"/>
      <c r="P29" s="1080"/>
      <c r="Q29" s="1080"/>
      <c r="R29" s="1080"/>
      <c r="S29" s="1080"/>
      <c r="T29" s="1080"/>
      <c r="U29" s="1080"/>
      <c r="V29" s="1080"/>
      <c r="W29" s="1080"/>
      <c r="X29" s="1080"/>
      <c r="Y29" s="1080"/>
      <c r="Z29" s="1081"/>
      <c r="AA29" s="1079"/>
      <c r="AB29" s="1081"/>
      <c r="AC29" s="1082"/>
      <c r="AD29" s="1092"/>
      <c r="AE29" s="1093"/>
      <c r="AF29" s="1094"/>
      <c r="AG29" s="1086"/>
      <c r="AH29" s="1095"/>
      <c r="AI29" s="1096"/>
    </row>
    <row r="30" spans="1:35" s="1028" customFormat="1">
      <c r="A30" s="1130"/>
      <c r="B30" s="376">
        <f>K30</f>
        <v>0</v>
      </c>
      <c r="C30" s="128" t="s">
        <v>108</v>
      </c>
      <c r="D30" s="129" t="s">
        <v>105</v>
      </c>
      <c r="E30" s="129" t="s">
        <v>348</v>
      </c>
      <c r="F30" s="129" t="s">
        <v>370</v>
      </c>
      <c r="G30" s="130" t="s">
        <v>106</v>
      </c>
      <c r="H30" s="1099">
        <v>0</v>
      </c>
      <c r="I30" s="1100"/>
      <c r="J30" s="389"/>
      <c r="K30" s="85"/>
      <c r="L30" s="85"/>
      <c r="M30" s="1111"/>
      <c r="N30" s="1103"/>
      <c r="O30" s="1102"/>
      <c r="P30" s="788"/>
      <c r="Q30" s="788"/>
      <c r="R30" s="788"/>
      <c r="S30" s="788"/>
      <c r="T30" s="788"/>
      <c r="U30" s="788"/>
      <c r="V30" s="788"/>
      <c r="W30" s="788"/>
      <c r="X30" s="788"/>
      <c r="Y30" s="788"/>
      <c r="Z30" s="1146"/>
      <c r="AA30" s="1112">
        <f>SUM(O30:Z30)</f>
        <v>0</v>
      </c>
      <c r="AB30" s="1105">
        <f>M30-AA30</f>
        <v>0</v>
      </c>
      <c r="AC30" s="1106"/>
      <c r="AD30" s="1107"/>
      <c r="AE30" s="1108"/>
      <c r="AF30" s="1109">
        <f>N30</f>
        <v>0</v>
      </c>
      <c r="AG30" s="1112"/>
      <c r="AH30" s="1110">
        <f>AG30-M30</f>
        <v>0</v>
      </c>
      <c r="AI30" s="1031"/>
    </row>
    <row r="31" spans="1:35" s="1028" customFormat="1">
      <c r="A31" s="1113" t="s">
        <v>107</v>
      </c>
      <c r="B31" s="1114">
        <f>B29-SUM(B30:B30)</f>
        <v>2052827000</v>
      </c>
      <c r="C31" s="1115"/>
      <c r="D31" s="1115"/>
      <c r="E31" s="1115"/>
      <c r="F31" s="1115"/>
      <c r="G31" s="1116"/>
      <c r="H31" s="1117"/>
      <c r="I31" s="323"/>
      <c r="J31" s="136"/>
      <c r="K31" s="15">
        <f>SUM(K30:K30)</f>
        <v>0</v>
      </c>
      <c r="L31" s="15"/>
      <c r="M31" s="15">
        <f>SUM(M30:M30)</f>
        <v>0</v>
      </c>
      <c r="N31" s="236"/>
      <c r="O31" s="323">
        <f t="shared" ref="O31:AB31" si="8">SUM(O30:O30)</f>
        <v>0</v>
      </c>
      <c r="P31" s="15">
        <f t="shared" si="8"/>
        <v>0</v>
      </c>
      <c r="Q31" s="15">
        <f t="shared" si="8"/>
        <v>0</v>
      </c>
      <c r="R31" s="15">
        <f t="shared" si="8"/>
        <v>0</v>
      </c>
      <c r="S31" s="15">
        <f t="shared" si="8"/>
        <v>0</v>
      </c>
      <c r="T31" s="15">
        <f t="shared" si="8"/>
        <v>0</v>
      </c>
      <c r="U31" s="15">
        <f t="shared" si="8"/>
        <v>0</v>
      </c>
      <c r="V31" s="15">
        <f t="shared" si="8"/>
        <v>0</v>
      </c>
      <c r="W31" s="15">
        <f t="shared" si="8"/>
        <v>0</v>
      </c>
      <c r="X31" s="15">
        <f t="shared" si="8"/>
        <v>0</v>
      </c>
      <c r="Y31" s="15">
        <f t="shared" si="8"/>
        <v>0</v>
      </c>
      <c r="Z31" s="236">
        <f t="shared" si="8"/>
        <v>0</v>
      </c>
      <c r="AA31" s="323">
        <f t="shared" si="8"/>
        <v>0</v>
      </c>
      <c r="AB31" s="236">
        <f t="shared" si="8"/>
        <v>0</v>
      </c>
      <c r="AC31" s="1126"/>
      <c r="AD31" s="1119"/>
      <c r="AE31" s="1120"/>
      <c r="AF31" s="1121"/>
      <c r="AG31" s="15">
        <f>SUM(AG30:AG30)</f>
        <v>0</v>
      </c>
      <c r="AH31" s="15">
        <f>SUM(AH30:AH30)</f>
        <v>0</v>
      </c>
      <c r="AI31" s="1122">
        <f>B29-AG31</f>
        <v>2052827000</v>
      </c>
    </row>
    <row r="32" spans="1:35" s="1028" customFormat="1" ht="68.25" customHeight="1">
      <c r="A32" s="1072" t="s">
        <v>104</v>
      </c>
      <c r="B32" s="1088">
        <v>2570000</v>
      </c>
      <c r="C32" s="386" t="s">
        <v>363</v>
      </c>
      <c r="D32" s="1480" t="s">
        <v>105</v>
      </c>
      <c r="E32" s="1480" t="s">
        <v>348</v>
      </c>
      <c r="F32" s="1480" t="s">
        <v>370</v>
      </c>
      <c r="G32" s="1481" t="s">
        <v>106</v>
      </c>
      <c r="H32" s="129">
        <v>0</v>
      </c>
      <c r="I32" s="129"/>
      <c r="J32" s="129"/>
      <c r="K32" s="129"/>
      <c r="L32" s="129"/>
      <c r="M32" s="129"/>
      <c r="N32" s="129"/>
      <c r="O32" s="129"/>
      <c r="P32" s="129"/>
      <c r="Q32" s="129"/>
      <c r="R32" s="129"/>
      <c r="S32" s="129"/>
      <c r="T32" s="129"/>
      <c r="U32" s="129"/>
      <c r="V32" s="129"/>
      <c r="W32" s="129"/>
      <c r="X32" s="129"/>
      <c r="Y32" s="129"/>
      <c r="Z32" s="1014"/>
      <c r="AA32" s="1013"/>
      <c r="AB32" s="1014"/>
      <c r="AC32" s="1013"/>
      <c r="AD32" s="129"/>
      <c r="AE32" s="129"/>
      <c r="AF32" s="129"/>
      <c r="AG32" s="129"/>
      <c r="AH32" s="129"/>
      <c r="AI32" s="1127"/>
    </row>
    <row r="33" spans="1:35" s="1028" customFormat="1">
      <c r="A33" s="1130"/>
      <c r="B33" s="1133">
        <f>K33</f>
        <v>0</v>
      </c>
      <c r="C33" s="128" t="s">
        <v>363</v>
      </c>
      <c r="D33" s="129" t="s">
        <v>105</v>
      </c>
      <c r="E33" s="129" t="s">
        <v>348</v>
      </c>
      <c r="F33" s="129" t="s">
        <v>370</v>
      </c>
      <c r="G33" s="130" t="s">
        <v>106</v>
      </c>
      <c r="H33" s="1131">
        <v>0</v>
      </c>
      <c r="I33" s="324"/>
      <c r="J33" s="133"/>
      <c r="K33" s="8"/>
      <c r="L33" s="8"/>
      <c r="M33" s="8"/>
      <c r="N33" s="238"/>
      <c r="O33" s="324"/>
      <c r="P33" s="8"/>
      <c r="Q33" s="8"/>
      <c r="R33" s="8"/>
      <c r="S33" s="8"/>
      <c r="T33" s="8"/>
      <c r="U33" s="8"/>
      <c r="V33" s="8"/>
      <c r="W33" s="8"/>
      <c r="X33" s="8"/>
      <c r="Y33" s="8"/>
      <c r="Z33" s="238"/>
      <c r="AA33" s="1112">
        <f t="shared" ref="AA33" si="9">SUM(O33:Z33)</f>
        <v>0</v>
      </c>
      <c r="AB33" s="1105">
        <f t="shared" ref="AB33" si="10">M33-AA33</f>
        <v>0</v>
      </c>
      <c r="AC33" s="1106"/>
      <c r="AD33" s="1107"/>
      <c r="AE33" s="1108"/>
      <c r="AF33" s="1109"/>
      <c r="AG33" s="1132"/>
      <c r="AH33" s="1110">
        <f t="shared" ref="AH33" si="11">AG33-M33</f>
        <v>0</v>
      </c>
      <c r="AI33" s="1127"/>
    </row>
    <row r="34" spans="1:35" s="1028" customFormat="1">
      <c r="A34" s="1134"/>
      <c r="B34" s="1114">
        <f>B32-SUM(B33:B33)</f>
        <v>2570000</v>
      </c>
      <c r="C34" s="1115"/>
      <c r="D34" s="1128"/>
      <c r="E34" s="1128"/>
      <c r="F34" s="1128"/>
      <c r="G34" s="1129"/>
      <c r="H34" s="1117"/>
      <c r="I34" s="323"/>
      <c r="J34" s="136"/>
      <c r="K34" s="15">
        <f>SUM(K32:K33)</f>
        <v>0</v>
      </c>
      <c r="L34" s="15"/>
      <c r="M34" s="15">
        <f>SUM(M32:M33)</f>
        <v>0</v>
      </c>
      <c r="N34" s="236"/>
      <c r="O34" s="15">
        <f t="shared" ref="O34:AB34" si="12">SUM(O32:O33)</f>
        <v>0</v>
      </c>
      <c r="P34" s="15">
        <f t="shared" si="12"/>
        <v>0</v>
      </c>
      <c r="Q34" s="15">
        <f t="shared" si="12"/>
        <v>0</v>
      </c>
      <c r="R34" s="15">
        <f t="shared" si="12"/>
        <v>0</v>
      </c>
      <c r="S34" s="15">
        <f t="shared" si="12"/>
        <v>0</v>
      </c>
      <c r="T34" s="15">
        <f t="shared" si="12"/>
        <v>0</v>
      </c>
      <c r="U34" s="15">
        <f t="shared" si="12"/>
        <v>0</v>
      </c>
      <c r="V34" s="15">
        <f t="shared" si="12"/>
        <v>0</v>
      </c>
      <c r="W34" s="15">
        <f t="shared" si="12"/>
        <v>0</v>
      </c>
      <c r="X34" s="15">
        <f t="shared" si="12"/>
        <v>0</v>
      </c>
      <c r="Y34" s="15">
        <f t="shared" si="12"/>
        <v>0</v>
      </c>
      <c r="Z34" s="236">
        <f t="shared" si="12"/>
        <v>0</v>
      </c>
      <c r="AA34" s="323">
        <f t="shared" si="12"/>
        <v>0</v>
      </c>
      <c r="AB34" s="236">
        <f t="shared" si="12"/>
        <v>0</v>
      </c>
      <c r="AC34" s="1126"/>
      <c r="AD34" s="1119"/>
      <c r="AE34" s="1120"/>
      <c r="AF34" s="1121"/>
      <c r="AG34" s="15">
        <f>SUM(AG32:AG33)</f>
        <v>0</v>
      </c>
      <c r="AH34" s="15">
        <f>SUM(AH32:AH33)</f>
        <v>0</v>
      </c>
      <c r="AI34" s="1122">
        <f>B32-AG34</f>
        <v>2570000</v>
      </c>
    </row>
    <row r="35" spans="1:35" s="1028" customFormat="1" ht="60.75" customHeight="1">
      <c r="A35" s="1072" t="s">
        <v>104</v>
      </c>
      <c r="B35" s="1088">
        <v>20000000</v>
      </c>
      <c r="C35" s="386" t="s">
        <v>362</v>
      </c>
      <c r="D35" s="1480" t="s">
        <v>105</v>
      </c>
      <c r="E35" s="1480" t="s">
        <v>348</v>
      </c>
      <c r="F35" s="1480" t="s">
        <v>370</v>
      </c>
      <c r="G35" s="1481" t="s">
        <v>106</v>
      </c>
      <c r="H35" s="1089">
        <v>0</v>
      </c>
      <c r="I35" s="1090"/>
      <c r="J35" s="690"/>
      <c r="K35" s="691"/>
      <c r="L35" s="691"/>
      <c r="M35" s="1077"/>
      <c r="N35" s="1078"/>
      <c r="O35" s="1079"/>
      <c r="P35" s="1080"/>
      <c r="Q35" s="1080"/>
      <c r="R35" s="1080"/>
      <c r="S35" s="1080"/>
      <c r="T35" s="1080"/>
      <c r="U35" s="1080"/>
      <c r="V35" s="1080"/>
      <c r="W35" s="1080"/>
      <c r="X35" s="1080"/>
      <c r="Y35" s="1080"/>
      <c r="Z35" s="1081"/>
      <c r="AA35" s="1079"/>
      <c r="AB35" s="1081"/>
      <c r="AC35" s="1082"/>
      <c r="AD35" s="1083"/>
      <c r="AE35" s="1084"/>
      <c r="AF35" s="1085"/>
      <c r="AG35" s="1086"/>
      <c r="AH35" s="1087"/>
      <c r="AI35" s="1031"/>
    </row>
    <row r="36" spans="1:35" s="1028" customFormat="1">
      <c r="A36" s="1098"/>
      <c r="B36" s="801">
        <f>K36</f>
        <v>0</v>
      </c>
      <c r="C36" s="128" t="s">
        <v>362</v>
      </c>
      <c r="D36" s="129" t="s">
        <v>105</v>
      </c>
      <c r="E36" s="129" t="s">
        <v>348</v>
      </c>
      <c r="F36" s="129" t="s">
        <v>370</v>
      </c>
      <c r="G36" s="130" t="s">
        <v>106</v>
      </c>
      <c r="H36" s="1099">
        <v>0</v>
      </c>
      <c r="I36" s="1100"/>
      <c r="J36" s="390"/>
      <c r="K36" s="262"/>
      <c r="L36" s="85"/>
      <c r="M36" s="1111"/>
      <c r="N36" s="1103"/>
      <c r="O36" s="1102"/>
      <c r="P36" s="788"/>
      <c r="Q36" s="788"/>
      <c r="R36" s="788"/>
      <c r="S36" s="788"/>
      <c r="T36" s="788"/>
      <c r="U36" s="788"/>
      <c r="V36" s="788"/>
      <c r="W36" s="788"/>
      <c r="X36" s="788"/>
      <c r="Y36" s="788"/>
      <c r="Z36" s="1146"/>
      <c r="AA36" s="1112">
        <f>SUM(O36:Z36)</f>
        <v>0</v>
      </c>
      <c r="AB36" s="1105">
        <f>M36-AA36</f>
        <v>0</v>
      </c>
      <c r="AC36" s="1106"/>
      <c r="AD36" s="1107"/>
      <c r="AE36" s="1108"/>
      <c r="AF36" s="1109"/>
      <c r="AG36" s="376"/>
      <c r="AH36" s="1110">
        <f>AG36-M36</f>
        <v>0</v>
      </c>
      <c r="AI36" s="1031"/>
    </row>
    <row r="37" spans="1:35" s="1028" customFormat="1">
      <c r="A37" s="1113" t="s">
        <v>107</v>
      </c>
      <c r="B37" s="1114">
        <f>B35-SUM(B36:B36)</f>
        <v>20000000</v>
      </c>
      <c r="C37" s="1115"/>
      <c r="D37" s="1128"/>
      <c r="E37" s="1128"/>
      <c r="F37" s="1128"/>
      <c r="G37" s="1129"/>
      <c r="H37" s="1117"/>
      <c r="I37" s="323"/>
      <c r="J37" s="136"/>
      <c r="K37" s="15">
        <f>SUM(K36:K36)</f>
        <v>0</v>
      </c>
      <c r="L37" s="15"/>
      <c r="M37" s="15">
        <f>SUM(M36:M36)</f>
        <v>0</v>
      </c>
      <c r="N37" s="236"/>
      <c r="O37" s="15">
        <f t="shared" ref="O37:AB37" si="13">SUM(O36:O36)</f>
        <v>0</v>
      </c>
      <c r="P37" s="15">
        <f t="shared" si="13"/>
        <v>0</v>
      </c>
      <c r="Q37" s="15">
        <f t="shared" si="13"/>
        <v>0</v>
      </c>
      <c r="R37" s="15">
        <f t="shared" si="13"/>
        <v>0</v>
      </c>
      <c r="S37" s="15">
        <f t="shared" si="13"/>
        <v>0</v>
      </c>
      <c r="T37" s="15">
        <f t="shared" si="13"/>
        <v>0</v>
      </c>
      <c r="U37" s="15">
        <f t="shared" si="13"/>
        <v>0</v>
      </c>
      <c r="V37" s="15">
        <f t="shared" si="13"/>
        <v>0</v>
      </c>
      <c r="W37" s="15">
        <f t="shared" si="13"/>
        <v>0</v>
      </c>
      <c r="X37" s="15">
        <f t="shared" si="13"/>
        <v>0</v>
      </c>
      <c r="Y37" s="15">
        <f t="shared" si="13"/>
        <v>0</v>
      </c>
      <c r="Z37" s="236">
        <f t="shared" si="13"/>
        <v>0</v>
      </c>
      <c r="AA37" s="323">
        <f t="shared" si="13"/>
        <v>0</v>
      </c>
      <c r="AB37" s="236">
        <f t="shared" si="13"/>
        <v>0</v>
      </c>
      <c r="AC37" s="1126"/>
      <c r="AD37" s="1119"/>
      <c r="AE37" s="1120"/>
      <c r="AF37" s="1121"/>
      <c r="AG37" s="15">
        <f>SUM(AG36:AG36)</f>
        <v>0</v>
      </c>
      <c r="AH37" s="15">
        <f>SUM(AH36:AH36)</f>
        <v>0</v>
      </c>
      <c r="AI37" s="1122">
        <f>B35-AG37</f>
        <v>20000000</v>
      </c>
    </row>
    <row r="38" spans="1:35" s="1503" customFormat="1" ht="66.75" customHeight="1">
      <c r="A38" s="1072" t="s">
        <v>256</v>
      </c>
      <c r="B38" s="1073">
        <v>702000000</v>
      </c>
      <c r="C38" s="386" t="s">
        <v>45</v>
      </c>
      <c r="D38" s="1480" t="s">
        <v>105</v>
      </c>
      <c r="E38" s="1480" t="s">
        <v>348</v>
      </c>
      <c r="F38" s="1480" t="s">
        <v>370</v>
      </c>
      <c r="G38" s="1481" t="s">
        <v>106</v>
      </c>
      <c r="H38" s="818">
        <v>0</v>
      </c>
      <c r="I38" s="819"/>
      <c r="J38" s="1491"/>
      <c r="K38" s="1492"/>
      <c r="L38" s="819"/>
      <c r="M38" s="212"/>
      <c r="N38" s="1493"/>
      <c r="O38" s="1494"/>
      <c r="P38" s="1495"/>
      <c r="Q38" s="1495"/>
      <c r="R38" s="1495"/>
      <c r="S38" s="1495"/>
      <c r="T38" s="1495"/>
      <c r="U38" s="1495"/>
      <c r="V38" s="1495"/>
      <c r="W38" s="1495"/>
      <c r="X38" s="1495"/>
      <c r="Y38" s="1495"/>
      <c r="Z38" s="1514"/>
      <c r="AA38" s="311"/>
      <c r="AB38" s="237"/>
      <c r="AC38" s="1496" t="s">
        <v>350</v>
      </c>
      <c r="AD38" s="1497" t="s">
        <v>351</v>
      </c>
      <c r="AE38" s="1498"/>
      <c r="AF38" s="1499"/>
      <c r="AG38" s="1500">
        <v>9000000</v>
      </c>
      <c r="AH38" s="1501">
        <f t="shared" ref="AH38:AH39" si="14">AG38-M38</f>
        <v>9000000</v>
      </c>
      <c r="AI38" s="1502"/>
    </row>
    <row r="39" spans="1:35" s="1503" customFormat="1" ht="12.75">
      <c r="A39" s="1490" t="s">
        <v>256</v>
      </c>
      <c r="B39" s="821">
        <f t="shared" ref="B39" si="15">K39</f>
        <v>0</v>
      </c>
      <c r="C39" s="128" t="s">
        <v>45</v>
      </c>
      <c r="D39" s="129" t="s">
        <v>105</v>
      </c>
      <c r="E39" s="129" t="s">
        <v>348</v>
      </c>
      <c r="F39" s="129" t="s">
        <v>370</v>
      </c>
      <c r="G39" s="130" t="s">
        <v>106</v>
      </c>
      <c r="H39" s="818">
        <v>0</v>
      </c>
      <c r="I39" s="819"/>
      <c r="J39" s="1491"/>
      <c r="K39" s="1492"/>
      <c r="L39" s="819"/>
      <c r="M39" s="212"/>
      <c r="N39" s="1493"/>
      <c r="O39" s="1494"/>
      <c r="P39" s="1495"/>
      <c r="Q39" s="1495"/>
      <c r="R39" s="1495"/>
      <c r="S39" s="1495"/>
      <c r="T39" s="1495"/>
      <c r="U39" s="1495"/>
      <c r="V39" s="1495"/>
      <c r="W39" s="1495"/>
      <c r="X39" s="1495"/>
      <c r="Y39" s="1495"/>
      <c r="Z39" s="1514"/>
      <c r="AA39" s="311">
        <f t="shared" ref="AA39" si="16">SUM(O39:Z39)</f>
        <v>0</v>
      </c>
      <c r="AB39" s="237">
        <f t="shared" ref="AB39" si="17">M39-AA39</f>
        <v>0</v>
      </c>
      <c r="AC39" s="1496" t="s">
        <v>352</v>
      </c>
      <c r="AD39" s="1497" t="s">
        <v>353</v>
      </c>
      <c r="AE39" s="1498"/>
      <c r="AF39" s="1499">
        <f>N34</f>
        <v>0</v>
      </c>
      <c r="AG39" s="195">
        <v>1045866</v>
      </c>
      <c r="AH39" s="1501">
        <f t="shared" si="14"/>
        <v>1045866</v>
      </c>
      <c r="AI39" s="1502"/>
    </row>
    <row r="40" spans="1:35" s="9" customFormat="1" ht="12.75">
      <c r="A40" s="268" t="s">
        <v>107</v>
      </c>
      <c r="B40" s="377">
        <f>B38-SUM(B39:B39)</f>
        <v>702000000</v>
      </c>
      <c r="C40" s="108"/>
      <c r="D40" s="1504"/>
      <c r="E40" s="1504"/>
      <c r="F40" s="1504"/>
      <c r="G40" s="1505"/>
      <c r="H40" s="277"/>
      <c r="I40" s="399"/>
      <c r="J40" s="136"/>
      <c r="K40" s="157">
        <f>SUM(K39:K39)</f>
        <v>0</v>
      </c>
      <c r="L40" s="15"/>
      <c r="M40" s="157">
        <f>SUM(M39:M39)</f>
        <v>0</v>
      </c>
      <c r="N40" s="1506"/>
      <c r="O40" s="157">
        <f t="shared" ref="O40:AB40" si="18">SUM(O39:O39)</f>
        <v>0</v>
      </c>
      <c r="P40" s="157">
        <f t="shared" si="18"/>
        <v>0</v>
      </c>
      <c r="Q40" s="157">
        <f t="shared" si="18"/>
        <v>0</v>
      </c>
      <c r="R40" s="157">
        <f t="shared" si="18"/>
        <v>0</v>
      </c>
      <c r="S40" s="157">
        <f t="shared" si="18"/>
        <v>0</v>
      </c>
      <c r="T40" s="157">
        <f t="shared" si="18"/>
        <v>0</v>
      </c>
      <c r="U40" s="157">
        <f t="shared" si="18"/>
        <v>0</v>
      </c>
      <c r="V40" s="157">
        <f t="shared" si="18"/>
        <v>0</v>
      </c>
      <c r="W40" s="157">
        <f t="shared" si="18"/>
        <v>0</v>
      </c>
      <c r="X40" s="157">
        <f t="shared" si="18"/>
        <v>0</v>
      </c>
      <c r="Y40" s="157">
        <f t="shared" si="18"/>
        <v>0</v>
      </c>
      <c r="Z40" s="157">
        <f t="shared" si="18"/>
        <v>0</v>
      </c>
      <c r="AA40" s="157">
        <f t="shared" si="18"/>
        <v>0</v>
      </c>
      <c r="AB40" s="157">
        <f t="shared" si="18"/>
        <v>0</v>
      </c>
      <c r="AC40" s="1507"/>
      <c r="AD40" s="1508"/>
      <c r="AE40" s="432"/>
      <c r="AF40" s="1509"/>
      <c r="AG40" s="157" t="e">
        <f>SUM(#REF!)</f>
        <v>#REF!</v>
      </c>
      <c r="AH40" s="157" t="e">
        <f>SUM(#REF!)</f>
        <v>#REF!</v>
      </c>
      <c r="AI40" s="1510" t="e">
        <f>#REF!-AG40</f>
        <v>#REF!</v>
      </c>
    </row>
    <row r="41" spans="1:35" s="1097" customFormat="1" ht="50.25" customHeight="1">
      <c r="A41" s="1072" t="s">
        <v>112</v>
      </c>
      <c r="B41" s="1088">
        <v>54000000</v>
      </c>
      <c r="C41" s="386" t="s">
        <v>45</v>
      </c>
      <c r="D41" s="1480" t="s">
        <v>105</v>
      </c>
      <c r="E41" s="1480" t="s">
        <v>348</v>
      </c>
      <c r="F41" s="1480" t="s">
        <v>370</v>
      </c>
      <c r="G41" s="1481" t="s">
        <v>106</v>
      </c>
      <c r="H41" s="1179">
        <v>0</v>
      </c>
      <c r="I41" s="1180"/>
      <c r="J41" s="698"/>
      <c r="K41" s="699"/>
      <c r="L41" s="699"/>
      <c r="M41" s="1200"/>
      <c r="N41" s="1185"/>
      <c r="O41" s="1183"/>
      <c r="P41" s="1186"/>
      <c r="Q41" s="1186"/>
      <c r="R41" s="1186"/>
      <c r="S41" s="1186"/>
      <c r="T41" s="1186"/>
      <c r="U41" s="1186"/>
      <c r="V41" s="1186"/>
      <c r="W41" s="1186"/>
      <c r="X41" s="1186"/>
      <c r="Y41" s="1186"/>
      <c r="Z41" s="1187"/>
      <c r="AA41" s="1183"/>
      <c r="AB41" s="1187"/>
      <c r="AC41" s="1188"/>
      <c r="AD41" s="1189"/>
      <c r="AE41" s="1190"/>
      <c r="AF41" s="1191"/>
      <c r="AG41" s="1201"/>
      <c r="AH41" s="1193"/>
      <c r="AI41" s="1096"/>
    </row>
    <row r="42" spans="1:35" s="1028" customFormat="1" ht="12.75">
      <c r="A42" s="1490" t="s">
        <v>112</v>
      </c>
      <c r="B42" s="376">
        <f>K42</f>
        <v>0</v>
      </c>
      <c r="C42" s="128" t="s">
        <v>45</v>
      </c>
      <c r="D42" s="129" t="s">
        <v>105</v>
      </c>
      <c r="E42" s="129" t="s">
        <v>348</v>
      </c>
      <c r="F42" s="129" t="s">
        <v>117</v>
      </c>
      <c r="G42" s="130" t="s">
        <v>106</v>
      </c>
      <c r="H42" s="1099">
        <v>0</v>
      </c>
      <c r="I42" s="1100"/>
      <c r="J42" s="389"/>
      <c r="K42" s="85"/>
      <c r="L42" s="85"/>
      <c r="M42" s="1111"/>
      <c r="N42" s="1103"/>
      <c r="O42" s="1102"/>
      <c r="P42" s="788"/>
      <c r="Q42" s="788"/>
      <c r="R42" s="788"/>
      <c r="S42" s="788"/>
      <c r="T42" s="788"/>
      <c r="U42" s="788"/>
      <c r="V42" s="788"/>
      <c r="W42" s="788"/>
      <c r="X42" s="788"/>
      <c r="Y42" s="788"/>
      <c r="Z42" s="1146"/>
      <c r="AA42" s="1112">
        <f>SUM(O42:Z42)</f>
        <v>0</v>
      </c>
      <c r="AB42" s="1105">
        <f>M42-AA42</f>
        <v>0</v>
      </c>
      <c r="AC42" s="1137"/>
      <c r="AD42" s="1107"/>
      <c r="AE42" s="1108"/>
      <c r="AF42" s="1109"/>
      <c r="AG42" s="1112"/>
      <c r="AH42" s="1110">
        <f>AG42-M42</f>
        <v>0</v>
      </c>
      <c r="AI42" s="1031"/>
    </row>
    <row r="43" spans="1:35" s="1028" customFormat="1">
      <c r="A43" s="1113" t="s">
        <v>107</v>
      </c>
      <c r="B43" s="1114">
        <f>B41-SUM(B42:B42)</f>
        <v>54000000</v>
      </c>
      <c r="C43" s="1115"/>
      <c r="D43" s="1128"/>
      <c r="E43" s="1128"/>
      <c r="F43" s="1128"/>
      <c r="G43" s="1129"/>
      <c r="H43" s="1142"/>
      <c r="I43" s="1143"/>
      <c r="J43" s="1144"/>
      <c r="K43" s="1068">
        <f>SUM(K42:K42)</f>
        <v>0</v>
      </c>
      <c r="L43" s="15"/>
      <c r="M43" s="1068">
        <f>SUM(M42:M42)</f>
        <v>0</v>
      </c>
      <c r="N43" s="1145"/>
      <c r="O43" s="1143">
        <f t="shared" ref="O43:AB43" si="19">SUM(O42:O42)</f>
        <v>0</v>
      </c>
      <c r="P43" s="1068">
        <f t="shared" si="19"/>
        <v>0</v>
      </c>
      <c r="Q43" s="1068">
        <f t="shared" si="19"/>
        <v>0</v>
      </c>
      <c r="R43" s="1068">
        <f t="shared" si="19"/>
        <v>0</v>
      </c>
      <c r="S43" s="1068">
        <f t="shared" si="19"/>
        <v>0</v>
      </c>
      <c r="T43" s="1068">
        <f t="shared" si="19"/>
        <v>0</v>
      </c>
      <c r="U43" s="1068">
        <f t="shared" si="19"/>
        <v>0</v>
      </c>
      <c r="V43" s="1068">
        <f t="shared" si="19"/>
        <v>0</v>
      </c>
      <c r="W43" s="1068">
        <f t="shared" si="19"/>
        <v>0</v>
      </c>
      <c r="X43" s="1068">
        <f t="shared" si="19"/>
        <v>0</v>
      </c>
      <c r="Y43" s="1068">
        <f t="shared" si="19"/>
        <v>0</v>
      </c>
      <c r="Z43" s="1145">
        <f t="shared" si="19"/>
        <v>0</v>
      </c>
      <c r="AA43" s="1143">
        <f t="shared" si="19"/>
        <v>0</v>
      </c>
      <c r="AB43" s="1145">
        <f t="shared" si="19"/>
        <v>0</v>
      </c>
      <c r="AC43" s="1118"/>
      <c r="AD43" s="1119"/>
      <c r="AE43" s="1120"/>
      <c r="AF43" s="1121"/>
      <c r="AG43" s="15">
        <f>SUM(AG42:AG42)</f>
        <v>0</v>
      </c>
      <c r="AH43" s="15">
        <f>SUM(AH42:AH42)</f>
        <v>0</v>
      </c>
      <c r="AI43" s="1122">
        <f>B41-AG43</f>
        <v>54000000</v>
      </c>
    </row>
    <row r="44" spans="1:35" s="1097" customFormat="1" ht="57.75" customHeight="1">
      <c r="A44" s="1482" t="s">
        <v>111</v>
      </c>
      <c r="B44" s="1073">
        <v>912000000</v>
      </c>
      <c r="C44" s="1483" t="s">
        <v>45</v>
      </c>
      <c r="D44" s="1484" t="s">
        <v>105</v>
      </c>
      <c r="E44" s="1484" t="s">
        <v>348</v>
      </c>
      <c r="F44" s="1484" t="s">
        <v>370</v>
      </c>
      <c r="G44" s="1485" t="s">
        <v>106</v>
      </c>
      <c r="H44" s="1147">
        <v>0</v>
      </c>
      <c r="I44" s="1148"/>
      <c r="J44" s="693"/>
      <c r="K44" s="694"/>
      <c r="L44" s="694"/>
      <c r="M44" s="1149"/>
      <c r="N44" s="1150"/>
      <c r="O44" s="1151"/>
      <c r="P44" s="1152"/>
      <c r="Q44" s="1152"/>
      <c r="R44" s="1152"/>
      <c r="S44" s="1152"/>
      <c r="T44" s="1152"/>
      <c r="U44" s="1152"/>
      <c r="V44" s="1152"/>
      <c r="W44" s="1152"/>
      <c r="X44" s="1152"/>
      <c r="Y44" s="1152"/>
      <c r="Z44" s="1153"/>
      <c r="AA44" s="1151"/>
      <c r="AB44" s="1153"/>
      <c r="AC44" s="1154"/>
      <c r="AD44" s="1155"/>
      <c r="AE44" s="1156"/>
      <c r="AF44" s="1157"/>
      <c r="AG44" s="1158"/>
      <c r="AH44" s="1159"/>
      <c r="AI44" s="1096"/>
    </row>
    <row r="45" spans="1:35" s="1097" customFormat="1">
      <c r="A45" s="1160" t="s">
        <v>111</v>
      </c>
      <c r="B45" s="801">
        <f t="shared" ref="B45" si="20">K45</f>
        <v>0</v>
      </c>
      <c r="C45" s="368" t="s">
        <v>45</v>
      </c>
      <c r="D45" s="369" t="s">
        <v>105</v>
      </c>
      <c r="E45" s="369" t="s">
        <v>348</v>
      </c>
      <c r="F45" s="369" t="s">
        <v>370</v>
      </c>
      <c r="G45" s="370" t="s">
        <v>106</v>
      </c>
      <c r="H45" s="1099">
        <v>0</v>
      </c>
      <c r="I45" s="1100"/>
      <c r="J45" s="390"/>
      <c r="K45" s="262"/>
      <c r="L45" s="262"/>
      <c r="M45" s="1111"/>
      <c r="N45" s="1103"/>
      <c r="O45" s="1102"/>
      <c r="P45" s="788"/>
      <c r="Q45" s="788"/>
      <c r="R45" s="788"/>
      <c r="S45" s="788"/>
      <c r="T45" s="788"/>
      <c r="U45" s="788"/>
      <c r="V45" s="788"/>
      <c r="W45" s="788"/>
      <c r="X45" s="788"/>
      <c r="Y45" s="788"/>
      <c r="Z45" s="1146"/>
      <c r="AA45" s="1112">
        <f t="shared" ref="AA45" si="21">SUM(O45:Z45)</f>
        <v>0</v>
      </c>
      <c r="AB45" s="1105">
        <f t="shared" ref="AB45" si="22">M45-AA45</f>
        <v>0</v>
      </c>
      <c r="AC45" s="1106"/>
      <c r="AD45" s="1107"/>
      <c r="AE45" s="1108"/>
      <c r="AF45" s="1109"/>
      <c r="AG45" s="1112"/>
      <c r="AH45" s="1110">
        <f t="shared" ref="AH45" si="23">AG45-M45</f>
        <v>0</v>
      </c>
      <c r="AI45" s="1096"/>
    </row>
    <row r="46" spans="1:35" s="1028" customFormat="1">
      <c r="A46" s="1113" t="s">
        <v>107</v>
      </c>
      <c r="B46" s="1114">
        <f>B44-SUM(B45:B45)</f>
        <v>912000000</v>
      </c>
      <c r="C46" s="1115"/>
      <c r="D46" s="1128"/>
      <c r="E46" s="1128"/>
      <c r="F46" s="1128"/>
      <c r="G46" s="1129"/>
      <c r="H46" s="1142"/>
      <c r="I46" s="1143"/>
      <c r="J46" s="1144"/>
      <c r="K46" s="1068">
        <f>SUM(K45:K45)</f>
        <v>0</v>
      </c>
      <c r="L46" s="15"/>
      <c r="M46" s="1068">
        <f>SUM(M45:M45)</f>
        <v>0</v>
      </c>
      <c r="N46" s="1145"/>
      <c r="O46" s="1143">
        <f t="shared" ref="O46:AB46" si="24">SUM(O45:O45)</f>
        <v>0</v>
      </c>
      <c r="P46" s="1068">
        <f t="shared" si="24"/>
        <v>0</v>
      </c>
      <c r="Q46" s="1068">
        <f t="shared" si="24"/>
        <v>0</v>
      </c>
      <c r="R46" s="1068">
        <f t="shared" si="24"/>
        <v>0</v>
      </c>
      <c r="S46" s="1068">
        <f t="shared" si="24"/>
        <v>0</v>
      </c>
      <c r="T46" s="1068">
        <f t="shared" si="24"/>
        <v>0</v>
      </c>
      <c r="U46" s="1068">
        <f t="shared" si="24"/>
        <v>0</v>
      </c>
      <c r="V46" s="1068">
        <f t="shared" si="24"/>
        <v>0</v>
      </c>
      <c r="W46" s="1068">
        <f t="shared" si="24"/>
        <v>0</v>
      </c>
      <c r="X46" s="1068">
        <f t="shared" si="24"/>
        <v>0</v>
      </c>
      <c r="Y46" s="1068">
        <f t="shared" si="24"/>
        <v>0</v>
      </c>
      <c r="Z46" s="1145">
        <f t="shared" si="24"/>
        <v>0</v>
      </c>
      <c r="AA46" s="1143">
        <f t="shared" si="24"/>
        <v>0</v>
      </c>
      <c r="AB46" s="1145">
        <f t="shared" si="24"/>
        <v>0</v>
      </c>
      <c r="AC46" s="1126"/>
      <c r="AD46" s="1119"/>
      <c r="AE46" s="1120"/>
      <c r="AF46" s="1121"/>
      <c r="AG46" s="15">
        <f>SUM(AG45:AG45)</f>
        <v>0</v>
      </c>
      <c r="AH46" s="15">
        <f>SUM(AH45:AH45)</f>
        <v>0</v>
      </c>
      <c r="AI46" s="1122">
        <f>B44-AG46</f>
        <v>912000000</v>
      </c>
    </row>
    <row r="47" spans="1:35" s="1028" customFormat="1" ht="71.25" customHeight="1">
      <c r="A47" s="1489" t="s">
        <v>114</v>
      </c>
      <c r="B47" s="1073">
        <f>1003000000+2000000000</f>
        <v>3003000000</v>
      </c>
      <c r="C47" s="1486" t="s">
        <v>45</v>
      </c>
      <c r="D47" s="1487" t="s">
        <v>115</v>
      </c>
      <c r="E47" s="1487" t="s">
        <v>348</v>
      </c>
      <c r="F47" s="1487" t="s">
        <v>371</v>
      </c>
      <c r="G47" s="1488" t="s">
        <v>106</v>
      </c>
      <c r="H47" s="1161"/>
      <c r="I47" s="1162"/>
      <c r="J47" s="1163"/>
      <c r="K47" s="1164"/>
      <c r="L47" s="1165"/>
      <c r="M47" s="1166"/>
      <c r="N47" s="1167"/>
      <c r="O47" s="1168"/>
      <c r="P47" s="1169"/>
      <c r="Q47" s="1169"/>
      <c r="R47" s="1169"/>
      <c r="S47" s="1169"/>
      <c r="T47" s="1169"/>
      <c r="U47" s="1169"/>
      <c r="V47" s="1169"/>
      <c r="W47" s="1169"/>
      <c r="X47" s="1169"/>
      <c r="Y47" s="1169"/>
      <c r="Z47" s="1170"/>
      <c r="AA47" s="1168"/>
      <c r="AB47" s="1170"/>
      <c r="AC47" s="1171"/>
      <c r="AD47" s="1172"/>
      <c r="AE47" s="1173"/>
      <c r="AF47" s="1174"/>
      <c r="AG47" s="1175"/>
      <c r="AH47" s="1176"/>
      <c r="AI47" s="1031"/>
    </row>
    <row r="48" spans="1:35" s="1097" customFormat="1">
      <c r="A48" s="1177" t="s">
        <v>114</v>
      </c>
      <c r="B48" s="1135">
        <f t="shared" ref="B48" si="25">K48</f>
        <v>0</v>
      </c>
      <c r="C48" s="371" t="s">
        <v>45</v>
      </c>
      <c r="D48" s="372" t="s">
        <v>115</v>
      </c>
      <c r="E48" s="372" t="s">
        <v>348</v>
      </c>
      <c r="F48" s="372" t="s">
        <v>370</v>
      </c>
      <c r="G48" s="373" t="s">
        <v>106</v>
      </c>
      <c r="H48" s="1099">
        <v>0</v>
      </c>
      <c r="I48" s="1100"/>
      <c r="J48" s="1101"/>
      <c r="K48" s="262"/>
      <c r="L48" s="1102"/>
      <c r="M48" s="1111"/>
      <c r="N48" s="1103"/>
      <c r="O48" s="1102"/>
      <c r="P48" s="788"/>
      <c r="Q48" s="788"/>
      <c r="R48" s="788"/>
      <c r="S48" s="788"/>
      <c r="T48" s="788"/>
      <c r="U48" s="788"/>
      <c r="V48" s="788"/>
      <c r="W48" s="788"/>
      <c r="X48" s="788"/>
      <c r="Y48" s="788"/>
      <c r="Z48" s="1146"/>
      <c r="AA48" s="1112">
        <f t="shared" ref="AA48" si="26">SUM(O48:Z48)</f>
        <v>0</v>
      </c>
      <c r="AB48" s="1105">
        <f t="shared" ref="AB48" si="27">M48-AA48</f>
        <v>0</v>
      </c>
      <c r="AC48" s="1106"/>
      <c r="AD48" s="1107"/>
      <c r="AE48" s="1108"/>
      <c r="AF48" s="1109"/>
      <c r="AG48" s="1104"/>
      <c r="AH48" s="1110">
        <f t="shared" ref="AH48" si="28">AG48-M48</f>
        <v>0</v>
      </c>
      <c r="AI48" s="1096"/>
    </row>
    <row r="49" spans="1:35" s="1097" customFormat="1">
      <c r="A49" s="1177" t="s">
        <v>114</v>
      </c>
      <c r="B49" s="1135">
        <f t="shared" ref="B49" si="29">K49</f>
        <v>0</v>
      </c>
      <c r="C49" s="371" t="s">
        <v>45</v>
      </c>
      <c r="D49" s="372" t="s">
        <v>115</v>
      </c>
      <c r="E49" s="372" t="s">
        <v>348</v>
      </c>
      <c r="F49" s="372" t="s">
        <v>370</v>
      </c>
      <c r="G49" s="373" t="s">
        <v>106</v>
      </c>
      <c r="H49" s="1099">
        <v>0</v>
      </c>
      <c r="I49" s="1100"/>
      <c r="J49" s="1101"/>
      <c r="K49" s="262"/>
      <c r="L49" s="1102"/>
      <c r="M49" s="1111"/>
      <c r="N49" s="1103"/>
      <c r="O49" s="1102"/>
      <c r="P49" s="788"/>
      <c r="Q49" s="788"/>
      <c r="R49" s="788"/>
      <c r="S49" s="788"/>
      <c r="T49" s="788"/>
      <c r="U49" s="788"/>
      <c r="V49" s="788"/>
      <c r="W49" s="788"/>
      <c r="X49" s="788"/>
      <c r="Y49" s="788"/>
      <c r="Z49" s="1146"/>
      <c r="AA49" s="1112">
        <f t="shared" ref="AA49" si="30">SUM(O49:Z49)</f>
        <v>0</v>
      </c>
      <c r="AB49" s="1105">
        <f t="shared" ref="AB49" si="31">M49-AA49</f>
        <v>0</v>
      </c>
      <c r="AC49" s="1106"/>
      <c r="AD49" s="1107"/>
      <c r="AE49" s="1108"/>
      <c r="AF49" s="1109"/>
      <c r="AG49" s="1104"/>
      <c r="AH49" s="1110">
        <f t="shared" ref="AH49" si="32">AG49-M49</f>
        <v>0</v>
      </c>
      <c r="AI49" s="1096"/>
    </row>
    <row r="50" spans="1:35" s="1028" customFormat="1">
      <c r="A50" s="1113" t="s">
        <v>107</v>
      </c>
      <c r="B50" s="1114">
        <f>B47-SUM(B48:B49)</f>
        <v>3003000000</v>
      </c>
      <c r="C50" s="1115"/>
      <c r="D50" s="1128"/>
      <c r="E50" s="1128"/>
      <c r="F50" s="1128"/>
      <c r="G50" s="1129"/>
      <c r="H50" s="1142"/>
      <c r="I50" s="1143"/>
      <c r="J50" s="1144"/>
      <c r="K50" s="1068">
        <f>SUM(K49:K49)</f>
        <v>0</v>
      </c>
      <c r="L50" s="15"/>
      <c r="M50" s="1068">
        <f>SUM(M49:M49)</f>
        <v>0</v>
      </c>
      <c r="N50" s="236"/>
      <c r="O50" s="1143">
        <f t="shared" ref="O50:AB50" si="33">SUM(O49:O49)</f>
        <v>0</v>
      </c>
      <c r="P50" s="1068">
        <f t="shared" si="33"/>
        <v>0</v>
      </c>
      <c r="Q50" s="1068">
        <f t="shared" si="33"/>
        <v>0</v>
      </c>
      <c r="R50" s="1068">
        <f t="shared" si="33"/>
        <v>0</v>
      </c>
      <c r="S50" s="1068">
        <f t="shared" si="33"/>
        <v>0</v>
      </c>
      <c r="T50" s="1068">
        <f t="shared" si="33"/>
        <v>0</v>
      </c>
      <c r="U50" s="1068">
        <f t="shared" si="33"/>
        <v>0</v>
      </c>
      <c r="V50" s="1068">
        <f t="shared" si="33"/>
        <v>0</v>
      </c>
      <c r="W50" s="1068">
        <f t="shared" si="33"/>
        <v>0</v>
      </c>
      <c r="X50" s="1068">
        <f t="shared" si="33"/>
        <v>0</v>
      </c>
      <c r="Y50" s="1068">
        <f t="shared" si="33"/>
        <v>0</v>
      </c>
      <c r="Z50" s="1145">
        <f t="shared" si="33"/>
        <v>0</v>
      </c>
      <c r="AA50" s="1143">
        <f t="shared" si="33"/>
        <v>0</v>
      </c>
      <c r="AB50" s="1145">
        <f t="shared" si="33"/>
        <v>0</v>
      </c>
      <c r="AC50" s="1126"/>
      <c r="AD50" s="1119"/>
      <c r="AE50" s="1120"/>
      <c r="AF50" s="1121"/>
      <c r="AG50" s="15">
        <f>SUM(AG49:AG49)</f>
        <v>0</v>
      </c>
      <c r="AH50" s="15">
        <f>SUM(AH49:AH49)</f>
        <v>0</v>
      </c>
      <c r="AI50" s="1136" t="e">
        <f>#REF!-AG50</f>
        <v>#REF!</v>
      </c>
    </row>
    <row r="51" spans="1:35" s="1097" customFormat="1" ht="57" customHeight="1">
      <c r="A51" s="1178" t="s">
        <v>116</v>
      </c>
      <c r="B51" s="1073">
        <v>1828000000</v>
      </c>
      <c r="C51" s="1511" t="s">
        <v>45</v>
      </c>
      <c r="D51" s="1511" t="s">
        <v>113</v>
      </c>
      <c r="E51" s="1511" t="s">
        <v>348</v>
      </c>
      <c r="F51" s="1511" t="s">
        <v>117</v>
      </c>
      <c r="G51" s="1512" t="s">
        <v>106</v>
      </c>
      <c r="H51" s="1179">
        <v>0</v>
      </c>
      <c r="I51" s="1180"/>
      <c r="J51" s="1181"/>
      <c r="K51" s="1182"/>
      <c r="L51" s="1183"/>
      <c r="M51" s="1184"/>
      <c r="N51" s="1185"/>
      <c r="O51" s="1183"/>
      <c r="P51" s="1186"/>
      <c r="Q51" s="1186"/>
      <c r="R51" s="1186"/>
      <c r="S51" s="1186"/>
      <c r="T51" s="1186"/>
      <c r="U51" s="1186"/>
      <c r="V51" s="1186"/>
      <c r="W51" s="1186"/>
      <c r="X51" s="1186"/>
      <c r="Y51" s="1186"/>
      <c r="Z51" s="1187"/>
      <c r="AA51" s="1183"/>
      <c r="AB51" s="1187"/>
      <c r="AC51" s="1188"/>
      <c r="AD51" s="1189"/>
      <c r="AE51" s="1190"/>
      <c r="AF51" s="1191"/>
      <c r="AG51" s="1192"/>
      <c r="AH51" s="1193"/>
      <c r="AI51" s="1096"/>
    </row>
    <row r="52" spans="1:35" s="1097" customFormat="1">
      <c r="A52" s="1194" t="s">
        <v>116</v>
      </c>
      <c r="B52" s="801">
        <f t="shared" ref="B52:B53" si="34">K52</f>
        <v>0</v>
      </c>
      <c r="C52" s="1195" t="s">
        <v>45</v>
      </c>
      <c r="D52" s="1195" t="s">
        <v>113</v>
      </c>
      <c r="E52" s="1195" t="s">
        <v>348</v>
      </c>
      <c r="F52" s="1195" t="s">
        <v>117</v>
      </c>
      <c r="G52" s="1196" t="s">
        <v>106</v>
      </c>
      <c r="H52" s="1179">
        <v>0</v>
      </c>
      <c r="I52" s="1180"/>
      <c r="J52" s="1181"/>
      <c r="K52" s="1182"/>
      <c r="L52" s="1183"/>
      <c r="M52" s="1184"/>
      <c r="N52" s="1185"/>
      <c r="O52" s="1183"/>
      <c r="P52" s="1186"/>
      <c r="Q52" s="1186"/>
      <c r="R52" s="1186"/>
      <c r="S52" s="1186"/>
      <c r="T52" s="1186"/>
      <c r="U52" s="1186"/>
      <c r="V52" s="1186"/>
      <c r="W52" s="1186"/>
      <c r="X52" s="1186"/>
      <c r="Y52" s="1186"/>
      <c r="Z52" s="1187"/>
      <c r="AA52" s="1183"/>
      <c r="AB52" s="1187"/>
      <c r="AC52" s="1188"/>
      <c r="AD52" s="1189"/>
      <c r="AE52" s="1190"/>
      <c r="AF52" s="1191"/>
      <c r="AG52" s="1192"/>
      <c r="AH52" s="1193"/>
      <c r="AI52" s="1096"/>
    </row>
    <row r="53" spans="1:35" s="1028" customFormat="1">
      <c r="A53" s="1194" t="s">
        <v>116</v>
      </c>
      <c r="B53" s="801">
        <f t="shared" si="34"/>
        <v>0</v>
      </c>
      <c r="C53" s="1195" t="s">
        <v>45</v>
      </c>
      <c r="D53" s="1195" t="s">
        <v>113</v>
      </c>
      <c r="E53" s="1195" t="s">
        <v>348</v>
      </c>
      <c r="F53" s="1195" t="s">
        <v>117</v>
      </c>
      <c r="G53" s="1196" t="s">
        <v>106</v>
      </c>
      <c r="H53" s="1099">
        <v>0</v>
      </c>
      <c r="I53" s="1100"/>
      <c r="J53" s="1101"/>
      <c r="K53" s="85"/>
      <c r="L53" s="1102"/>
      <c r="M53" s="1197"/>
      <c r="N53" s="1103"/>
      <c r="O53" s="1102"/>
      <c r="P53" s="788"/>
      <c r="Q53" s="788"/>
      <c r="R53" s="788"/>
      <c r="S53" s="788"/>
      <c r="T53" s="788"/>
      <c r="U53" s="788"/>
      <c r="V53" s="788"/>
      <c r="W53" s="788"/>
      <c r="X53" s="788"/>
      <c r="Y53" s="788"/>
      <c r="Z53" s="1146"/>
      <c r="AA53" s="1112">
        <f t="shared" ref="AA53" si="35">SUM(O53:Z53)</f>
        <v>0</v>
      </c>
      <c r="AB53" s="1105">
        <f>M53-AA53</f>
        <v>0</v>
      </c>
      <c r="AC53" s="1137"/>
      <c r="AD53" s="1107"/>
      <c r="AE53" s="1125"/>
      <c r="AF53" s="1109"/>
      <c r="AG53" s="1104"/>
      <c r="AH53" s="1110" t="e">
        <f>AG53-#REF!</f>
        <v>#REF!</v>
      </c>
      <c r="AI53" s="1031"/>
    </row>
    <row r="54" spans="1:35" s="1028" customFormat="1">
      <c r="A54" s="1198" t="s">
        <v>107</v>
      </c>
      <c r="B54" s="15">
        <f>B51-SUM(B52:B53)</f>
        <v>1828000000</v>
      </c>
      <c r="C54" s="66"/>
      <c r="D54" s="66"/>
      <c r="E54" s="66"/>
      <c r="F54" s="66"/>
      <c r="G54" s="1199"/>
      <c r="H54" s="1142"/>
      <c r="I54" s="1143"/>
      <c r="J54" s="1144"/>
      <c r="K54" s="1068">
        <f>SUM(K53:K53)</f>
        <v>0</v>
      </c>
      <c r="L54" s="15"/>
      <c r="M54" s="1068">
        <f>SUM(M53:M53)</f>
        <v>0</v>
      </c>
      <c r="N54" s="1145"/>
      <c r="O54" s="1143">
        <f t="shared" ref="O54:AB54" si="36">SUM(O53:O53)</f>
        <v>0</v>
      </c>
      <c r="P54" s="1068">
        <f t="shared" si="36"/>
        <v>0</v>
      </c>
      <c r="Q54" s="1068">
        <f t="shared" si="36"/>
        <v>0</v>
      </c>
      <c r="R54" s="1068">
        <f t="shared" si="36"/>
        <v>0</v>
      </c>
      <c r="S54" s="1068">
        <f t="shared" si="36"/>
        <v>0</v>
      </c>
      <c r="T54" s="1068">
        <f t="shared" si="36"/>
        <v>0</v>
      </c>
      <c r="U54" s="1068">
        <f t="shared" si="36"/>
        <v>0</v>
      </c>
      <c r="V54" s="1068">
        <f t="shared" si="36"/>
        <v>0</v>
      </c>
      <c r="W54" s="1068">
        <f t="shared" si="36"/>
        <v>0</v>
      </c>
      <c r="X54" s="1068">
        <f t="shared" si="36"/>
        <v>0</v>
      </c>
      <c r="Y54" s="1068">
        <f t="shared" si="36"/>
        <v>0</v>
      </c>
      <c r="Z54" s="1145">
        <f t="shared" si="36"/>
        <v>0</v>
      </c>
      <c r="AA54" s="1143">
        <f t="shared" si="36"/>
        <v>0</v>
      </c>
      <c r="AB54" s="1145">
        <f t="shared" si="36"/>
        <v>0</v>
      </c>
      <c r="AC54" s="1118"/>
      <c r="AD54" s="1119"/>
      <c r="AE54" s="1120"/>
      <c r="AF54" s="1121"/>
      <c r="AG54" s="15">
        <f>SUM(AG53:AG53)</f>
        <v>0</v>
      </c>
      <c r="AH54" s="15" t="e">
        <f>SUM(AH53:AH53)</f>
        <v>#REF!</v>
      </c>
      <c r="AI54" s="1122">
        <f>B52-AG54</f>
        <v>0</v>
      </c>
    </row>
    <row r="55" spans="1:35" s="1028" customFormat="1" ht="34.5" customHeight="1">
      <c r="A55" s="1518" t="s">
        <v>355</v>
      </c>
      <c r="B55" s="1522">
        <v>38000000</v>
      </c>
      <c r="C55" s="1519" t="s">
        <v>356</v>
      </c>
      <c r="D55" s="1535" t="s">
        <v>105</v>
      </c>
      <c r="E55" s="1520" t="s">
        <v>348</v>
      </c>
      <c r="F55" s="1520" t="s">
        <v>371</v>
      </c>
      <c r="G55" s="1521" t="s">
        <v>106</v>
      </c>
      <c r="H55" s="1206"/>
      <c r="I55" s="1207"/>
      <c r="J55" s="514"/>
      <c r="K55" s="1208"/>
      <c r="L55" s="1208"/>
      <c r="M55" s="1208"/>
      <c r="N55" s="1516"/>
      <c r="O55" s="1207"/>
      <c r="P55" s="1208"/>
      <c r="Q55" s="1208"/>
      <c r="R55" s="1208"/>
      <c r="S55" s="1208"/>
      <c r="T55" s="1208"/>
      <c r="U55" s="1208"/>
      <c r="V55" s="1208"/>
      <c r="W55" s="1208"/>
      <c r="X55" s="1208"/>
      <c r="Y55" s="1208"/>
      <c r="Z55" s="1516"/>
      <c r="AA55" s="1207"/>
      <c r="AB55" s="1516"/>
      <c r="AC55" s="1517"/>
      <c r="AD55" s="1107"/>
      <c r="AE55" s="1108"/>
      <c r="AF55" s="1210"/>
      <c r="AG55" s="324"/>
      <c r="AH55" s="93"/>
      <c r="AI55" s="1127"/>
    </row>
    <row r="56" spans="1:35" s="1028" customFormat="1">
      <c r="A56" s="1533" t="s">
        <v>355</v>
      </c>
      <c r="B56" s="1208"/>
      <c r="C56" s="1532" t="s">
        <v>356</v>
      </c>
      <c r="D56" s="1534" t="s">
        <v>105</v>
      </c>
      <c r="E56" s="1534" t="s">
        <v>368</v>
      </c>
      <c r="F56" s="1534" t="s">
        <v>370</v>
      </c>
      <c r="G56" s="1536" t="s">
        <v>106</v>
      </c>
      <c r="H56" s="1537">
        <v>0</v>
      </c>
      <c r="I56" s="1207"/>
      <c r="J56" s="514"/>
      <c r="K56" s="1208"/>
      <c r="L56" s="1208"/>
      <c r="M56" s="1208"/>
      <c r="N56" s="1516"/>
      <c r="O56" s="1207"/>
      <c r="P56" s="1208"/>
      <c r="Q56" s="1208"/>
      <c r="R56" s="1208"/>
      <c r="S56" s="1208"/>
      <c r="T56" s="1208"/>
      <c r="U56" s="1208"/>
      <c r="V56" s="1208"/>
      <c r="W56" s="1208"/>
      <c r="X56" s="1208"/>
      <c r="Y56" s="1208"/>
      <c r="Z56" s="1516"/>
      <c r="AA56" s="1207"/>
      <c r="AB56" s="1516"/>
      <c r="AC56" s="1517"/>
      <c r="AD56" s="1107"/>
      <c r="AE56" s="1108"/>
      <c r="AF56" s="1210"/>
      <c r="AG56" s="324"/>
      <c r="AH56" s="93"/>
      <c r="AI56" s="1127"/>
    </row>
    <row r="57" spans="1:35" s="1028" customFormat="1">
      <c r="A57" s="1533" t="s">
        <v>355</v>
      </c>
      <c r="B57" s="1208"/>
      <c r="C57" s="1532" t="s">
        <v>356</v>
      </c>
      <c r="D57" s="1534" t="s">
        <v>105</v>
      </c>
      <c r="E57" s="1534" t="s">
        <v>369</v>
      </c>
      <c r="F57" s="1534" t="s">
        <v>370</v>
      </c>
      <c r="G57" s="1536" t="s">
        <v>106</v>
      </c>
      <c r="H57" s="1537">
        <v>0</v>
      </c>
      <c r="I57" s="1207"/>
      <c r="J57" s="514"/>
      <c r="K57" s="1208"/>
      <c r="L57" s="1208"/>
      <c r="M57" s="1208"/>
      <c r="N57" s="1516"/>
      <c r="O57" s="1207"/>
      <c r="P57" s="1208"/>
      <c r="Q57" s="1208"/>
      <c r="R57" s="1208"/>
      <c r="S57" s="1208"/>
      <c r="T57" s="1208"/>
      <c r="U57" s="1208"/>
      <c r="V57" s="1208"/>
      <c r="W57" s="1208"/>
      <c r="X57" s="1208"/>
      <c r="Y57" s="1208"/>
      <c r="Z57" s="1516"/>
      <c r="AA57" s="1207"/>
      <c r="AB57" s="1516"/>
      <c r="AC57" s="1517"/>
      <c r="AD57" s="1107"/>
      <c r="AE57" s="1108"/>
      <c r="AF57" s="1210"/>
      <c r="AG57" s="324"/>
      <c r="AH57" s="93"/>
      <c r="AI57" s="1127"/>
    </row>
    <row r="58" spans="1:35" s="1028" customFormat="1">
      <c r="A58" s="1198"/>
      <c r="B58" s="15">
        <f>B55-SUM(B56:B57)</f>
        <v>38000000</v>
      </c>
      <c r="C58" s="66"/>
      <c r="D58" s="66"/>
      <c r="E58" s="66"/>
      <c r="F58" s="66"/>
      <c r="G58" s="1199"/>
      <c r="H58" s="1142"/>
      <c r="I58" s="1143"/>
      <c r="J58" s="1144"/>
      <c r="K58" s="1068">
        <f>SUM(K56:K57)</f>
        <v>0</v>
      </c>
      <c r="L58" s="15"/>
      <c r="M58" s="1068">
        <f>SUM(M56:M57)</f>
        <v>0</v>
      </c>
      <c r="N58" s="1145"/>
      <c r="O58" s="1068">
        <f t="shared" ref="O58:AB58" si="37">SUM(O56:O57)</f>
        <v>0</v>
      </c>
      <c r="P58" s="1068">
        <f t="shared" si="37"/>
        <v>0</v>
      </c>
      <c r="Q58" s="1068">
        <f t="shared" si="37"/>
        <v>0</v>
      </c>
      <c r="R58" s="1068">
        <f t="shared" si="37"/>
        <v>0</v>
      </c>
      <c r="S58" s="1068">
        <f t="shared" si="37"/>
        <v>0</v>
      </c>
      <c r="T58" s="1068">
        <f t="shared" si="37"/>
        <v>0</v>
      </c>
      <c r="U58" s="1068">
        <f t="shared" si="37"/>
        <v>0</v>
      </c>
      <c r="V58" s="1068">
        <f t="shared" si="37"/>
        <v>0</v>
      </c>
      <c r="W58" s="1068">
        <f t="shared" si="37"/>
        <v>0</v>
      </c>
      <c r="X58" s="1068">
        <f t="shared" si="37"/>
        <v>0</v>
      </c>
      <c r="Y58" s="1068">
        <f t="shared" si="37"/>
        <v>0</v>
      </c>
      <c r="Z58" s="1068">
        <f t="shared" si="37"/>
        <v>0</v>
      </c>
      <c r="AA58" s="1068">
        <f t="shared" si="37"/>
        <v>0</v>
      </c>
      <c r="AB58" s="1068">
        <f t="shared" si="37"/>
        <v>0</v>
      </c>
      <c r="AC58" s="1118"/>
      <c r="AD58" s="1119"/>
      <c r="AE58" s="1120"/>
      <c r="AF58" s="1121"/>
      <c r="AG58" s="15"/>
      <c r="AH58" s="15"/>
      <c r="AI58" s="1122"/>
    </row>
    <row r="59" spans="1:35" s="1028" customFormat="1">
      <c r="A59" s="1202"/>
      <c r="B59" s="1203"/>
      <c r="C59" s="1204"/>
      <c r="D59" s="1204"/>
      <c r="E59" s="1204"/>
      <c r="F59" s="1204"/>
      <c r="G59" s="1205"/>
      <c r="H59" s="1206"/>
      <c r="I59" s="1207"/>
      <c r="J59" s="514"/>
      <c r="K59" s="1208"/>
      <c r="L59" s="1208"/>
      <c r="M59" s="1138"/>
      <c r="N59" s="1139"/>
      <c r="O59" s="1140"/>
      <c r="P59" s="1141"/>
      <c r="Q59" s="1141"/>
      <c r="R59" s="1141"/>
      <c r="S59" s="1141"/>
      <c r="T59" s="1141"/>
      <c r="U59" s="1141"/>
      <c r="V59" s="1141"/>
      <c r="W59" s="1141"/>
      <c r="X59" s="1141"/>
      <c r="Y59" s="1141"/>
      <c r="Z59" s="1209"/>
      <c r="AA59" s="1140"/>
      <c r="AB59" s="1209"/>
      <c r="AC59" s="1106"/>
      <c r="AD59" s="1107"/>
      <c r="AE59" s="1108"/>
      <c r="AF59" s="1210"/>
      <c r="AG59" s="1112"/>
      <c r="AI59" s="1031"/>
    </row>
    <row r="60" spans="1:35" s="1028" customFormat="1" ht="18.75" customHeight="1">
      <c r="A60" s="1211" t="s">
        <v>383</v>
      </c>
      <c r="B60" s="1212">
        <f>B16+B38+B41+B44+B47+B51+B55</f>
        <v>16997000000</v>
      </c>
      <c r="C60" s="1213"/>
      <c r="D60" s="1213"/>
      <c r="E60" s="1213"/>
      <c r="F60" s="1213"/>
      <c r="G60" s="1214"/>
      <c r="H60" s="1215"/>
      <c r="I60" s="1216"/>
      <c r="J60" s="1217"/>
      <c r="K60" s="1212">
        <f>K19+K22+K25+K28+K31+K34+K37+K40+K46+K50+K54+K43+K58</f>
        <v>0</v>
      </c>
      <c r="L60" s="1212"/>
      <c r="M60" s="1212">
        <f>M19+M22+M25+M28+M31+M34+M37+M40+M46+M50+M54+M43+M58</f>
        <v>0</v>
      </c>
      <c r="N60" s="1218"/>
      <c r="O60" s="1212">
        <f t="shared" ref="O60:AB60" si="38">O19+O22+O25+O28+O31+O34+O37+O40+O46+O50+O54+O43+O58</f>
        <v>0</v>
      </c>
      <c r="P60" s="1212">
        <f t="shared" si="38"/>
        <v>0</v>
      </c>
      <c r="Q60" s="1212">
        <f t="shared" si="38"/>
        <v>0</v>
      </c>
      <c r="R60" s="1212">
        <f t="shared" si="38"/>
        <v>0</v>
      </c>
      <c r="S60" s="1212">
        <f t="shared" si="38"/>
        <v>0</v>
      </c>
      <c r="T60" s="1212">
        <f t="shared" si="38"/>
        <v>0</v>
      </c>
      <c r="U60" s="1212">
        <f t="shared" si="38"/>
        <v>0</v>
      </c>
      <c r="V60" s="1212">
        <f t="shared" si="38"/>
        <v>0</v>
      </c>
      <c r="W60" s="1212">
        <f t="shared" si="38"/>
        <v>0</v>
      </c>
      <c r="X60" s="1212">
        <f t="shared" si="38"/>
        <v>0</v>
      </c>
      <c r="Y60" s="1212">
        <f t="shared" si="38"/>
        <v>0</v>
      </c>
      <c r="Z60" s="1212">
        <f t="shared" si="38"/>
        <v>0</v>
      </c>
      <c r="AA60" s="1212">
        <f t="shared" si="38"/>
        <v>0</v>
      </c>
      <c r="AB60" s="1212">
        <f t="shared" si="38"/>
        <v>0</v>
      </c>
      <c r="AC60" s="1126"/>
      <c r="AD60" s="1119"/>
      <c r="AE60" s="1120"/>
      <c r="AF60" s="1121"/>
      <c r="AG60" s="15" t="e">
        <f>AG19+AG28+AG37+#REF!+#REF!+AG25+AG22+AG31+#REF!+#REF!+#REF!+#REF!+#REF!+#REF!+#REF!+AG46+AG50+#REF!+#REF!+#REF!+AG54+AG43</f>
        <v>#REF!</v>
      </c>
      <c r="AH60" s="15" t="e">
        <f>AH19+AH28+AH37+#REF!+#REF!+AH25+AH22+AH31+#REF!+#REF!+#REF!+#REF!+#REF!+#REF!+#REF!+AH46+AH50+#REF!+#REF!+#REF!+AH54+AH43</f>
        <v>#REF!</v>
      </c>
      <c r="AI60" s="1219" t="e">
        <f>AH60/AG60</f>
        <v>#REF!</v>
      </c>
    </row>
    <row r="61" spans="1:35" s="1230" customFormat="1">
      <c r="A61" s="1220"/>
      <c r="B61" s="1221"/>
      <c r="C61" s="1222"/>
      <c r="D61" s="1222"/>
      <c r="E61" s="1222"/>
      <c r="F61" s="1222"/>
      <c r="G61" s="1222"/>
      <c r="H61" s="1223"/>
      <c r="I61" s="1221"/>
      <c r="J61" s="1224"/>
      <c r="K61" s="1221"/>
      <c r="L61" s="1221"/>
      <c r="M61" s="1225"/>
      <c r="N61" s="1226"/>
      <c r="O61" s="1227"/>
      <c r="P61" s="1227"/>
      <c r="Q61" s="1227"/>
      <c r="R61" s="1227"/>
      <c r="S61" s="1227"/>
      <c r="T61" s="1227"/>
      <c r="U61" s="1227"/>
      <c r="V61" s="1227"/>
      <c r="W61" s="1227"/>
      <c r="X61" s="1227"/>
      <c r="Y61" s="1227"/>
      <c r="Z61" s="1227"/>
      <c r="AA61" s="1227"/>
      <c r="AB61" s="1228"/>
      <c r="AC61" s="1229"/>
      <c r="AF61" s="1231"/>
      <c r="AG61" s="1232"/>
      <c r="AI61" s="1233"/>
    </row>
    <row r="62" spans="1:35" s="1230" customFormat="1">
      <c r="A62" s="1234"/>
      <c r="B62" s="1221"/>
      <c r="C62" s="1222"/>
      <c r="D62" s="1222"/>
      <c r="E62" s="1222"/>
      <c r="F62" s="1222"/>
      <c r="G62" s="1222"/>
      <c r="H62" s="1223"/>
      <c r="I62" s="1221"/>
      <c r="J62" s="1224"/>
      <c r="K62" s="1221"/>
      <c r="L62" s="1221"/>
      <c r="M62" s="1225"/>
      <c r="N62" s="1226"/>
      <c r="O62" s="1227"/>
      <c r="P62" s="1227"/>
      <c r="Q62" s="1227"/>
      <c r="R62" s="1227"/>
      <c r="S62" s="1227"/>
      <c r="T62" s="1227"/>
      <c r="U62" s="1227"/>
      <c r="V62" s="1227"/>
      <c r="W62" s="1227"/>
      <c r="X62" s="1227"/>
      <c r="Y62" s="1227"/>
      <c r="Z62" s="1227"/>
      <c r="AA62" s="1227"/>
      <c r="AB62" s="1228"/>
      <c r="AC62" s="1229"/>
      <c r="AF62" s="1231"/>
      <c r="AG62" s="1232"/>
      <c r="AI62" s="1233"/>
    </row>
    <row r="63" spans="1:35">
      <c r="A63" s="1235" t="s">
        <v>38</v>
      </c>
      <c r="B63" s="1513" t="s">
        <v>19</v>
      </c>
      <c r="C63" s="1222"/>
      <c r="D63" s="1222"/>
      <c r="E63" s="1222"/>
      <c r="F63" s="1236"/>
      <c r="G63" s="1236"/>
      <c r="H63" s="1237"/>
      <c r="I63" s="1238"/>
      <c r="J63" s="1239"/>
      <c r="K63" s="1238"/>
      <c r="L63" s="1238"/>
      <c r="M63" s="1240"/>
      <c r="N63" s="1241"/>
      <c r="O63" s="1242"/>
      <c r="P63" s="1242"/>
      <c r="Q63" s="1242"/>
      <c r="R63" s="1242"/>
      <c r="S63" s="1242"/>
      <c r="T63" s="1242"/>
      <c r="U63" s="1242"/>
      <c r="V63" s="1242"/>
      <c r="W63" s="1242"/>
      <c r="X63" s="1242"/>
      <c r="Y63" s="1242"/>
      <c r="Z63" s="1242"/>
      <c r="AA63" s="1242"/>
      <c r="AB63" s="1243"/>
    </row>
    <row r="64" spans="1:35" ht="20.25" customHeight="1">
      <c r="A64" s="1234"/>
      <c r="B64" s="1221"/>
      <c r="C64" s="1222"/>
      <c r="D64" s="1222"/>
      <c r="E64" s="1222"/>
      <c r="F64" s="1236"/>
      <c r="G64" s="1236"/>
      <c r="H64" s="1245"/>
      <c r="I64" s="93"/>
      <c r="J64" s="397"/>
      <c r="K64" s="147" t="s">
        <v>25</v>
      </c>
      <c r="L64" s="147" t="s">
        <v>26</v>
      </c>
      <c r="M64" s="26" t="s">
        <v>288</v>
      </c>
      <c r="N64" s="1241"/>
      <c r="O64" s="1246"/>
      <c r="P64" s="1246"/>
      <c r="Q64" s="1246"/>
      <c r="R64" s="1246"/>
      <c r="S64" s="1246"/>
      <c r="T64" s="1246"/>
      <c r="U64" s="1246"/>
      <c r="V64" s="1246"/>
      <c r="W64" s="1246"/>
      <c r="X64" s="1246"/>
      <c r="Y64" s="1246"/>
      <c r="Z64" s="1246"/>
      <c r="AA64" s="1246">
        <f>SUM(O64:Z64)</f>
        <v>0</v>
      </c>
      <c r="AB64" s="1247">
        <f>M60-AA64</f>
        <v>0</v>
      </c>
    </row>
    <row r="65" spans="1:35" ht="27" customHeight="1">
      <c r="A65" s="1248" t="s">
        <v>39</v>
      </c>
      <c r="B65" s="1249">
        <f>B17+B20+B23+B26+B29+B32+B35+B38+B41+B44+B47+B51+B55</f>
        <v>16997000000</v>
      </c>
      <c r="C65" s="1250"/>
      <c r="D65" s="1222"/>
      <c r="E65" s="1222"/>
      <c r="F65" s="1601"/>
      <c r="G65" s="1601"/>
      <c r="H65" s="1251"/>
      <c r="I65" s="1252"/>
      <c r="J65" s="1253"/>
      <c r="K65" s="1254">
        <f>K60</f>
        <v>0</v>
      </c>
      <c r="L65" s="1254">
        <f>M60</f>
        <v>0</v>
      </c>
      <c r="M65" s="1255">
        <f>AA60</f>
        <v>0</v>
      </c>
      <c r="N65" s="1241"/>
      <c r="O65" s="1242"/>
      <c r="P65" s="1242"/>
      <c r="Q65" s="1242"/>
      <c r="R65" s="1242"/>
      <c r="S65" s="1242"/>
      <c r="T65" s="1242"/>
      <c r="U65" s="1242"/>
      <c r="V65" s="1242"/>
      <c r="W65" s="1242"/>
      <c r="X65" s="1242"/>
      <c r="Y65" s="1242"/>
      <c r="Z65" s="1242"/>
      <c r="AA65" s="1242"/>
      <c r="AB65" s="1243"/>
    </row>
    <row r="66" spans="1:35" ht="22.5" customHeight="1">
      <c r="A66" s="1234"/>
      <c r="B66" s="1221"/>
      <c r="C66" s="925"/>
      <c r="D66" s="925"/>
      <c r="E66" s="925"/>
      <c r="F66" s="925"/>
      <c r="G66" s="1256"/>
      <c r="H66" s="1237"/>
      <c r="I66" s="1238"/>
      <c r="J66" s="1239"/>
      <c r="K66" s="1257"/>
      <c r="L66" s="1258" t="s">
        <v>39</v>
      </c>
      <c r="M66" s="1259">
        <f>M19+M22+M25+M28+M31+M34+M37+M40+M46+M50+M54+M43</f>
        <v>0</v>
      </c>
      <c r="N66" s="1241"/>
      <c r="O66" s="1259">
        <f t="shared" ref="O66:AA66" si="39">O19+O22+O25+O28+O31+O34+O37+O40+O46+O50+O54+O43</f>
        <v>0</v>
      </c>
      <c r="P66" s="1259">
        <f t="shared" si="39"/>
        <v>0</v>
      </c>
      <c r="Q66" s="1259">
        <f t="shared" si="39"/>
        <v>0</v>
      </c>
      <c r="R66" s="1259">
        <f t="shared" si="39"/>
        <v>0</v>
      </c>
      <c r="S66" s="1259">
        <f t="shared" si="39"/>
        <v>0</v>
      </c>
      <c r="T66" s="1259">
        <f t="shared" si="39"/>
        <v>0</v>
      </c>
      <c r="U66" s="1259">
        <f t="shared" si="39"/>
        <v>0</v>
      </c>
      <c r="V66" s="1259">
        <f t="shared" si="39"/>
        <v>0</v>
      </c>
      <c r="W66" s="1259">
        <f t="shared" si="39"/>
        <v>0</v>
      </c>
      <c r="X66" s="1259">
        <f t="shared" si="39"/>
        <v>0</v>
      </c>
      <c r="Y66" s="1259">
        <f t="shared" si="39"/>
        <v>0</v>
      </c>
      <c r="Z66" s="1259">
        <f t="shared" si="39"/>
        <v>0</v>
      </c>
      <c r="AA66" s="1259">
        <f t="shared" si="39"/>
        <v>0</v>
      </c>
      <c r="AB66" s="1260">
        <f>M66-AA66</f>
        <v>0</v>
      </c>
    </row>
    <row r="67" spans="1:35" s="1028" customFormat="1" ht="15">
      <c r="A67" s="1261"/>
      <c r="B67" s="1262"/>
      <c r="D67" s="1591" t="s">
        <v>354</v>
      </c>
      <c r="E67" s="1591"/>
      <c r="G67" s="1530" t="s">
        <v>336</v>
      </c>
      <c r="H67" s="1223"/>
      <c r="I67" s="1221"/>
      <c r="J67" s="1224"/>
      <c r="K67" s="1221"/>
      <c r="L67" s="1263"/>
      <c r="M67" s="1240"/>
      <c r="N67" s="1264"/>
      <c r="O67" s="1265"/>
      <c r="P67" s="1265"/>
      <c r="Q67" s="1265"/>
      <c r="R67" s="1265"/>
      <c r="S67" s="1265"/>
      <c r="T67" s="1265">
        <f>T66-T60</f>
        <v>0</v>
      </c>
      <c r="U67" s="1265"/>
      <c r="V67" s="1265"/>
      <c r="W67" s="1265"/>
      <c r="X67" s="1265"/>
      <c r="Y67" s="1265"/>
      <c r="Z67" s="1265"/>
      <c r="AA67" s="1265"/>
      <c r="AB67" s="1266"/>
      <c r="AC67" s="1267"/>
      <c r="AF67" s="1029"/>
      <c r="AG67" s="1030"/>
      <c r="AI67" s="1031"/>
    </row>
    <row r="68" spans="1:35" s="1028" customFormat="1" ht="14.25">
      <c r="A68" s="1261"/>
      <c r="D68" s="1548" t="s">
        <v>388</v>
      </c>
      <c r="E68" s="1548"/>
      <c r="F68" s="1548"/>
      <c r="G68" s="1531" t="s">
        <v>337</v>
      </c>
      <c r="H68" s="1223"/>
      <c r="I68" s="1221"/>
      <c r="J68" s="1224"/>
      <c r="K68" s="1221"/>
      <c r="L68" s="1221"/>
      <c r="M68" s="1240"/>
      <c r="N68" s="1264"/>
      <c r="O68" s="1265"/>
      <c r="P68" s="1265"/>
      <c r="Q68" s="1265"/>
      <c r="R68" s="1265"/>
      <c r="S68" s="1265"/>
      <c r="T68" s="1265"/>
      <c r="U68" s="1265"/>
      <c r="V68" s="1265"/>
      <c r="W68" s="1265"/>
      <c r="X68" s="1265"/>
      <c r="Y68" s="1265"/>
      <c r="Z68" s="1265"/>
      <c r="AA68" s="1265"/>
      <c r="AB68" s="1266"/>
      <c r="AC68" s="1267"/>
      <c r="AF68" s="1029"/>
      <c r="AG68" s="1030"/>
      <c r="AI68" s="1031"/>
    </row>
    <row r="69" spans="1:35" s="1028" customFormat="1">
      <c r="A69" s="1261"/>
      <c r="B69" s="1262"/>
      <c r="C69" s="1262"/>
      <c r="D69" s="1222"/>
      <c r="E69" s="1268"/>
      <c r="F69" s="1222"/>
      <c r="G69" s="1222"/>
      <c r="H69" s="1223"/>
      <c r="I69" s="1221"/>
      <c r="J69" s="1224"/>
      <c r="K69" s="1221"/>
      <c r="L69" s="1221"/>
      <c r="M69" s="1269"/>
      <c r="N69" s="1264"/>
      <c r="O69" s="1265"/>
      <c r="P69" s="1265"/>
      <c r="Q69" s="1265"/>
      <c r="R69" s="1265"/>
      <c r="S69" s="1265"/>
      <c r="T69" s="1265"/>
      <c r="U69" s="1265"/>
      <c r="V69" s="1265"/>
      <c r="W69" s="1265"/>
      <c r="X69" s="1265"/>
      <c r="Y69" s="1265"/>
      <c r="Z69" s="1265"/>
      <c r="AA69" s="1265"/>
      <c r="AB69" s="1266"/>
      <c r="AC69" s="1267"/>
      <c r="AF69" s="1029"/>
      <c r="AG69" s="1030"/>
      <c r="AI69" s="1031"/>
    </row>
    <row r="70" spans="1:35" s="1028" customFormat="1">
      <c r="A70" s="1261"/>
      <c r="B70" s="1262"/>
      <c r="C70" s="1262"/>
      <c r="D70" s="1222"/>
      <c r="E70" s="1270"/>
      <c r="F70" s="1222"/>
      <c r="G70" s="1222"/>
      <c r="H70" s="1223"/>
      <c r="I70" s="1221"/>
      <c r="J70" s="1224"/>
      <c r="K70" s="1221"/>
      <c r="L70" s="1221"/>
      <c r="M70" s="1269"/>
      <c r="N70" s="1264"/>
      <c r="O70" s="1265"/>
      <c r="P70" s="1265"/>
      <c r="Q70" s="1265"/>
      <c r="R70" s="1265"/>
      <c r="S70" s="1265"/>
      <c r="T70" s="1265"/>
      <c r="U70" s="1265"/>
      <c r="V70" s="1265"/>
      <c r="W70" s="1265"/>
      <c r="X70" s="1265"/>
      <c r="Y70" s="1265"/>
      <c r="Z70" s="1265"/>
      <c r="AA70" s="1265"/>
      <c r="AB70" s="1266"/>
      <c r="AC70" s="1267"/>
      <c r="AF70" s="1029"/>
      <c r="AG70" s="1030"/>
      <c r="AI70" s="1031"/>
    </row>
    <row r="71" spans="1:35" s="1028" customFormat="1">
      <c r="A71" s="1261"/>
      <c r="B71" s="1262"/>
      <c r="C71" s="1262"/>
      <c r="D71" s="1222"/>
      <c r="E71" s="1271"/>
      <c r="F71" s="1222"/>
      <c r="G71" s="1222"/>
      <c r="H71" s="1223"/>
      <c r="I71" s="1221"/>
      <c r="J71" s="1224"/>
      <c r="K71" s="1221"/>
      <c r="L71" s="1221"/>
      <c r="M71" s="1240"/>
      <c r="N71" s="1264"/>
      <c r="O71" s="1265"/>
      <c r="P71" s="1265"/>
      <c r="Q71" s="1265"/>
      <c r="R71" s="1265"/>
      <c r="S71" s="1265"/>
      <c r="T71" s="1265"/>
      <c r="U71" s="1265"/>
      <c r="V71" s="1265"/>
      <c r="W71" s="1265"/>
      <c r="X71" s="1265"/>
      <c r="Y71" s="1265"/>
      <c r="Z71" s="1265"/>
      <c r="AA71" s="1265"/>
      <c r="AB71" s="1266"/>
      <c r="AC71" s="1267"/>
      <c r="AF71" s="1029"/>
      <c r="AG71" s="1030"/>
      <c r="AI71" s="1031"/>
    </row>
    <row r="72" spans="1:35" s="1283" customFormat="1" ht="12.75" thickBot="1">
      <c r="A72" s="1515" t="s">
        <v>40</v>
      </c>
      <c r="B72" s="1272"/>
      <c r="C72" s="1273"/>
      <c r="D72" s="1274"/>
      <c r="E72" s="1275"/>
      <c r="F72" s="1276"/>
      <c r="G72" s="1276"/>
      <c r="H72" s="1277"/>
      <c r="I72" s="1278"/>
      <c r="J72" s="1279"/>
      <c r="K72" s="1272"/>
      <c r="L72" s="1272"/>
      <c r="M72" s="1278"/>
      <c r="N72" s="1280"/>
      <c r="O72" s="1281"/>
      <c r="P72" s="1281"/>
      <c r="Q72" s="1281"/>
      <c r="R72" s="1281"/>
      <c r="S72" s="1281"/>
      <c r="T72" s="1281"/>
      <c r="U72" s="1281"/>
      <c r="V72" s="1281"/>
      <c r="W72" s="1281"/>
      <c r="X72" s="1281"/>
      <c r="Y72" s="1281"/>
      <c r="Z72" s="1281"/>
      <c r="AA72" s="1281"/>
      <c r="AB72" s="1282"/>
      <c r="AC72" s="1244"/>
      <c r="AD72" s="1016"/>
      <c r="AE72" s="1016"/>
      <c r="AF72" s="1017"/>
      <c r="AG72" s="1018"/>
      <c r="AH72" s="1016"/>
      <c r="AI72" s="1019"/>
    </row>
    <row r="73" spans="1:35" s="1283" customFormat="1">
      <c r="A73" s="1016"/>
      <c r="B73" s="1284"/>
      <c r="C73" s="1230"/>
      <c r="D73" s="1230"/>
      <c r="E73" s="1230"/>
      <c r="F73" s="1230"/>
      <c r="G73" s="1230"/>
      <c r="H73" s="1285"/>
      <c r="I73" s="1286"/>
      <c r="J73" s="1287"/>
      <c r="K73" s="1284"/>
      <c r="L73" s="1284"/>
      <c r="M73" s="1286"/>
      <c r="O73" s="1288"/>
      <c r="P73" s="1288"/>
      <c r="Q73" s="1288"/>
      <c r="R73" s="1288"/>
      <c r="S73" s="1288"/>
      <c r="T73" s="1288"/>
      <c r="U73" s="1288"/>
      <c r="V73" s="1288"/>
      <c r="W73" s="1288"/>
      <c r="X73" s="1288"/>
      <c r="Y73" s="1288"/>
      <c r="Z73" s="1288"/>
      <c r="AA73" s="1288"/>
      <c r="AB73" s="1288"/>
      <c r="AC73" s="1244"/>
      <c r="AD73" s="1016"/>
      <c r="AE73" s="1016"/>
      <c r="AF73" s="1017"/>
      <c r="AG73" s="1018"/>
      <c r="AH73" s="1016"/>
      <c r="AI73" s="1019"/>
    </row>
    <row r="74" spans="1:35" s="1283" customFormat="1">
      <c r="A74" s="1230"/>
      <c r="B74" s="1284"/>
      <c r="C74" s="1230"/>
      <c r="D74" s="1230"/>
      <c r="E74" s="1230"/>
      <c r="F74" s="1230"/>
      <c r="G74" s="1230"/>
      <c r="H74" s="1285"/>
      <c r="I74" s="1286"/>
      <c r="J74" s="1287"/>
      <c r="K74" s="1284"/>
      <c r="L74" s="1284"/>
      <c r="M74" s="1286"/>
      <c r="O74" s="1288"/>
      <c r="P74" s="1288"/>
      <c r="Q74" s="1288"/>
      <c r="R74" s="1288"/>
      <c r="S74" s="1288"/>
      <c r="T74" s="1288"/>
      <c r="U74" s="1288"/>
      <c r="V74" s="1288"/>
      <c r="W74" s="1288"/>
      <c r="X74" s="1288"/>
      <c r="Y74" s="1288"/>
      <c r="Z74" s="1288"/>
      <c r="AA74" s="1288"/>
      <c r="AB74" s="1288"/>
      <c r="AC74" s="1244"/>
      <c r="AD74" s="1016"/>
      <c r="AE74" s="1016"/>
      <c r="AF74" s="1017"/>
      <c r="AG74" s="1018"/>
      <c r="AH74" s="1016"/>
      <c r="AI74" s="1019"/>
    </row>
    <row r="75" spans="1:35" s="1283" customFormat="1">
      <c r="A75" s="1230"/>
      <c r="B75" s="1284"/>
      <c r="C75" s="1230"/>
      <c r="D75" s="1230"/>
      <c r="E75" s="1230"/>
      <c r="F75" s="1230"/>
      <c r="G75" s="1230"/>
      <c r="H75" s="1285"/>
      <c r="I75" s="1286"/>
      <c r="J75" s="1287"/>
      <c r="K75" s="1284"/>
      <c r="L75" s="1284"/>
      <c r="M75" s="1286"/>
      <c r="O75" s="1288"/>
      <c r="P75" s="1288"/>
      <c r="Q75" s="1288"/>
      <c r="R75" s="1288"/>
      <c r="S75" s="1288"/>
      <c r="T75" s="1288"/>
      <c r="U75" s="1288"/>
      <c r="V75" s="1288"/>
      <c r="W75" s="1288"/>
      <c r="X75" s="1288"/>
      <c r="Y75" s="1288"/>
      <c r="Z75" s="1288"/>
      <c r="AA75" s="1288"/>
      <c r="AB75" s="1288"/>
      <c r="AC75" s="1244"/>
      <c r="AD75" s="1016"/>
      <c r="AE75" s="1016"/>
      <c r="AF75" s="1017"/>
      <c r="AG75" s="1018"/>
      <c r="AH75" s="1016"/>
      <c r="AI75" s="1019"/>
    </row>
    <row r="76" spans="1:35" s="1283" customFormat="1">
      <c r="A76" s="1230"/>
      <c r="B76" s="1284"/>
      <c r="C76" s="1230"/>
      <c r="D76" s="1230"/>
      <c r="E76" s="1230"/>
      <c r="F76" s="1289"/>
      <c r="G76" s="1230"/>
      <c r="H76" s="1285"/>
      <c r="I76" s="1286"/>
      <c r="J76" s="1287"/>
      <c r="K76" s="1284"/>
      <c r="L76" s="1284"/>
      <c r="M76" s="1286"/>
      <c r="O76" s="1288"/>
      <c r="P76" s="1288"/>
      <c r="Q76" s="1288"/>
      <c r="R76" s="1288"/>
      <c r="S76" s="1288"/>
      <c r="T76" s="1288"/>
      <c r="U76" s="1288"/>
      <c r="V76" s="1288"/>
      <c r="W76" s="1288"/>
      <c r="X76" s="1288"/>
      <c r="Y76" s="1288"/>
      <c r="Z76" s="1288"/>
      <c r="AA76" s="1288"/>
      <c r="AB76" s="1288"/>
      <c r="AC76" s="1244"/>
      <c r="AD76" s="1016"/>
      <c r="AE76" s="1016"/>
      <c r="AF76" s="1017"/>
      <c r="AG76" s="1018"/>
      <c r="AH76" s="1016"/>
      <c r="AI76" s="1019"/>
    </row>
    <row r="77" spans="1:35" s="1283" customFormat="1">
      <c r="A77" s="1290"/>
      <c r="B77" s="1291"/>
      <c r="C77" s="1292"/>
      <c r="D77" s="1293"/>
      <c r="E77" s="1230"/>
      <c r="F77" s="1289"/>
      <c r="G77" s="1230"/>
      <c r="H77" s="1285"/>
      <c r="I77" s="1286"/>
      <c r="J77" s="1287"/>
      <c r="K77" s="1284"/>
      <c r="L77" s="1284"/>
      <c r="M77" s="1286"/>
      <c r="O77" s="1288"/>
      <c r="P77" s="1288"/>
      <c r="Q77" s="1288"/>
      <c r="R77" s="1288"/>
      <c r="S77" s="1288"/>
      <c r="T77" s="1288"/>
      <c r="U77" s="1288"/>
      <c r="V77" s="1288"/>
      <c r="W77" s="1288"/>
      <c r="X77" s="1288"/>
      <c r="Y77" s="1288"/>
      <c r="Z77" s="1288"/>
      <c r="AA77" s="1288"/>
      <c r="AB77" s="1288"/>
      <c r="AC77" s="1244"/>
      <c r="AD77" s="1016"/>
      <c r="AE77" s="1016"/>
      <c r="AF77" s="1017"/>
      <c r="AG77" s="1018"/>
      <c r="AH77" s="1016"/>
      <c r="AI77" s="1019"/>
    </row>
    <row r="78" spans="1:35" s="1283" customFormat="1">
      <c r="A78" s="1294"/>
      <c r="B78" s="1284"/>
      <c r="C78" s="1295"/>
      <c r="D78" s="1296"/>
      <c r="E78" s="1230"/>
      <c r="F78" s="1230"/>
      <c r="G78" s="1230"/>
      <c r="H78" s="1285"/>
      <c r="I78" s="1286"/>
      <c r="J78" s="1287"/>
      <c r="K78" s="1284"/>
      <c r="L78" s="1284"/>
      <c r="M78" s="1286"/>
      <c r="O78" s="1288"/>
      <c r="P78" s="1288"/>
      <c r="Q78" s="1288"/>
      <c r="R78" s="1288"/>
      <c r="S78" s="1288"/>
      <c r="T78" s="1288"/>
      <c r="U78" s="1288"/>
      <c r="V78" s="1288"/>
      <c r="W78" s="1288"/>
      <c r="X78" s="1288"/>
      <c r="Y78" s="1288"/>
      <c r="Z78" s="1288"/>
      <c r="AA78" s="1288"/>
      <c r="AB78" s="1288"/>
      <c r="AC78" s="1244"/>
      <c r="AD78" s="1016"/>
      <c r="AE78" s="1016"/>
      <c r="AF78" s="1017"/>
      <c r="AG78" s="1018"/>
      <c r="AH78" s="1016"/>
      <c r="AI78" s="1019"/>
    </row>
    <row r="79" spans="1:35" s="1283" customFormat="1">
      <c r="A79" s="1297"/>
      <c r="B79" s="1298"/>
      <c r="C79" s="1299"/>
      <c r="D79" s="1300"/>
      <c r="E79" s="1016"/>
      <c r="F79" s="1016"/>
      <c r="G79" s="1016"/>
      <c r="H79" s="1301"/>
      <c r="I79" s="1066"/>
      <c r="J79" s="1302"/>
      <c r="K79" s="1298"/>
      <c r="L79" s="1298"/>
      <c r="M79" s="1066"/>
      <c r="O79" s="1288"/>
      <c r="P79" s="1288"/>
      <c r="Q79" s="1288"/>
      <c r="R79" s="1288"/>
      <c r="S79" s="1288"/>
      <c r="T79" s="1288"/>
      <c r="U79" s="1288"/>
      <c r="V79" s="1288"/>
      <c r="W79" s="1288"/>
      <c r="X79" s="1288"/>
      <c r="Y79" s="1288"/>
      <c r="Z79" s="1288"/>
      <c r="AA79" s="1288"/>
      <c r="AB79" s="1288"/>
      <c r="AC79" s="1244"/>
      <c r="AD79" s="1016"/>
      <c r="AE79" s="1016"/>
      <c r="AF79" s="1017"/>
      <c r="AG79" s="1018"/>
      <c r="AH79" s="1016"/>
      <c r="AI79" s="1019"/>
    </row>
    <row r="80" spans="1:35" s="1283" customFormat="1" hidden="1">
      <c r="A80" s="1297"/>
      <c r="B80" s="509"/>
      <c r="C80" s="1016"/>
      <c r="D80" s="1300"/>
      <c r="E80" s="1016"/>
      <c r="F80" s="1016"/>
      <c r="G80" s="1016"/>
      <c r="H80" s="1301"/>
      <c r="I80" s="1066"/>
      <c r="J80" s="1302"/>
      <c r="K80" s="1298"/>
      <c r="L80" s="1298"/>
      <c r="M80" s="1066"/>
      <c r="O80" s="1288"/>
      <c r="P80" s="1288"/>
      <c r="Q80" s="1288"/>
      <c r="R80" s="1288"/>
      <c r="S80" s="1288"/>
      <c r="T80" s="1288"/>
      <c r="U80" s="1288"/>
      <c r="V80" s="1288"/>
      <c r="W80" s="1288"/>
      <c r="X80" s="1288"/>
      <c r="Y80" s="1288"/>
      <c r="Z80" s="1288"/>
      <c r="AA80" s="1288"/>
      <c r="AB80" s="1288"/>
      <c r="AC80" s="1244"/>
      <c r="AD80" s="1016"/>
      <c r="AE80" s="1016"/>
      <c r="AF80" s="1017"/>
      <c r="AG80" s="1018"/>
      <c r="AH80" s="1016"/>
      <c r="AI80" s="1019"/>
    </row>
    <row r="81" spans="1:6" hidden="1">
      <c r="B81" s="509"/>
    </row>
    <row r="82" spans="1:6" hidden="1">
      <c r="B82" s="510" t="s">
        <v>272</v>
      </c>
    </row>
    <row r="83" spans="1:6" hidden="1"/>
    <row r="84" spans="1:6" hidden="1">
      <c r="A84" s="1303" t="s">
        <v>54</v>
      </c>
      <c r="B84" s="1304" t="s">
        <v>55</v>
      </c>
      <c r="C84" s="1303" t="s">
        <v>357</v>
      </c>
      <c r="D84" s="1303" t="s">
        <v>274</v>
      </c>
      <c r="E84" s="1303" t="s">
        <v>275</v>
      </c>
      <c r="F84" s="1303" t="s">
        <v>276</v>
      </c>
    </row>
    <row r="85" spans="1:6" hidden="1">
      <c r="A85" s="1523" t="s">
        <v>56</v>
      </c>
      <c r="B85" s="1305" t="s">
        <v>118</v>
      </c>
      <c r="C85" s="1306">
        <f>B17+B38+B41+B44</f>
        <v>8659346000</v>
      </c>
      <c r="D85" s="1306" t="e">
        <f>K19+K28+K37+#REF!+#REF!+#REF!+K46+#REF!+#REF!</f>
        <v>#REF!</v>
      </c>
      <c r="E85" s="1306" t="e">
        <f>M19+M28+M37+#REF!+#REF!+#REF!+M46+#REF!+#REF!</f>
        <v>#REF!</v>
      </c>
      <c r="F85" s="1306" t="e">
        <f>AA19+AA28+AA37+#REF!+#REF!+#REF!+AA46</f>
        <v>#REF!</v>
      </c>
    </row>
    <row r="86" spans="1:6" hidden="1">
      <c r="A86" s="1523" t="s">
        <v>358</v>
      </c>
      <c r="B86" s="1305" t="s">
        <v>359</v>
      </c>
      <c r="C86" s="1306">
        <f>B55</f>
        <v>38000000</v>
      </c>
      <c r="D86" s="1306"/>
      <c r="E86" s="1306"/>
      <c r="F86" s="1306"/>
    </row>
    <row r="87" spans="1:6" hidden="1">
      <c r="A87" s="1523" t="s">
        <v>122</v>
      </c>
      <c r="B87" s="1305" t="s">
        <v>118</v>
      </c>
      <c r="C87" s="1306">
        <f>B23</f>
        <v>725000</v>
      </c>
      <c r="D87" s="1306">
        <f>K25</f>
        <v>0</v>
      </c>
      <c r="E87" s="1306">
        <f>M25</f>
        <v>0</v>
      </c>
      <c r="F87" s="1306">
        <f>AA25</f>
        <v>0</v>
      </c>
    </row>
    <row r="88" spans="1:6" hidden="1">
      <c r="A88" s="1523" t="s">
        <v>360</v>
      </c>
      <c r="B88" s="1305" t="s">
        <v>118</v>
      </c>
      <c r="C88" s="1306">
        <f>B26</f>
        <v>528108000</v>
      </c>
      <c r="D88" s="1306" t="e">
        <f>#REF!</f>
        <v>#REF!</v>
      </c>
      <c r="E88" s="1306" t="e">
        <f>#REF!</f>
        <v>#REF!</v>
      </c>
      <c r="F88" s="1306" t="e">
        <f>#REF!</f>
        <v>#REF!</v>
      </c>
    </row>
    <row r="89" spans="1:6" hidden="1">
      <c r="A89" s="1523" t="s">
        <v>121</v>
      </c>
      <c r="B89" s="1305" t="s">
        <v>118</v>
      </c>
      <c r="C89" s="1306">
        <f>B20</f>
        <v>864424000</v>
      </c>
      <c r="D89" s="1306">
        <f>K22</f>
        <v>0</v>
      </c>
      <c r="E89" s="1306">
        <f>M22</f>
        <v>0</v>
      </c>
      <c r="F89" s="1306">
        <f>AA22</f>
        <v>0</v>
      </c>
    </row>
    <row r="90" spans="1:6" hidden="1">
      <c r="A90" s="1523" t="s">
        <v>119</v>
      </c>
      <c r="B90" s="1305" t="s">
        <v>118</v>
      </c>
      <c r="C90" s="1306">
        <f>B29</f>
        <v>2052827000</v>
      </c>
      <c r="D90" s="1306" t="e">
        <f>K31+#REF!</f>
        <v>#REF!</v>
      </c>
      <c r="E90" s="1306" t="e">
        <f>M31+#REF!</f>
        <v>#REF!</v>
      </c>
      <c r="F90" s="1306" t="e">
        <f>AA31+#REF!</f>
        <v>#REF!</v>
      </c>
    </row>
    <row r="91" spans="1:6" hidden="1">
      <c r="A91" s="1523" t="s">
        <v>361</v>
      </c>
      <c r="B91" s="1305" t="s">
        <v>118</v>
      </c>
      <c r="C91" s="1306">
        <f>B32</f>
        <v>2570000</v>
      </c>
      <c r="D91" s="1306" t="e">
        <f>#REF!</f>
        <v>#REF!</v>
      </c>
      <c r="E91" s="1306" t="e">
        <f>#REF!</f>
        <v>#REF!</v>
      </c>
      <c r="F91" s="1306" t="e">
        <f>#REF!</f>
        <v>#REF!</v>
      </c>
    </row>
    <row r="92" spans="1:6" hidden="1">
      <c r="A92" s="1523" t="s">
        <v>364</v>
      </c>
      <c r="B92" s="1305" t="s">
        <v>118</v>
      </c>
      <c r="C92" s="1306">
        <f>B35</f>
        <v>20000000</v>
      </c>
      <c r="D92" s="1306" t="e">
        <f>#REF!+#REF!+#REF!+#REF!</f>
        <v>#REF!</v>
      </c>
      <c r="E92" s="1306" t="e">
        <f>#REF!+#REF!+#REF!+#REF!</f>
        <v>#REF!</v>
      </c>
      <c r="F92" s="1306" t="e">
        <f>#REF!+#REF!+#REF!+#REF!</f>
        <v>#REF!</v>
      </c>
    </row>
    <row r="93" spans="1:6" hidden="1">
      <c r="A93" s="1523" t="s">
        <v>56</v>
      </c>
      <c r="B93" s="1305" t="s">
        <v>124</v>
      </c>
      <c r="C93" s="1306">
        <f>B47</f>
        <v>3003000000</v>
      </c>
      <c r="D93" s="1306">
        <f>K50</f>
        <v>0</v>
      </c>
      <c r="E93" s="1306">
        <f>M50</f>
        <v>0</v>
      </c>
      <c r="F93" s="1306">
        <f>AA50</f>
        <v>0</v>
      </c>
    </row>
    <row r="94" spans="1:6" hidden="1">
      <c r="A94" s="1523" t="s">
        <v>56</v>
      </c>
      <c r="B94" s="1305" t="s">
        <v>125</v>
      </c>
      <c r="C94" s="1306">
        <f>B51</f>
        <v>1828000000</v>
      </c>
      <c r="D94" s="1306">
        <f>K54+K43</f>
        <v>0</v>
      </c>
      <c r="E94" s="1306">
        <f>M54+M43</f>
        <v>0</v>
      </c>
      <c r="F94" s="1306">
        <f>AA54+AA43</f>
        <v>0</v>
      </c>
    </row>
    <row r="95" spans="1:6" hidden="1">
      <c r="A95" s="1307"/>
      <c r="B95" s="1308">
        <f>+SUM(B85:B94)</f>
        <v>0</v>
      </c>
      <c r="C95" s="1308">
        <f>+SUM(C85:C94)</f>
        <v>16997000000</v>
      </c>
      <c r="D95" s="1308" t="e">
        <f>+SUM(D85:D94)</f>
        <v>#REF!</v>
      </c>
      <c r="E95" s="1308" t="e">
        <f>+SUM(E85:E94)</f>
        <v>#REF!</v>
      </c>
      <c r="F95" s="1308" t="e">
        <f>+SUM(F85:F94)</f>
        <v>#REF!</v>
      </c>
    </row>
    <row r="96" spans="1:6" hidden="1"/>
    <row r="97" spans="1:5" hidden="1"/>
    <row r="98" spans="1:5" hidden="1"/>
    <row r="99" spans="1:5" hidden="1"/>
    <row r="100" spans="1:5" hidden="1">
      <c r="A100" s="1297"/>
    </row>
    <row r="101" spans="1:5" hidden="1">
      <c r="A101" s="1297"/>
    </row>
    <row r="102" spans="1:5" hidden="1">
      <c r="A102" s="1297"/>
    </row>
    <row r="103" spans="1:5" hidden="1">
      <c r="A103" s="1297"/>
    </row>
    <row r="104" spans="1:5" hidden="1">
      <c r="A104" s="1297"/>
    </row>
    <row r="105" spans="1:5" hidden="1">
      <c r="A105" s="1309" t="s">
        <v>20</v>
      </c>
      <c r="B105" s="8" t="s">
        <v>55</v>
      </c>
      <c r="C105" s="8" t="s">
        <v>325</v>
      </c>
    </row>
    <row r="106" spans="1:5" hidden="1">
      <c r="A106" s="1310" t="s">
        <v>56</v>
      </c>
      <c r="B106" s="1305" t="s">
        <v>118</v>
      </c>
      <c r="C106" s="1311">
        <v>8973567000</v>
      </c>
      <c r="D106" s="1016">
        <v>225800000</v>
      </c>
      <c r="E106" s="1312">
        <f>C106-D106</f>
        <v>8747767000</v>
      </c>
    </row>
    <row r="107" spans="1:5" hidden="1">
      <c r="A107" s="1310" t="s">
        <v>119</v>
      </c>
      <c r="B107" s="1305" t="s">
        <v>118</v>
      </c>
      <c r="C107" s="1311">
        <v>1975582000</v>
      </c>
      <c r="E107" s="1312">
        <f>C107</f>
        <v>1975582000</v>
      </c>
    </row>
    <row r="108" spans="1:5" hidden="1">
      <c r="A108" s="1310" t="s">
        <v>120</v>
      </c>
      <c r="B108" s="1305" t="s">
        <v>118</v>
      </c>
      <c r="C108" s="1311">
        <v>450000</v>
      </c>
      <c r="E108" s="1312">
        <f t="shared" ref="E108:E114" si="40">C108</f>
        <v>450000</v>
      </c>
    </row>
    <row r="109" spans="1:5" hidden="1">
      <c r="A109" s="1310" t="s">
        <v>121</v>
      </c>
      <c r="B109" s="1305" t="s">
        <v>118</v>
      </c>
      <c r="C109" s="1311">
        <v>810173000</v>
      </c>
      <c r="E109" s="1312">
        <f t="shared" si="40"/>
        <v>810173000</v>
      </c>
    </row>
    <row r="110" spans="1:5" hidden="1">
      <c r="A110" s="1310" t="s">
        <v>122</v>
      </c>
      <c r="B110" s="1305" t="s">
        <v>118</v>
      </c>
      <c r="C110" s="1311">
        <v>2286000</v>
      </c>
      <c r="E110" s="1312">
        <f t="shared" si="40"/>
        <v>2286000</v>
      </c>
    </row>
    <row r="111" spans="1:5" hidden="1">
      <c r="A111" s="1310" t="s">
        <v>123</v>
      </c>
      <c r="B111" s="1305" t="s">
        <v>118</v>
      </c>
      <c r="C111" s="1311">
        <v>749942000</v>
      </c>
      <c r="E111" s="1312">
        <f t="shared" si="40"/>
        <v>749942000</v>
      </c>
    </row>
    <row r="112" spans="1:5" hidden="1">
      <c r="A112" s="1310" t="s">
        <v>60</v>
      </c>
      <c r="B112" s="1305" t="s">
        <v>118</v>
      </c>
      <c r="C112" s="1311">
        <v>3750000000</v>
      </c>
      <c r="E112" s="1312">
        <f t="shared" si="40"/>
        <v>3750000000</v>
      </c>
    </row>
    <row r="113" spans="1:35" hidden="1">
      <c r="A113" s="1310" t="s">
        <v>56</v>
      </c>
      <c r="B113" s="1305" t="s">
        <v>124</v>
      </c>
      <c r="C113" s="1311">
        <v>905000000</v>
      </c>
      <c r="E113" s="1312">
        <f t="shared" si="40"/>
        <v>905000000</v>
      </c>
    </row>
    <row r="114" spans="1:35" hidden="1">
      <c r="A114" s="1310" t="s">
        <v>56</v>
      </c>
      <c r="B114" s="1305" t="s">
        <v>125</v>
      </c>
      <c r="C114" s="1311">
        <v>1891000000</v>
      </c>
      <c r="E114" s="1312">
        <f t="shared" si="40"/>
        <v>1891000000</v>
      </c>
    </row>
    <row r="115" spans="1:35" hidden="1">
      <c r="A115" s="1234"/>
      <c r="B115" s="1221"/>
      <c r="C115" s="1222">
        <f>SUM(C106:C114)</f>
        <v>19058000000</v>
      </c>
      <c r="E115" s="1222">
        <f>SUM(E106:E114)</f>
        <v>18832200000</v>
      </c>
    </row>
    <row r="116" spans="1:35" hidden="1">
      <c r="A116" s="1297"/>
    </row>
    <row r="117" spans="1:35" hidden="1">
      <c r="A117" s="1297"/>
    </row>
    <row r="118" spans="1:35" hidden="1">
      <c r="A118" s="1297"/>
    </row>
    <row r="119" spans="1:35" s="1317" customFormat="1" hidden="1">
      <c r="A119" s="1313" t="s">
        <v>329</v>
      </c>
      <c r="B119" s="1314">
        <v>31880047000</v>
      </c>
      <c r="C119" s="1315" t="s">
        <v>331</v>
      </c>
      <c r="D119" s="1316">
        <f>B119-E123</f>
        <v>31042202276</v>
      </c>
      <c r="H119" s="1318"/>
      <c r="I119" s="1018"/>
      <c r="J119" s="1319"/>
      <c r="K119" s="1320"/>
      <c r="L119" s="1320"/>
      <c r="M119" s="1018"/>
      <c r="N119" s="1244"/>
      <c r="O119" s="1288"/>
      <c r="P119" s="1288"/>
      <c r="Q119" s="1288"/>
      <c r="R119" s="1288"/>
      <c r="S119" s="1288"/>
      <c r="T119" s="1288"/>
      <c r="U119" s="1288"/>
      <c r="V119" s="1288"/>
      <c r="W119" s="1288"/>
      <c r="X119" s="1288"/>
      <c r="Y119" s="1288"/>
      <c r="Z119" s="1288"/>
      <c r="AA119" s="1288"/>
      <c r="AB119" s="1288"/>
      <c r="AC119" s="1244"/>
      <c r="AF119" s="1321"/>
      <c r="AG119" s="1018"/>
      <c r="AI119" s="1322"/>
    </row>
    <row r="120" spans="1:35" hidden="1"/>
    <row r="121" spans="1:35" hidden="1"/>
    <row r="122" spans="1:35" hidden="1">
      <c r="A122" s="1323" t="s">
        <v>20</v>
      </c>
      <c r="B122" s="1324" t="s">
        <v>55</v>
      </c>
      <c r="C122" s="1324" t="s">
        <v>273</v>
      </c>
      <c r="D122" s="1325" t="s">
        <v>326</v>
      </c>
    </row>
    <row r="123" spans="1:35" hidden="1">
      <c r="A123" s="1326" t="s">
        <v>123</v>
      </c>
      <c r="B123" s="1327" t="s">
        <v>118</v>
      </c>
      <c r="C123" s="1328">
        <v>749942000</v>
      </c>
      <c r="D123" s="1596">
        <v>1114</v>
      </c>
      <c r="E123" s="1328">
        <v>837844724</v>
      </c>
      <c r="F123" s="1016" t="s">
        <v>328</v>
      </c>
    </row>
    <row r="124" spans="1:35" hidden="1">
      <c r="A124" s="1326" t="s">
        <v>60</v>
      </c>
      <c r="B124" s="1327" t="s">
        <v>118</v>
      </c>
      <c r="C124" s="1328">
        <v>3750000000</v>
      </c>
      <c r="D124" s="1596"/>
    </row>
    <row r="125" spans="1:35" hidden="1">
      <c r="A125" s="1326" t="s">
        <v>120</v>
      </c>
      <c r="B125" s="1327" t="s">
        <v>118</v>
      </c>
      <c r="C125" s="1328">
        <v>450000</v>
      </c>
      <c r="D125" s="1596"/>
    </row>
    <row r="126" spans="1:35" hidden="1">
      <c r="A126" s="1326" t="s">
        <v>119</v>
      </c>
      <c r="B126" s="1327" t="s">
        <v>118</v>
      </c>
      <c r="C126" s="1328">
        <f>1975582000-E123</f>
        <v>1137737276</v>
      </c>
      <c r="D126" s="1596"/>
    </row>
    <row r="127" spans="1:35" hidden="1">
      <c r="A127" s="1326" t="s">
        <v>122</v>
      </c>
      <c r="B127" s="1327" t="s">
        <v>118</v>
      </c>
      <c r="C127" s="1328">
        <v>2286000</v>
      </c>
      <c r="D127" s="1596"/>
    </row>
    <row r="128" spans="1:35" hidden="1">
      <c r="A128" s="1326" t="s">
        <v>121</v>
      </c>
      <c r="B128" s="1327" t="s">
        <v>118</v>
      </c>
      <c r="C128" s="1328">
        <v>810173000</v>
      </c>
      <c r="D128" s="1596"/>
    </row>
    <row r="129" spans="1:4" hidden="1">
      <c r="A129" s="1329" t="s">
        <v>327</v>
      </c>
      <c r="B129" s="1330">
        <v>66</v>
      </c>
      <c r="C129" s="1328">
        <v>400000000</v>
      </c>
      <c r="D129" s="1596">
        <v>1107</v>
      </c>
    </row>
    <row r="130" spans="1:4" hidden="1">
      <c r="A130" s="1329">
        <v>321</v>
      </c>
      <c r="B130" s="1330">
        <v>185</v>
      </c>
      <c r="C130" s="1328">
        <v>40000000</v>
      </c>
      <c r="D130" s="1596"/>
    </row>
    <row r="131" spans="1:4" hidden="1">
      <c r="A131" s="1329">
        <v>321</v>
      </c>
      <c r="B131" s="1331">
        <v>20</v>
      </c>
      <c r="C131" s="1328">
        <v>119000000</v>
      </c>
      <c r="D131" s="1332">
        <v>1110</v>
      </c>
    </row>
    <row r="132" spans="1:4" hidden="1">
      <c r="A132" s="1333"/>
      <c r="B132" s="1334" t="s">
        <v>272</v>
      </c>
      <c r="C132" s="1335">
        <f>SUM(C123:C131)</f>
        <v>7009588276</v>
      </c>
    </row>
    <row r="133" spans="1:4" hidden="1"/>
    <row r="134" spans="1:4" hidden="1"/>
    <row r="135" spans="1:4" ht="24" hidden="1">
      <c r="A135" s="1315" t="s">
        <v>330</v>
      </c>
      <c r="B135" s="1314">
        <f>D119-C132</f>
        <v>24032614000</v>
      </c>
    </row>
    <row r="136" spans="1:4" hidden="1">
      <c r="A136" s="1336">
        <v>0.2</v>
      </c>
      <c r="B136" s="1334">
        <f>B135*20%</f>
        <v>4806522800</v>
      </c>
    </row>
    <row r="137" spans="1:4" hidden="1"/>
    <row r="138" spans="1:4" hidden="1"/>
  </sheetData>
  <autoFilter ref="A15:AI54"/>
  <mergeCells count="20">
    <mergeCell ref="A1:A2"/>
    <mergeCell ref="Y1:Z1"/>
    <mergeCell ref="AA1:AB1"/>
    <mergeCell ref="Y2:Z2"/>
    <mergeCell ref="AA2:AB2"/>
    <mergeCell ref="C1:I1"/>
    <mergeCell ref="C2:H2"/>
    <mergeCell ref="D67:E67"/>
    <mergeCell ref="D129:D130"/>
    <mergeCell ref="A3:G3"/>
    <mergeCell ref="A4:G4"/>
    <mergeCell ref="A5:G5"/>
    <mergeCell ref="A6:G6"/>
    <mergeCell ref="A7:G7"/>
    <mergeCell ref="A8:G8"/>
    <mergeCell ref="B9:D9"/>
    <mergeCell ref="B10:G10"/>
    <mergeCell ref="B11:G11"/>
    <mergeCell ref="F65:G65"/>
    <mergeCell ref="D123:D128"/>
  </mergeCells>
  <conditionalFormatting sqref="B129:B1048576 B99:B104 B116:B121 B64 B1:B37 B39:B47 B49:B57 B59:B62 B96:B97 B66:B67 B69:B94">
    <cfRule type="cellIs" dxfId="17" priority="18" operator="lessThan">
      <formula>0</formula>
    </cfRule>
    <cfRule type="cellIs" dxfId="16" priority="20" operator="lessThan">
      <formula>0</formula>
    </cfRule>
  </conditionalFormatting>
  <conditionalFormatting sqref="A129:A132">
    <cfRule type="cellIs" dxfId="15" priority="16" operator="lessThan">
      <formula>0</formula>
    </cfRule>
    <cfRule type="cellIs" dxfId="14" priority="17" operator="lessThan">
      <formula>0</formula>
    </cfRule>
  </conditionalFormatting>
  <conditionalFormatting sqref="L1">
    <cfRule type="duplicateValues" dxfId="13" priority="15"/>
  </conditionalFormatting>
  <conditionalFormatting sqref="L2">
    <cfRule type="duplicateValues" dxfId="12" priority="14"/>
  </conditionalFormatting>
  <conditionalFormatting sqref="L3:L31 L33:L37 L49:L57 L41:L47 L59:L1048576">
    <cfRule type="duplicateValues" dxfId="11" priority="22"/>
  </conditionalFormatting>
  <conditionalFormatting sqref="AB38:AB39">
    <cfRule type="cellIs" dxfId="10" priority="9" operator="lessThan">
      <formula>0</formula>
    </cfRule>
  </conditionalFormatting>
  <conditionalFormatting sqref="B38">
    <cfRule type="cellIs" dxfId="9" priority="7" operator="lessThan">
      <formula>0</formula>
    </cfRule>
    <cfRule type="cellIs" dxfId="8" priority="8" operator="lessThan">
      <formula>0</formula>
    </cfRule>
  </conditionalFormatting>
  <conditionalFormatting sqref="L38:L40">
    <cfRule type="duplicateValues" dxfId="7" priority="25"/>
  </conditionalFormatting>
  <conditionalFormatting sqref="B48">
    <cfRule type="cellIs" dxfId="6" priority="4" operator="lessThan">
      <formula>0</formula>
    </cfRule>
    <cfRule type="cellIs" dxfId="5" priority="5" operator="lessThan">
      <formula>0</formula>
    </cfRule>
  </conditionalFormatting>
  <conditionalFormatting sqref="L48">
    <cfRule type="duplicateValues" dxfId="4" priority="6"/>
  </conditionalFormatting>
  <conditionalFormatting sqref="B58">
    <cfRule type="cellIs" dxfId="3" priority="1" operator="lessThan">
      <formula>0</formula>
    </cfRule>
    <cfRule type="cellIs" dxfId="2" priority="2" operator="lessThan">
      <formula>0</formula>
    </cfRule>
  </conditionalFormatting>
  <conditionalFormatting sqref="L58">
    <cfRule type="duplicateValues" dxfId="1" priority="3"/>
  </conditionalFormatting>
  <printOptions horizontalCentered="1" verticalCentered="1"/>
  <pageMargins left="0.4" right="0.77" top="0.28000000000000003" bottom="0.17" header="0.31496062992125984" footer="0.31496062992125984"/>
  <pageSetup scale="35" fitToWidth="2"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87"/>
  <sheetViews>
    <sheetView topLeftCell="A15" zoomScale="80" zoomScaleNormal="80" zoomScaleSheetLayoutView="85" workbookViewId="0">
      <pane xSplit="2" ySplit="1" topLeftCell="K16" activePane="bottomRight" state="frozen"/>
      <selection activeCell="A15" sqref="A15"/>
      <selection pane="topRight" activeCell="D15" sqref="D15"/>
      <selection pane="bottomLeft" activeCell="A16" sqref="A16"/>
      <selection pane="bottomRight" activeCell="AE26" sqref="AE26"/>
    </sheetView>
  </sheetViews>
  <sheetFormatPr baseColWidth="10" defaultRowHeight="12.75"/>
  <cols>
    <col min="1" max="1" width="31" customWidth="1"/>
    <col min="2" max="2" width="22.85546875" customWidth="1"/>
    <col min="3" max="3" width="20" customWidth="1"/>
    <col min="4" max="4" width="13.85546875" customWidth="1"/>
    <col min="5" max="5" width="17.28515625" customWidth="1"/>
    <col min="6" max="6" width="20.7109375" customWidth="1"/>
    <col min="7" max="7" width="29.28515625" customWidth="1"/>
    <col min="8" max="8" width="13.42578125" style="223" customWidth="1"/>
    <col min="9" max="9" width="13.42578125" style="210" customWidth="1"/>
    <col min="10" max="10" width="9.42578125" customWidth="1"/>
    <col min="11" max="11" width="16.7109375" bestFit="1" customWidth="1"/>
    <col min="12" max="12" width="16.5703125" style="139" bestFit="1" customWidth="1"/>
    <col min="13" max="13" width="17.28515625" style="349" bestFit="1" customWidth="1"/>
    <col min="14" max="14" width="11.42578125" style="223"/>
    <col min="15" max="15" width="11.42578125" style="341" hidden="1" customWidth="1"/>
    <col min="16" max="16" width="14.140625" style="341" hidden="1" customWidth="1"/>
    <col min="17" max="18" width="15.28515625" style="341" hidden="1" customWidth="1"/>
    <col min="19" max="19" width="15" style="341" hidden="1" customWidth="1"/>
    <col min="20" max="22" width="14.28515625" style="341" hidden="1" customWidth="1"/>
    <col min="23" max="23" width="13" style="341" hidden="1" customWidth="1"/>
    <col min="24" max="26" width="11.42578125" style="341" hidden="1" customWidth="1"/>
    <col min="27" max="27" width="18" style="341" hidden="1" customWidth="1"/>
    <col min="28" max="28" width="15.28515625" style="341" hidden="1" customWidth="1"/>
    <col min="29" max="29" width="7.140625" style="341" customWidth="1"/>
    <col min="31" max="31" width="16.140625" customWidth="1"/>
    <col min="32" max="32" width="10.140625" style="824" customWidth="1"/>
    <col min="33" max="33" width="17.28515625" style="149" bestFit="1" customWidth="1"/>
    <col min="34" max="34" width="15" bestFit="1" customWidth="1"/>
    <col min="35" max="35" width="13.5703125" bestFit="1" customWidth="1"/>
  </cols>
  <sheetData>
    <row r="1" spans="1:34" ht="42" customHeight="1">
      <c r="A1" s="1610"/>
      <c r="B1" s="1" t="s">
        <v>0</v>
      </c>
      <c r="C1" s="1561"/>
      <c r="D1" s="1561"/>
      <c r="E1" s="1561"/>
      <c r="F1" s="1561"/>
      <c r="G1" s="1561"/>
      <c r="H1" s="1561"/>
      <c r="I1" s="1561"/>
      <c r="J1" s="1561"/>
      <c r="K1" s="1561"/>
      <c r="L1" s="1561"/>
      <c r="M1" s="1561"/>
      <c r="N1" s="1561"/>
      <c r="O1" s="1561"/>
      <c r="P1" s="1561"/>
      <c r="Q1" s="1561"/>
      <c r="R1" s="1561"/>
      <c r="S1" s="1561"/>
      <c r="T1" s="1561"/>
      <c r="U1" s="1561"/>
      <c r="V1" s="1561"/>
      <c r="W1" s="1561"/>
      <c r="X1" s="1614"/>
      <c r="Y1" s="1611" t="s">
        <v>2</v>
      </c>
      <c r="Z1" s="1611"/>
      <c r="AA1" s="1612" t="s">
        <v>3</v>
      </c>
      <c r="AB1" s="1612"/>
      <c r="AC1" s="437"/>
    </row>
    <row r="2" spans="1:34" ht="42" customHeight="1">
      <c r="A2" s="1610"/>
      <c r="B2" s="1" t="s">
        <v>4</v>
      </c>
      <c r="C2" s="1561"/>
      <c r="D2" s="1561"/>
      <c r="E2" s="1561"/>
      <c r="F2" s="1561"/>
      <c r="G2" s="1561"/>
      <c r="H2" s="1561"/>
      <c r="I2" s="1561"/>
      <c r="J2" s="1561"/>
      <c r="K2" s="1561"/>
      <c r="L2" s="1561"/>
      <c r="M2" s="1561"/>
      <c r="N2" s="1561"/>
      <c r="O2" s="1561"/>
      <c r="P2" s="1561"/>
      <c r="Q2" s="1561"/>
      <c r="R2" s="1561"/>
      <c r="S2" s="1561"/>
      <c r="T2" s="1561"/>
      <c r="U2" s="1561"/>
      <c r="V2" s="1561"/>
      <c r="W2" s="1561"/>
      <c r="X2" s="1614"/>
      <c r="Y2" s="1611" t="s">
        <v>6</v>
      </c>
      <c r="Z2" s="1611"/>
      <c r="AA2" s="1613">
        <v>1</v>
      </c>
      <c r="AB2" s="1613"/>
      <c r="AC2" s="438"/>
    </row>
    <row r="3" spans="1:34">
      <c r="A3" s="1615" t="s">
        <v>7</v>
      </c>
      <c r="B3" s="1580"/>
      <c r="C3" s="1580"/>
      <c r="D3" s="1580"/>
      <c r="E3" s="1580"/>
      <c r="F3" s="1580"/>
      <c r="G3" s="1580"/>
      <c r="H3" s="270"/>
      <c r="I3" s="378"/>
      <c r="J3" s="45"/>
      <c r="K3" s="45"/>
      <c r="L3" s="387"/>
      <c r="M3" s="45"/>
      <c r="N3" s="833"/>
      <c r="O3" s="45"/>
      <c r="P3" s="45"/>
      <c r="Q3" s="45"/>
      <c r="R3" s="45"/>
      <c r="S3" s="45"/>
      <c r="T3" s="391"/>
      <c r="U3" s="391"/>
      <c r="V3" s="391"/>
      <c r="W3" s="391"/>
      <c r="X3" s="391"/>
      <c r="Y3" s="391"/>
      <c r="Z3" s="391"/>
      <c r="AA3" s="391"/>
      <c r="AB3" s="519"/>
      <c r="AC3" s="45"/>
    </row>
    <row r="4" spans="1:34">
      <c r="A4" s="1615" t="s">
        <v>84</v>
      </c>
      <c r="B4" s="1580"/>
      <c r="C4" s="1580"/>
      <c r="D4" s="1580"/>
      <c r="E4" s="1580"/>
      <c r="F4" s="1580"/>
      <c r="G4" s="1580"/>
      <c r="H4" s="270"/>
      <c r="I4" s="378"/>
      <c r="J4" s="45"/>
      <c r="K4" s="45"/>
      <c r="L4" s="387"/>
      <c r="M4" s="45"/>
      <c r="N4" s="833"/>
      <c r="O4" s="45"/>
      <c r="P4" s="45"/>
      <c r="Q4" s="45"/>
      <c r="R4" s="45"/>
      <c r="S4" s="45"/>
      <c r="T4" s="391"/>
      <c r="U4" s="391"/>
      <c r="V4" s="391"/>
      <c r="W4" s="391"/>
      <c r="X4" s="391"/>
      <c r="Y4" s="391"/>
      <c r="Z4" s="391"/>
      <c r="AA4" s="391"/>
      <c r="AB4" s="520"/>
      <c r="AC4" s="45"/>
    </row>
    <row r="5" spans="1:34">
      <c r="A5" s="1615" t="s">
        <v>85</v>
      </c>
      <c r="B5" s="1580"/>
      <c r="C5" s="1580"/>
      <c r="D5" s="1580"/>
      <c r="E5" s="1580"/>
      <c r="F5" s="1580"/>
      <c r="G5" s="1580"/>
      <c r="H5" s="270"/>
      <c r="I5" s="378"/>
      <c r="J5" s="45"/>
      <c r="K5" s="45"/>
      <c r="L5" s="387"/>
      <c r="M5" s="45"/>
      <c r="N5" s="833"/>
      <c r="O5" s="45"/>
      <c r="P5" s="45"/>
      <c r="Q5" s="45"/>
      <c r="R5" s="45"/>
      <c r="S5" s="45"/>
      <c r="T5" s="391"/>
      <c r="U5" s="391"/>
      <c r="V5" s="391"/>
      <c r="W5" s="391"/>
      <c r="X5" s="391"/>
      <c r="Y5" s="391"/>
      <c r="Z5" s="391"/>
      <c r="AA5" s="391"/>
      <c r="AB5" s="520"/>
      <c r="AC5" s="45"/>
    </row>
    <row r="6" spans="1:34">
      <c r="A6" s="1615" t="s">
        <v>86</v>
      </c>
      <c r="B6" s="1580"/>
      <c r="C6" s="1580"/>
      <c r="D6" s="1580"/>
      <c r="E6" s="1580"/>
      <c r="F6" s="1580"/>
      <c r="G6" s="1580"/>
      <c r="H6" s="270"/>
      <c r="I6" s="378"/>
      <c r="J6" s="45"/>
      <c r="K6" s="45"/>
      <c r="L6" s="387"/>
      <c r="M6" s="45"/>
      <c r="N6" s="833"/>
      <c r="O6" s="45"/>
      <c r="P6" s="45"/>
      <c r="Q6" s="45"/>
      <c r="R6" s="45"/>
      <c r="S6" s="45"/>
      <c r="T6" s="391"/>
      <c r="U6" s="391"/>
      <c r="V6" s="391"/>
      <c r="W6" s="391"/>
      <c r="X6" s="391"/>
      <c r="Y6" s="391"/>
      <c r="Z6" s="391"/>
      <c r="AA6" s="391"/>
      <c r="AB6" s="520"/>
      <c r="AC6" s="45"/>
    </row>
    <row r="7" spans="1:34">
      <c r="A7" s="1615" t="s">
        <v>87</v>
      </c>
      <c r="B7" s="1580"/>
      <c r="C7" s="1580"/>
      <c r="D7" s="1580"/>
      <c r="E7" s="1580"/>
      <c r="F7" s="1580"/>
      <c r="G7" s="1580"/>
      <c r="H7" s="270"/>
      <c r="I7" s="378"/>
      <c r="J7" s="45"/>
      <c r="K7" s="45"/>
      <c r="L7" s="387"/>
      <c r="M7" s="45"/>
      <c r="N7" s="833"/>
      <c r="O7" s="45"/>
      <c r="P7" s="45"/>
      <c r="Q7" s="45"/>
      <c r="R7" s="45"/>
      <c r="S7" s="45"/>
      <c r="T7" s="391"/>
      <c r="U7" s="391"/>
      <c r="V7" s="391"/>
      <c r="W7" s="391"/>
      <c r="X7" s="391"/>
      <c r="Y7" s="391"/>
      <c r="Z7" s="391"/>
      <c r="AA7" s="391"/>
      <c r="AB7" s="520"/>
      <c r="AC7" s="45"/>
    </row>
    <row r="8" spans="1:34">
      <c r="A8" s="1615" t="s">
        <v>88</v>
      </c>
      <c r="B8" s="1580"/>
      <c r="C8" s="1580"/>
      <c r="D8" s="1580"/>
      <c r="E8" s="1580"/>
      <c r="F8" s="1580"/>
      <c r="G8" s="1580"/>
      <c r="H8" s="270"/>
      <c r="I8" s="378"/>
      <c r="J8" s="45"/>
      <c r="K8" s="45"/>
      <c r="L8" s="387"/>
      <c r="M8" s="45"/>
      <c r="N8" s="833"/>
      <c r="O8" s="45"/>
      <c r="P8" s="45"/>
      <c r="Q8" s="45"/>
      <c r="R8" s="45"/>
      <c r="S8" s="45"/>
      <c r="T8" s="391"/>
      <c r="U8" s="391"/>
      <c r="V8" s="391"/>
      <c r="W8" s="391"/>
      <c r="X8" s="391"/>
      <c r="Y8" s="391"/>
      <c r="Z8" s="391"/>
      <c r="AA8" s="391"/>
      <c r="AB8" s="520"/>
      <c r="AC8" s="45"/>
    </row>
    <row r="9" spans="1:34">
      <c r="A9" s="417" t="s">
        <v>9</v>
      </c>
      <c r="B9" s="1580" t="s">
        <v>89</v>
      </c>
      <c r="C9" s="1580"/>
      <c r="D9" s="1580"/>
      <c r="E9" s="415"/>
      <c r="F9" s="415"/>
      <c r="G9" s="418"/>
      <c r="H9" s="270"/>
      <c r="I9" s="378"/>
      <c r="J9" s="45"/>
      <c r="K9" s="45"/>
      <c r="L9" s="387"/>
      <c r="M9" s="45"/>
      <c r="N9" s="833"/>
      <c r="O9" s="45"/>
      <c r="P9" s="45"/>
      <c r="Q9" s="45"/>
      <c r="R9" s="45"/>
      <c r="S9" s="45"/>
      <c r="T9" s="391"/>
      <c r="U9" s="391"/>
      <c r="V9" s="391"/>
      <c r="W9" s="391"/>
      <c r="X9" s="391"/>
      <c r="Y9" s="391"/>
      <c r="Z9" s="391"/>
      <c r="AA9" s="391"/>
      <c r="AB9" s="520"/>
      <c r="AC9" s="45"/>
    </row>
    <row r="10" spans="1:34">
      <c r="A10" s="417" t="s">
        <v>11</v>
      </c>
      <c r="B10" s="1580" t="s">
        <v>90</v>
      </c>
      <c r="C10" s="1580"/>
      <c r="D10" s="1580"/>
      <c r="E10" s="1580"/>
      <c r="F10" s="1580"/>
      <c r="G10" s="1580"/>
      <c r="H10" s="270"/>
      <c r="I10" s="378"/>
      <c r="J10" s="45"/>
      <c r="K10" s="45"/>
      <c r="L10" s="387"/>
      <c r="M10" s="45"/>
      <c r="N10" s="833"/>
      <c r="O10" s="45"/>
      <c r="P10" s="45"/>
      <c r="Q10" s="45"/>
      <c r="R10" s="45"/>
      <c r="S10" s="45"/>
      <c r="T10" s="391"/>
      <c r="U10" s="391"/>
      <c r="V10" s="391"/>
      <c r="W10" s="391"/>
      <c r="X10" s="391"/>
      <c r="Y10" s="391"/>
      <c r="Z10" s="391"/>
      <c r="AA10" s="391"/>
      <c r="AB10" s="520"/>
      <c r="AC10" s="45"/>
    </row>
    <row r="11" spans="1:34">
      <c r="A11" s="419" t="s">
        <v>13</v>
      </c>
      <c r="B11" s="1580" t="s">
        <v>91</v>
      </c>
      <c r="C11" s="1580"/>
      <c r="D11" s="1580"/>
      <c r="E11" s="1580"/>
      <c r="F11" s="1580"/>
      <c r="G11" s="1580"/>
      <c r="H11" s="270"/>
      <c r="I11" s="378"/>
      <c r="J11" s="45"/>
      <c r="K11" s="45"/>
      <c r="L11" s="387"/>
      <c r="M11" s="45"/>
      <c r="N11" s="833"/>
      <c r="O11" s="45"/>
      <c r="P11" s="45"/>
      <c r="Q11" s="45"/>
      <c r="R11" s="45"/>
      <c r="S11" s="45"/>
      <c r="T11" s="391"/>
      <c r="U11" s="391"/>
      <c r="V11" s="391"/>
      <c r="W11" s="391"/>
      <c r="X11" s="391"/>
      <c r="Y11" s="391"/>
      <c r="Z11" s="391"/>
      <c r="AA11" s="391"/>
      <c r="AB11" s="520"/>
      <c r="AC11" s="45"/>
    </row>
    <row r="12" spans="1:34">
      <c r="A12" s="430" t="s">
        <v>15</v>
      </c>
      <c r="B12" s="433">
        <v>43251</v>
      </c>
      <c r="C12" s="424"/>
      <c r="D12" s="424"/>
      <c r="E12" s="424"/>
      <c r="F12" s="424"/>
      <c r="G12" s="425"/>
      <c r="H12" s="270"/>
      <c r="I12" s="378"/>
      <c r="J12" s="45"/>
      <c r="K12" s="45"/>
      <c r="L12" s="387"/>
      <c r="M12" s="45"/>
      <c r="N12" s="833"/>
      <c r="O12" s="45"/>
      <c r="P12" s="45"/>
      <c r="Q12" s="45"/>
      <c r="R12" s="45"/>
      <c r="S12" s="45"/>
      <c r="T12" s="391"/>
      <c r="U12" s="391"/>
      <c r="V12" s="391"/>
      <c r="W12" s="391"/>
      <c r="X12" s="391"/>
      <c r="Y12" s="391"/>
      <c r="Z12" s="391"/>
      <c r="AA12" s="391"/>
      <c r="AB12" s="520"/>
      <c r="AC12" s="45"/>
    </row>
    <row r="13" spans="1:34">
      <c r="A13" s="434" t="s">
        <v>16</v>
      </c>
      <c r="B13" s="435"/>
      <c r="C13" s="436"/>
      <c r="D13" s="436"/>
      <c r="E13" s="436"/>
      <c r="F13" s="436"/>
      <c r="G13" s="436"/>
      <c r="H13" s="271"/>
      <c r="I13" s="379"/>
      <c r="J13" s="50"/>
      <c r="K13" s="50"/>
      <c r="L13" s="388"/>
      <c r="M13" s="50"/>
      <c r="N13" s="834"/>
      <c r="O13" s="50"/>
      <c r="P13" s="50"/>
      <c r="Q13" s="50"/>
      <c r="R13" s="50"/>
      <c r="S13" s="50"/>
      <c r="T13" s="392"/>
      <c r="U13" s="392"/>
      <c r="V13" s="392"/>
      <c r="W13" s="392"/>
      <c r="X13" s="392"/>
      <c r="Y13" s="392"/>
      <c r="Z13" s="392"/>
      <c r="AA13" s="392"/>
      <c r="AB13" s="521"/>
      <c r="AC13" s="45"/>
    </row>
    <row r="14" spans="1:34" ht="28.5" customHeight="1">
      <c r="A14" s="426" t="s">
        <v>92</v>
      </c>
      <c r="B14" s="427">
        <v>2196538000</v>
      </c>
      <c r="C14" s="427"/>
      <c r="D14" s="428"/>
      <c r="E14" s="428"/>
      <c r="F14" s="428"/>
      <c r="G14" s="429"/>
      <c r="H14" s="272"/>
      <c r="I14" s="754"/>
      <c r="J14" s="52"/>
      <c r="K14" s="84"/>
      <c r="L14" s="512"/>
      <c r="M14" s="53"/>
      <c r="N14" s="835"/>
      <c r="O14" s="53"/>
      <c r="P14" s="53"/>
      <c r="Q14" s="53"/>
      <c r="R14" s="53"/>
      <c r="S14" s="53"/>
      <c r="T14" s="393"/>
      <c r="U14" s="393"/>
      <c r="V14" s="393"/>
      <c r="W14" s="393"/>
      <c r="X14" s="393"/>
      <c r="Y14" s="393"/>
      <c r="Z14" s="393"/>
      <c r="AA14" s="393"/>
      <c r="AB14" s="522"/>
      <c r="AC14" s="439"/>
    </row>
    <row r="15" spans="1:34" ht="38.25">
      <c r="A15" s="252" t="s">
        <v>18</v>
      </c>
      <c r="B15" s="55" t="s">
        <v>19</v>
      </c>
      <c r="C15" s="56" t="s">
        <v>20</v>
      </c>
      <c r="D15" s="56" t="s">
        <v>21</v>
      </c>
      <c r="E15" s="56" t="s">
        <v>22</v>
      </c>
      <c r="F15" s="56" t="s">
        <v>23</v>
      </c>
      <c r="G15" s="56" t="s">
        <v>24</v>
      </c>
      <c r="H15" s="273" t="s">
        <v>126</v>
      </c>
      <c r="I15" s="381" t="s">
        <v>279</v>
      </c>
      <c r="J15" s="141" t="s">
        <v>127</v>
      </c>
      <c r="K15" s="6" t="s">
        <v>25</v>
      </c>
      <c r="L15" s="333" t="s">
        <v>128</v>
      </c>
      <c r="M15" s="339" t="s">
        <v>147</v>
      </c>
      <c r="N15" s="334" t="s">
        <v>129</v>
      </c>
      <c r="O15" s="343" t="s">
        <v>130</v>
      </c>
      <c r="P15" s="339" t="s">
        <v>131</v>
      </c>
      <c r="Q15" s="339" t="s">
        <v>132</v>
      </c>
      <c r="R15" s="339" t="s">
        <v>133</v>
      </c>
      <c r="S15" s="339" t="s">
        <v>134</v>
      </c>
      <c r="T15" s="339" t="s">
        <v>135</v>
      </c>
      <c r="U15" s="339" t="s">
        <v>136</v>
      </c>
      <c r="V15" s="339" t="s">
        <v>137</v>
      </c>
      <c r="W15" s="339" t="s">
        <v>138</v>
      </c>
      <c r="X15" s="339" t="s">
        <v>139</v>
      </c>
      <c r="Y15" s="339" t="s">
        <v>140</v>
      </c>
      <c r="Z15" s="339" t="s">
        <v>141</v>
      </c>
      <c r="AA15" s="339" t="s">
        <v>142</v>
      </c>
      <c r="AB15" s="400" t="s">
        <v>143</v>
      </c>
      <c r="AC15" s="385" t="s">
        <v>259</v>
      </c>
      <c r="AD15" s="364" t="s">
        <v>145</v>
      </c>
      <c r="AE15" s="364" t="s">
        <v>146</v>
      </c>
      <c r="AF15" s="825" t="s">
        <v>253</v>
      </c>
      <c r="AG15" s="147" t="s">
        <v>258</v>
      </c>
      <c r="AH15" s="623" t="s">
        <v>277</v>
      </c>
    </row>
    <row r="16" spans="1:34" s="7" customFormat="1" ht="25.5">
      <c r="A16" s="344" t="s">
        <v>96</v>
      </c>
      <c r="B16" s="201">
        <f>2042718000+6600000</f>
        <v>2049318000</v>
      </c>
      <c r="C16" s="126" t="s">
        <v>45</v>
      </c>
      <c r="D16" s="126" t="s">
        <v>50</v>
      </c>
      <c r="E16" s="126" t="s">
        <v>93</v>
      </c>
      <c r="F16" s="126" t="s">
        <v>94</v>
      </c>
      <c r="G16" s="126" t="s">
        <v>95</v>
      </c>
      <c r="H16" s="126">
        <v>0</v>
      </c>
      <c r="I16" s="126"/>
      <c r="J16" s="126"/>
      <c r="K16" s="126"/>
      <c r="L16" s="814"/>
      <c r="M16" s="126"/>
      <c r="N16" s="836"/>
      <c r="O16" s="126"/>
      <c r="P16" s="126"/>
      <c r="Q16" s="126"/>
      <c r="R16" s="126"/>
      <c r="S16" s="126"/>
      <c r="T16" s="126"/>
      <c r="U16" s="126"/>
      <c r="V16" s="126"/>
      <c r="W16" s="126"/>
      <c r="X16" s="126"/>
      <c r="Y16" s="126"/>
      <c r="Z16" s="126"/>
      <c r="AA16" s="126"/>
      <c r="AB16" s="126"/>
      <c r="AC16" s="126"/>
      <c r="AD16" s="126"/>
      <c r="AE16" s="126"/>
      <c r="AF16" s="814"/>
      <c r="AG16" s="126"/>
      <c r="AH16" s="126"/>
    </row>
    <row r="17" spans="1:34" s="7" customFormat="1">
      <c r="A17" s="345" t="s">
        <v>96</v>
      </c>
      <c r="B17" s="269">
        <f>K17</f>
        <v>29400000</v>
      </c>
      <c r="C17" s="126" t="s">
        <v>45</v>
      </c>
      <c r="D17" s="126" t="s">
        <v>50</v>
      </c>
      <c r="E17" s="126" t="s">
        <v>93</v>
      </c>
      <c r="F17" s="126" t="s">
        <v>94</v>
      </c>
      <c r="G17" s="126" t="s">
        <v>95</v>
      </c>
      <c r="H17" s="274">
        <v>195</v>
      </c>
      <c r="I17" s="395"/>
      <c r="J17" s="260">
        <v>212</v>
      </c>
      <c r="K17" s="262">
        <v>29400000</v>
      </c>
      <c r="L17" s="390">
        <v>276</v>
      </c>
      <c r="M17" s="348">
        <v>29400000</v>
      </c>
      <c r="N17" s="316">
        <v>246</v>
      </c>
      <c r="O17" s="359"/>
      <c r="P17" s="342">
        <v>700000</v>
      </c>
      <c r="Q17" s="342">
        <v>4200000</v>
      </c>
      <c r="R17" s="342">
        <v>4200000</v>
      </c>
      <c r="S17" s="342">
        <v>4200000</v>
      </c>
      <c r="T17" s="342">
        <v>4200000</v>
      </c>
      <c r="U17" s="342">
        <v>4200000</v>
      </c>
      <c r="V17" s="342">
        <f>VLOOKUP(L17,[2]Hoja2!N$2:T$40,7,0)</f>
        <v>4200000</v>
      </c>
      <c r="W17" s="342"/>
      <c r="X17" s="342"/>
      <c r="Y17" s="342"/>
      <c r="Z17" s="342"/>
      <c r="AA17" s="194">
        <f>SUM(O17:Z17)</f>
        <v>25900000</v>
      </c>
      <c r="AB17" s="237">
        <f>M17-AA17</f>
        <v>3500000</v>
      </c>
      <c r="AC17" s="505">
        <v>172</v>
      </c>
      <c r="AD17" s="340" t="s">
        <v>213</v>
      </c>
      <c r="AE17" s="340" t="s">
        <v>151</v>
      </c>
      <c r="AF17" s="826">
        <f>N17</f>
        <v>246</v>
      </c>
      <c r="AG17" s="445">
        <v>29400000</v>
      </c>
      <c r="AH17" s="728">
        <f>AG17-M17</f>
        <v>0</v>
      </c>
    </row>
    <row r="18" spans="1:34" s="7" customFormat="1">
      <c r="A18" s="345" t="s">
        <v>96</v>
      </c>
      <c r="B18" s="269">
        <f>K18</f>
        <v>8000000</v>
      </c>
      <c r="C18" s="126" t="s">
        <v>45</v>
      </c>
      <c r="D18" s="126" t="s">
        <v>50</v>
      </c>
      <c r="E18" s="126" t="s">
        <v>93</v>
      </c>
      <c r="F18" s="126" t="s">
        <v>94</v>
      </c>
      <c r="G18" s="126" t="s">
        <v>95</v>
      </c>
      <c r="H18" s="274">
        <v>409</v>
      </c>
      <c r="I18" s="395">
        <v>8000000</v>
      </c>
      <c r="J18" s="260">
        <v>521</v>
      </c>
      <c r="K18" s="262">
        <v>8000000</v>
      </c>
      <c r="L18" s="390">
        <v>675</v>
      </c>
      <c r="M18" s="348">
        <v>8000000</v>
      </c>
      <c r="N18" s="316">
        <v>172</v>
      </c>
      <c r="O18" s="359"/>
      <c r="P18" s="342"/>
      <c r="Q18" s="342"/>
      <c r="R18" s="342"/>
      <c r="S18" s="342"/>
      <c r="T18" s="342"/>
      <c r="U18" s="342"/>
      <c r="V18" s="342"/>
      <c r="W18" s="342"/>
      <c r="X18" s="342"/>
      <c r="Y18" s="342"/>
      <c r="Z18" s="342"/>
      <c r="AA18" s="194">
        <f>SUM(O18:Z18)</f>
        <v>0</v>
      </c>
      <c r="AB18" s="237">
        <f>M18-AA18</f>
        <v>8000000</v>
      </c>
      <c r="AC18" s="506" t="s">
        <v>148</v>
      </c>
      <c r="AD18" s="800" t="s">
        <v>309</v>
      </c>
      <c r="AE18" s="340" t="s">
        <v>151</v>
      </c>
      <c r="AF18" s="826">
        <f t="shared" ref="AF18:AF86" si="0">N18</f>
        <v>172</v>
      </c>
      <c r="AG18" s="445">
        <v>8000000</v>
      </c>
      <c r="AH18" s="728">
        <f>AG18-M18</f>
        <v>0</v>
      </c>
    </row>
    <row r="19" spans="1:34" s="7" customFormat="1">
      <c r="A19" s="345" t="s">
        <v>96</v>
      </c>
      <c r="B19" s="269">
        <f>K19</f>
        <v>22282000</v>
      </c>
      <c r="C19" s="126" t="s">
        <v>45</v>
      </c>
      <c r="D19" s="126" t="s">
        <v>50</v>
      </c>
      <c r="E19" s="126" t="s">
        <v>93</v>
      </c>
      <c r="F19" s="126" t="s">
        <v>94</v>
      </c>
      <c r="G19" s="126" t="s">
        <v>95</v>
      </c>
      <c r="H19" s="799">
        <v>42</v>
      </c>
      <c r="I19" s="395"/>
      <c r="J19" s="260">
        <v>51</v>
      </c>
      <c r="K19" s="262">
        <f>22282000</f>
        <v>22282000</v>
      </c>
      <c r="L19" s="390">
        <v>97</v>
      </c>
      <c r="M19" s="348">
        <v>22282000</v>
      </c>
      <c r="N19" s="316">
        <v>50</v>
      </c>
      <c r="O19" s="359"/>
      <c r="P19" s="342">
        <v>1028400</v>
      </c>
      <c r="Q19" s="342">
        <v>3428000</v>
      </c>
      <c r="R19" s="342">
        <v>3428000</v>
      </c>
      <c r="S19" s="342">
        <v>3428000</v>
      </c>
      <c r="T19" s="342">
        <v>3428000</v>
      </c>
      <c r="U19" s="342">
        <v>3428000</v>
      </c>
      <c r="V19" s="342"/>
      <c r="W19" s="342"/>
      <c r="X19" s="342"/>
      <c r="Y19" s="342"/>
      <c r="Z19" s="342"/>
      <c r="AA19" s="194">
        <f t="shared" ref="AA19:AA102" si="1">SUM(O19:Z19)</f>
        <v>18168400</v>
      </c>
      <c r="AB19" s="237">
        <f t="shared" ref="AB19:AB102" si="2">M19-AA19</f>
        <v>4113600</v>
      </c>
      <c r="AC19" s="505">
        <v>174</v>
      </c>
      <c r="AD19" s="800" t="s">
        <v>281</v>
      </c>
      <c r="AE19" s="340" t="s">
        <v>152</v>
      </c>
      <c r="AF19" s="826">
        <f t="shared" si="0"/>
        <v>50</v>
      </c>
      <c r="AG19" s="445">
        <f>22282000</f>
        <v>22282000</v>
      </c>
      <c r="AH19" s="728">
        <f t="shared" ref="AH19:AH103" si="3">AG19-M19</f>
        <v>0</v>
      </c>
    </row>
    <row r="20" spans="1:34" s="7" customFormat="1">
      <c r="A20" s="345" t="s">
        <v>96</v>
      </c>
      <c r="B20" s="269">
        <f t="shared" ref="B20:B102" si="4">K20</f>
        <v>6856000</v>
      </c>
      <c r="C20" s="126" t="s">
        <v>45</v>
      </c>
      <c r="D20" s="126" t="s">
        <v>50</v>
      </c>
      <c r="E20" s="126" t="s">
        <v>93</v>
      </c>
      <c r="F20" s="126" t="s">
        <v>94</v>
      </c>
      <c r="G20" s="126" t="s">
        <v>95</v>
      </c>
      <c r="H20" s="799">
        <v>396</v>
      </c>
      <c r="I20" s="395">
        <v>6856000</v>
      </c>
      <c r="J20" s="260">
        <v>501</v>
      </c>
      <c r="K20" s="262">
        <v>6856000</v>
      </c>
      <c r="L20" s="390">
        <v>666</v>
      </c>
      <c r="M20" s="348">
        <v>6856000</v>
      </c>
      <c r="N20" s="316">
        <v>50</v>
      </c>
      <c r="O20" s="359"/>
      <c r="P20" s="342"/>
      <c r="Q20" s="342"/>
      <c r="R20" s="342"/>
      <c r="S20" s="342"/>
      <c r="T20" s="342"/>
      <c r="U20" s="342"/>
      <c r="V20" s="342"/>
      <c r="W20" s="342"/>
      <c r="X20" s="342"/>
      <c r="Y20" s="342"/>
      <c r="Z20" s="342"/>
      <c r="AA20" s="194">
        <f t="shared" ref="AA20:AA25" si="5">SUM(O20:Z20)</f>
        <v>0</v>
      </c>
      <c r="AB20" s="237">
        <f t="shared" ref="AB20:AB25" si="6">M20-AA20</f>
        <v>6856000</v>
      </c>
      <c r="AC20" s="506" t="s">
        <v>148</v>
      </c>
      <c r="AD20" s="800" t="s">
        <v>289</v>
      </c>
      <c r="AE20" s="340" t="s">
        <v>152</v>
      </c>
      <c r="AF20" s="826">
        <f t="shared" si="0"/>
        <v>50</v>
      </c>
      <c r="AG20" s="445">
        <v>6856000</v>
      </c>
      <c r="AH20" s="728">
        <f t="shared" si="3"/>
        <v>0</v>
      </c>
    </row>
    <row r="21" spans="1:34" s="7" customFormat="1">
      <c r="A21" s="345" t="s">
        <v>96</v>
      </c>
      <c r="B21" s="269">
        <f t="shared" si="4"/>
        <v>22282000</v>
      </c>
      <c r="C21" s="126" t="s">
        <v>45</v>
      </c>
      <c r="D21" s="126" t="s">
        <v>50</v>
      </c>
      <c r="E21" s="126" t="s">
        <v>93</v>
      </c>
      <c r="F21" s="126" t="s">
        <v>94</v>
      </c>
      <c r="G21" s="126" t="s">
        <v>95</v>
      </c>
      <c r="H21" s="799">
        <v>41</v>
      </c>
      <c r="I21" s="395"/>
      <c r="J21" s="260">
        <v>50</v>
      </c>
      <c r="K21" s="262">
        <f>22282000</f>
        <v>22282000</v>
      </c>
      <c r="L21" s="390">
        <v>96</v>
      </c>
      <c r="M21" s="348">
        <v>22282000</v>
      </c>
      <c r="N21" s="316">
        <v>49</v>
      </c>
      <c r="O21" s="359"/>
      <c r="P21" s="342">
        <v>1028400</v>
      </c>
      <c r="Q21" s="342">
        <v>3428000</v>
      </c>
      <c r="R21" s="342">
        <v>3428000</v>
      </c>
      <c r="S21" s="342">
        <v>3428000</v>
      </c>
      <c r="T21" s="342">
        <v>3428000</v>
      </c>
      <c r="U21" s="342">
        <v>3428000</v>
      </c>
      <c r="V21" s="342"/>
      <c r="W21" s="342"/>
      <c r="X21" s="342"/>
      <c r="Y21" s="342"/>
      <c r="Z21" s="342"/>
      <c r="AA21" s="194">
        <f t="shared" si="5"/>
        <v>18168400</v>
      </c>
      <c r="AB21" s="237">
        <f t="shared" si="6"/>
        <v>4113600</v>
      </c>
      <c r="AC21" s="505">
        <v>175</v>
      </c>
      <c r="AD21" s="800" t="s">
        <v>283</v>
      </c>
      <c r="AE21" s="340" t="s">
        <v>153</v>
      </c>
      <c r="AF21" s="826">
        <f t="shared" si="0"/>
        <v>49</v>
      </c>
      <c r="AG21" s="445">
        <f>22282000</f>
        <v>22282000</v>
      </c>
      <c r="AH21" s="728">
        <f t="shared" si="3"/>
        <v>0</v>
      </c>
    </row>
    <row r="22" spans="1:34" s="7" customFormat="1">
      <c r="A22" s="345" t="s">
        <v>96</v>
      </c>
      <c r="B22" s="269">
        <f t="shared" si="4"/>
        <v>6856000</v>
      </c>
      <c r="C22" s="126" t="s">
        <v>45</v>
      </c>
      <c r="D22" s="126" t="s">
        <v>50</v>
      </c>
      <c r="E22" s="126" t="s">
        <v>93</v>
      </c>
      <c r="F22" s="126" t="s">
        <v>94</v>
      </c>
      <c r="G22" s="126" t="s">
        <v>95</v>
      </c>
      <c r="H22" s="799">
        <v>397</v>
      </c>
      <c r="I22" s="395">
        <v>6856000</v>
      </c>
      <c r="J22" s="260">
        <v>506</v>
      </c>
      <c r="K22" s="262">
        <v>6856000</v>
      </c>
      <c r="L22" s="390">
        <v>667</v>
      </c>
      <c r="M22" s="348">
        <v>6856000</v>
      </c>
      <c r="N22" s="316">
        <v>49</v>
      </c>
      <c r="O22" s="359"/>
      <c r="P22" s="342"/>
      <c r="Q22" s="342"/>
      <c r="R22" s="342"/>
      <c r="S22" s="342"/>
      <c r="T22" s="342"/>
      <c r="U22" s="342"/>
      <c r="V22" s="342"/>
      <c r="W22" s="342"/>
      <c r="X22" s="342"/>
      <c r="Y22" s="342"/>
      <c r="Z22" s="342"/>
      <c r="AA22" s="194">
        <f t="shared" si="5"/>
        <v>0</v>
      </c>
      <c r="AB22" s="237">
        <f t="shared" si="6"/>
        <v>6856000</v>
      </c>
      <c r="AC22" s="506" t="s">
        <v>148</v>
      </c>
      <c r="AD22" s="800" t="s">
        <v>290</v>
      </c>
      <c r="AE22" s="340" t="s">
        <v>153</v>
      </c>
      <c r="AF22" s="826">
        <f t="shared" si="0"/>
        <v>49</v>
      </c>
      <c r="AG22" s="445">
        <v>6856000</v>
      </c>
      <c r="AH22" s="728">
        <f t="shared" si="3"/>
        <v>0</v>
      </c>
    </row>
    <row r="23" spans="1:34" s="7" customFormat="1">
      <c r="A23" s="345" t="s">
        <v>96</v>
      </c>
      <c r="B23" s="269">
        <f t="shared" si="4"/>
        <v>32640000</v>
      </c>
      <c r="C23" s="126" t="s">
        <v>45</v>
      </c>
      <c r="D23" s="126" t="s">
        <v>50</v>
      </c>
      <c r="E23" s="126" t="s">
        <v>93</v>
      </c>
      <c r="F23" s="126" t="s">
        <v>94</v>
      </c>
      <c r="G23" s="126" t="s">
        <v>95</v>
      </c>
      <c r="H23" s="274">
        <v>143</v>
      </c>
      <c r="I23" s="395"/>
      <c r="J23" s="260">
        <v>159</v>
      </c>
      <c r="K23" s="262">
        <v>32640000</v>
      </c>
      <c r="L23" s="390">
        <v>250</v>
      </c>
      <c r="M23" s="348">
        <v>32640000</v>
      </c>
      <c r="N23" s="316">
        <v>231</v>
      </c>
      <c r="O23" s="359"/>
      <c r="P23" s="342">
        <v>906667</v>
      </c>
      <c r="Q23" s="342">
        <v>5440000</v>
      </c>
      <c r="R23" s="342">
        <v>5440000</v>
      </c>
      <c r="S23" s="342">
        <v>5440000</v>
      </c>
      <c r="T23" s="342">
        <v>5440000</v>
      </c>
      <c r="U23" s="342">
        <v>5440000</v>
      </c>
      <c r="V23" s="342">
        <f>VLOOKUP(L23,[2]Hoja2!N$2:T$40,7,0)</f>
        <v>4533333</v>
      </c>
      <c r="W23" s="342"/>
      <c r="X23" s="342"/>
      <c r="Y23" s="342"/>
      <c r="Z23" s="342"/>
      <c r="AA23" s="194">
        <f t="shared" si="5"/>
        <v>32640000</v>
      </c>
      <c r="AB23" s="237">
        <f t="shared" si="6"/>
        <v>0</v>
      </c>
      <c r="AC23" s="505">
        <v>176</v>
      </c>
      <c r="AD23" s="340" t="s">
        <v>214</v>
      </c>
      <c r="AE23" s="340" t="s">
        <v>154</v>
      </c>
      <c r="AF23" s="826">
        <f t="shared" si="0"/>
        <v>231</v>
      </c>
      <c r="AG23" s="445">
        <f>32640000+5440000-5440000</f>
        <v>32640000</v>
      </c>
      <c r="AH23" s="728">
        <f t="shared" si="3"/>
        <v>0</v>
      </c>
    </row>
    <row r="24" spans="1:34" s="7" customFormat="1">
      <c r="A24" s="345" t="s">
        <v>96</v>
      </c>
      <c r="B24" s="269">
        <f t="shared" si="4"/>
        <v>51100000</v>
      </c>
      <c r="C24" s="126" t="s">
        <v>45</v>
      </c>
      <c r="D24" s="126" t="s">
        <v>50</v>
      </c>
      <c r="E24" s="126" t="s">
        <v>93</v>
      </c>
      <c r="F24" s="126" t="s">
        <v>94</v>
      </c>
      <c r="G24" s="126" t="s">
        <v>95</v>
      </c>
      <c r="H24" s="274">
        <v>84</v>
      </c>
      <c r="I24" s="395"/>
      <c r="J24" s="260">
        <v>92</v>
      </c>
      <c r="K24" s="262">
        <v>51100000</v>
      </c>
      <c r="L24" s="390">
        <v>232</v>
      </c>
      <c r="M24" s="348">
        <v>51100000</v>
      </c>
      <c r="N24" s="316">
        <v>214</v>
      </c>
      <c r="O24" s="359"/>
      <c r="P24" s="342">
        <v>1216667</v>
      </c>
      <c r="Q24" s="342">
        <v>7300000</v>
      </c>
      <c r="R24" s="342">
        <v>7300000</v>
      </c>
      <c r="S24" s="342">
        <v>7300000</v>
      </c>
      <c r="T24" s="342">
        <v>7300000</v>
      </c>
      <c r="U24" s="342">
        <v>7300000</v>
      </c>
      <c r="V24" s="342">
        <f>VLOOKUP(L24,[2]Hoja2!N$2:T$40,7,0)</f>
        <v>7300000</v>
      </c>
      <c r="W24" s="342"/>
      <c r="X24" s="342"/>
      <c r="Y24" s="342"/>
      <c r="Z24" s="342"/>
      <c r="AA24" s="194">
        <f t="shared" si="5"/>
        <v>45016667</v>
      </c>
      <c r="AB24" s="237">
        <f t="shared" si="6"/>
        <v>6083333</v>
      </c>
      <c r="AC24" s="505">
        <v>177</v>
      </c>
      <c r="AD24" s="340" t="s">
        <v>215</v>
      </c>
      <c r="AE24" s="340" t="s">
        <v>155</v>
      </c>
      <c r="AF24" s="826">
        <f t="shared" si="0"/>
        <v>214</v>
      </c>
      <c r="AG24" s="445">
        <v>51100000</v>
      </c>
      <c r="AH24" s="728">
        <f t="shared" si="3"/>
        <v>0</v>
      </c>
    </row>
    <row r="25" spans="1:34" s="7" customFormat="1">
      <c r="A25" s="345" t="s">
        <v>96</v>
      </c>
      <c r="B25" s="269">
        <f t="shared" si="4"/>
        <v>56000000</v>
      </c>
      <c r="C25" s="126" t="s">
        <v>45</v>
      </c>
      <c r="D25" s="126" t="s">
        <v>50</v>
      </c>
      <c r="E25" s="126" t="s">
        <v>93</v>
      </c>
      <c r="F25" s="126" t="s">
        <v>94</v>
      </c>
      <c r="G25" s="126" t="s">
        <v>95</v>
      </c>
      <c r="H25" s="274">
        <v>132</v>
      </c>
      <c r="I25" s="395"/>
      <c r="J25" s="260">
        <v>128</v>
      </c>
      <c r="K25" s="262">
        <v>56000000</v>
      </c>
      <c r="L25" s="390">
        <v>302</v>
      </c>
      <c r="M25" s="348">
        <v>56000000</v>
      </c>
      <c r="N25" s="316">
        <v>275</v>
      </c>
      <c r="O25" s="359"/>
      <c r="P25" s="342">
        <v>1333333</v>
      </c>
      <c r="Q25" s="342">
        <v>8000000</v>
      </c>
      <c r="R25" s="342">
        <v>8000000</v>
      </c>
      <c r="S25" s="342">
        <v>8000000</v>
      </c>
      <c r="T25" s="342">
        <v>8000000</v>
      </c>
      <c r="U25" s="342">
        <v>8000000</v>
      </c>
      <c r="V25" s="342">
        <f>VLOOKUP(L25,[2]Hoja2!N$2:T$40,7,0)</f>
        <v>8000000</v>
      </c>
      <c r="W25" s="342"/>
      <c r="X25" s="342"/>
      <c r="Y25" s="342"/>
      <c r="Z25" s="342"/>
      <c r="AA25" s="194">
        <f t="shared" si="5"/>
        <v>49333333</v>
      </c>
      <c r="AB25" s="237">
        <f t="shared" si="6"/>
        <v>6666667</v>
      </c>
      <c r="AC25" s="505">
        <v>178</v>
      </c>
      <c r="AD25" s="340" t="s">
        <v>216</v>
      </c>
      <c r="AE25" s="340" t="s">
        <v>156</v>
      </c>
      <c r="AF25" s="826">
        <f t="shared" si="0"/>
        <v>275</v>
      </c>
      <c r="AG25" s="445">
        <v>56000000</v>
      </c>
      <c r="AH25" s="728">
        <f t="shared" si="3"/>
        <v>0</v>
      </c>
    </row>
    <row r="26" spans="1:34" s="7" customFormat="1">
      <c r="A26" s="345"/>
      <c r="B26" s="269"/>
      <c r="C26" s="126"/>
      <c r="D26" s="126"/>
      <c r="E26" s="126"/>
      <c r="F26" s="126"/>
      <c r="G26" s="126"/>
      <c r="H26" s="274"/>
      <c r="I26" s="395"/>
      <c r="J26" s="260"/>
      <c r="K26" s="262"/>
      <c r="L26" s="390"/>
      <c r="M26" s="348"/>
      <c r="N26" s="316"/>
      <c r="O26" s="359"/>
      <c r="P26" s="342"/>
      <c r="Q26" s="342"/>
      <c r="R26" s="342"/>
      <c r="S26" s="342"/>
      <c r="T26" s="342"/>
      <c r="U26" s="342"/>
      <c r="V26" s="342"/>
      <c r="W26" s="342"/>
      <c r="X26" s="342"/>
      <c r="Y26" s="342"/>
      <c r="Z26" s="342"/>
      <c r="AA26" s="194"/>
      <c r="AB26" s="237"/>
      <c r="AC26" s="506" t="s">
        <v>148</v>
      </c>
      <c r="AD26" s="839" t="s">
        <v>323</v>
      </c>
      <c r="AE26" s="340" t="s">
        <v>156</v>
      </c>
      <c r="AF26" s="826">
        <f t="shared" ref="AF26" si="7">N26</f>
        <v>0</v>
      </c>
      <c r="AG26" s="445"/>
      <c r="AH26" s="728"/>
    </row>
    <row r="27" spans="1:34" s="7" customFormat="1">
      <c r="A27" s="345" t="s">
        <v>96</v>
      </c>
      <c r="B27" s="269">
        <f t="shared" si="4"/>
        <v>56000000</v>
      </c>
      <c r="C27" s="126" t="s">
        <v>45</v>
      </c>
      <c r="D27" s="126" t="s">
        <v>50</v>
      </c>
      <c r="E27" s="126" t="s">
        <v>93</v>
      </c>
      <c r="F27" s="126" t="s">
        <v>94</v>
      </c>
      <c r="G27" s="126" t="s">
        <v>95</v>
      </c>
      <c r="H27" s="274">
        <v>128</v>
      </c>
      <c r="I27" s="395"/>
      <c r="J27" s="260">
        <v>129</v>
      </c>
      <c r="K27" s="262">
        <v>56000000</v>
      </c>
      <c r="L27" s="390">
        <v>155</v>
      </c>
      <c r="M27" s="348">
        <v>56000000</v>
      </c>
      <c r="N27" s="316">
        <v>141</v>
      </c>
      <c r="O27" s="359"/>
      <c r="P27" s="342">
        <v>1866667</v>
      </c>
      <c r="Q27" s="342">
        <v>8000000</v>
      </c>
      <c r="R27" s="342">
        <v>8000000</v>
      </c>
      <c r="S27" s="342">
        <v>8000000</v>
      </c>
      <c r="T27" s="342">
        <v>8000000</v>
      </c>
      <c r="U27" s="342">
        <v>8000000</v>
      </c>
      <c r="V27" s="342">
        <f>VLOOKUP(L27,[2]Hoja2!N$2:T$40,7,0)</f>
        <v>8000000</v>
      </c>
      <c r="W27" s="342"/>
      <c r="X27" s="342"/>
      <c r="Y27" s="342"/>
      <c r="Z27" s="342"/>
      <c r="AA27" s="194">
        <f t="shared" si="1"/>
        <v>49866667</v>
      </c>
      <c r="AB27" s="237">
        <f t="shared" si="2"/>
        <v>6133333</v>
      </c>
      <c r="AC27" s="505">
        <v>179</v>
      </c>
      <c r="AD27" s="340" t="s">
        <v>217</v>
      </c>
      <c r="AE27" s="340" t="s">
        <v>157</v>
      </c>
      <c r="AF27" s="826">
        <f t="shared" si="0"/>
        <v>141</v>
      </c>
      <c r="AG27" s="445">
        <v>56000000</v>
      </c>
      <c r="AH27" s="728">
        <f t="shared" si="3"/>
        <v>0</v>
      </c>
    </row>
    <row r="28" spans="1:34" s="7" customFormat="1">
      <c r="A28" s="345" t="s">
        <v>96</v>
      </c>
      <c r="B28" s="269">
        <f t="shared" si="4"/>
        <v>56000000</v>
      </c>
      <c r="C28" s="126" t="s">
        <v>45</v>
      </c>
      <c r="D28" s="126" t="s">
        <v>50</v>
      </c>
      <c r="E28" s="126" t="s">
        <v>93</v>
      </c>
      <c r="F28" s="126" t="s">
        <v>94</v>
      </c>
      <c r="G28" s="126" t="s">
        <v>95</v>
      </c>
      <c r="H28" s="274">
        <v>91</v>
      </c>
      <c r="I28" s="395"/>
      <c r="J28" s="260">
        <v>122</v>
      </c>
      <c r="K28" s="262">
        <v>56000000</v>
      </c>
      <c r="L28" s="390">
        <v>301</v>
      </c>
      <c r="M28" s="348">
        <v>56000000</v>
      </c>
      <c r="N28" s="316">
        <v>276</v>
      </c>
      <c r="O28" s="359"/>
      <c r="P28" s="342">
        <v>1333333</v>
      </c>
      <c r="Q28" s="342">
        <v>8000000</v>
      </c>
      <c r="R28" s="342">
        <v>8000000</v>
      </c>
      <c r="S28" s="342">
        <v>8000000</v>
      </c>
      <c r="T28" s="342">
        <v>8000000</v>
      </c>
      <c r="U28" s="342">
        <v>8000000</v>
      </c>
      <c r="V28" s="342">
        <f>VLOOKUP(L28,[2]Hoja2!N$2:T$40,7,0)</f>
        <v>8000000</v>
      </c>
      <c r="W28" s="342"/>
      <c r="X28" s="342"/>
      <c r="Y28" s="342"/>
      <c r="Z28" s="342"/>
      <c r="AA28" s="194">
        <f t="shared" si="1"/>
        <v>49333333</v>
      </c>
      <c r="AB28" s="237">
        <f t="shared" si="2"/>
        <v>6666667</v>
      </c>
      <c r="AC28" s="505">
        <v>180</v>
      </c>
      <c r="AD28" s="340" t="s">
        <v>218</v>
      </c>
      <c r="AE28" s="340" t="s">
        <v>158</v>
      </c>
      <c r="AF28" s="826">
        <f t="shared" si="0"/>
        <v>276</v>
      </c>
      <c r="AG28" s="445">
        <v>56000000</v>
      </c>
      <c r="AH28" s="728">
        <f t="shared" si="3"/>
        <v>0</v>
      </c>
    </row>
    <row r="29" spans="1:34" s="7" customFormat="1">
      <c r="A29" s="345" t="s">
        <v>96</v>
      </c>
      <c r="B29" s="269">
        <f t="shared" si="4"/>
        <v>24000000</v>
      </c>
      <c r="C29" s="126" t="s">
        <v>45</v>
      </c>
      <c r="D29" s="126" t="s">
        <v>50</v>
      </c>
      <c r="E29" s="126" t="s">
        <v>93</v>
      </c>
      <c r="F29" s="126" t="s">
        <v>94</v>
      </c>
      <c r="G29" s="126" t="s">
        <v>95</v>
      </c>
      <c r="H29" s="799">
        <v>176</v>
      </c>
      <c r="I29" s="810"/>
      <c r="J29" s="260">
        <v>194</v>
      </c>
      <c r="K29" s="262">
        <f>24000000</f>
        <v>24000000</v>
      </c>
      <c r="L29" s="390">
        <v>234</v>
      </c>
      <c r="M29" s="348">
        <v>24000000</v>
      </c>
      <c r="N29" s="316">
        <v>186</v>
      </c>
      <c r="O29" s="359"/>
      <c r="P29" s="342">
        <v>800000</v>
      </c>
      <c r="Q29" s="342">
        <v>4000000</v>
      </c>
      <c r="R29" s="342">
        <v>4000000</v>
      </c>
      <c r="S29" s="342">
        <v>4000000</v>
      </c>
      <c r="T29" s="342">
        <v>4000000</v>
      </c>
      <c r="U29" s="342">
        <v>4000000</v>
      </c>
      <c r="V29" s="342">
        <f>VLOOKUP(L29,[2]Hoja2!N$2:T$40,7,0)</f>
        <v>3200000</v>
      </c>
      <c r="W29" s="342"/>
      <c r="X29" s="342"/>
      <c r="Y29" s="342"/>
      <c r="Z29" s="342"/>
      <c r="AA29" s="194">
        <f t="shared" si="1"/>
        <v>24000000</v>
      </c>
      <c r="AB29" s="237">
        <f t="shared" si="2"/>
        <v>0</v>
      </c>
      <c r="AC29" s="505">
        <v>182</v>
      </c>
      <c r="AD29" s="340" t="s">
        <v>219</v>
      </c>
      <c r="AE29" s="340" t="s">
        <v>159</v>
      </c>
      <c r="AF29" s="826">
        <f t="shared" si="0"/>
        <v>186</v>
      </c>
      <c r="AG29" s="445">
        <f>24000000+1200000-1200000</f>
        <v>24000000</v>
      </c>
      <c r="AH29" s="728">
        <f t="shared" si="3"/>
        <v>0</v>
      </c>
    </row>
    <row r="30" spans="1:34" s="7" customFormat="1">
      <c r="A30" s="345" t="s">
        <v>96</v>
      </c>
      <c r="B30" s="269">
        <f t="shared" si="4"/>
        <v>4000000</v>
      </c>
      <c r="C30" s="126" t="s">
        <v>45</v>
      </c>
      <c r="D30" s="126" t="s">
        <v>50</v>
      </c>
      <c r="E30" s="126" t="s">
        <v>93</v>
      </c>
      <c r="F30" s="126" t="s">
        <v>94</v>
      </c>
      <c r="G30" s="126" t="s">
        <v>95</v>
      </c>
      <c r="H30" s="799">
        <v>385</v>
      </c>
      <c r="I30" s="810">
        <v>4000000</v>
      </c>
      <c r="J30" s="260">
        <v>494</v>
      </c>
      <c r="K30" s="262">
        <v>4000000</v>
      </c>
      <c r="L30" s="390">
        <v>637</v>
      </c>
      <c r="M30" s="348">
        <v>4000000</v>
      </c>
      <c r="N30" s="316">
        <v>186</v>
      </c>
      <c r="O30" s="359"/>
      <c r="P30" s="342"/>
      <c r="Q30" s="342"/>
      <c r="R30" s="342"/>
      <c r="S30" s="342"/>
      <c r="T30" s="342"/>
      <c r="U30" s="342"/>
      <c r="V30" s="342">
        <f>VLOOKUP(L30,[2]Hoja2!N$2:T$40,7,0)</f>
        <v>800000</v>
      </c>
      <c r="W30" s="342"/>
      <c r="X30" s="342"/>
      <c r="Y30" s="342"/>
      <c r="Z30" s="342"/>
      <c r="AA30" s="194">
        <f t="shared" ref="AA30:AA48" si="8">SUM(O30:Z30)</f>
        <v>800000</v>
      </c>
      <c r="AB30" s="237">
        <f t="shared" ref="AB30:AB48" si="9">M30-AA30</f>
        <v>3200000</v>
      </c>
      <c r="AC30" s="506" t="s">
        <v>148</v>
      </c>
      <c r="AD30" s="800" t="s">
        <v>295</v>
      </c>
      <c r="AE30" s="340" t="s">
        <v>159</v>
      </c>
      <c r="AF30" s="826">
        <f t="shared" si="0"/>
        <v>186</v>
      </c>
      <c r="AG30" s="445">
        <v>4000000</v>
      </c>
      <c r="AH30" s="728">
        <f t="shared" si="3"/>
        <v>0</v>
      </c>
    </row>
    <row r="31" spans="1:34" s="7" customFormat="1">
      <c r="A31" s="345" t="s">
        <v>96</v>
      </c>
      <c r="B31" s="269">
        <f t="shared" si="4"/>
        <v>36400000</v>
      </c>
      <c r="C31" s="126" t="s">
        <v>45</v>
      </c>
      <c r="D31" s="126" t="s">
        <v>50</v>
      </c>
      <c r="E31" s="126" t="s">
        <v>93</v>
      </c>
      <c r="F31" s="126" t="s">
        <v>94</v>
      </c>
      <c r="G31" s="126" t="s">
        <v>95</v>
      </c>
      <c r="H31" s="274">
        <v>145</v>
      </c>
      <c r="I31" s="395"/>
      <c r="J31" s="260">
        <v>160</v>
      </c>
      <c r="K31" s="262">
        <v>36400000</v>
      </c>
      <c r="L31" s="390">
        <v>169</v>
      </c>
      <c r="M31" s="348">
        <v>36400000</v>
      </c>
      <c r="N31" s="316">
        <v>150</v>
      </c>
      <c r="O31" s="359"/>
      <c r="P31" s="342">
        <v>1040000</v>
      </c>
      <c r="Q31" s="342">
        <v>5200000</v>
      </c>
      <c r="R31" s="342">
        <v>5200000</v>
      </c>
      <c r="S31" s="342">
        <v>5200000</v>
      </c>
      <c r="T31" s="342">
        <v>5200000</v>
      </c>
      <c r="U31" s="342">
        <v>5200000</v>
      </c>
      <c r="V31" s="342">
        <f>VLOOKUP(L31,[2]Hoja2!N$2:T$40,7,0)</f>
        <v>5200000</v>
      </c>
      <c r="W31" s="342"/>
      <c r="X31" s="342"/>
      <c r="Y31" s="342"/>
      <c r="Z31" s="342"/>
      <c r="AA31" s="194">
        <f t="shared" si="8"/>
        <v>32240000</v>
      </c>
      <c r="AB31" s="237">
        <f t="shared" si="9"/>
        <v>4160000</v>
      </c>
      <c r="AC31" s="505">
        <v>183</v>
      </c>
      <c r="AD31" s="340" t="s">
        <v>220</v>
      </c>
      <c r="AE31" s="340" t="s">
        <v>160</v>
      </c>
      <c r="AF31" s="826">
        <f t="shared" si="0"/>
        <v>150</v>
      </c>
      <c r="AG31" s="445">
        <v>36400000</v>
      </c>
      <c r="AH31" s="728">
        <f t="shared" si="3"/>
        <v>0</v>
      </c>
    </row>
    <row r="32" spans="1:34" s="7" customFormat="1">
      <c r="A32" s="345" t="s">
        <v>96</v>
      </c>
      <c r="B32" s="269">
        <f t="shared" si="4"/>
        <v>27500000</v>
      </c>
      <c r="C32" s="126" t="s">
        <v>45</v>
      </c>
      <c r="D32" s="126" t="s">
        <v>50</v>
      </c>
      <c r="E32" s="126" t="s">
        <v>93</v>
      </c>
      <c r="F32" s="126" t="s">
        <v>94</v>
      </c>
      <c r="G32" s="126" t="s">
        <v>95</v>
      </c>
      <c r="H32" s="274">
        <v>180</v>
      </c>
      <c r="I32" s="395"/>
      <c r="J32" s="260">
        <v>200</v>
      </c>
      <c r="K32" s="262">
        <f>35000000-7500000</f>
        <v>27500000</v>
      </c>
      <c r="L32" s="390">
        <v>206</v>
      </c>
      <c r="M32" s="348">
        <f>35000000-7500000</f>
        <v>27500000</v>
      </c>
      <c r="N32" s="316">
        <v>183</v>
      </c>
      <c r="O32" s="359"/>
      <c r="P32" s="342">
        <v>1000000</v>
      </c>
      <c r="Q32" s="342">
        <v>5000000</v>
      </c>
      <c r="R32" s="342">
        <v>5000000</v>
      </c>
      <c r="S32" s="342">
        <v>5000000</v>
      </c>
      <c r="T32" s="342">
        <v>5000000</v>
      </c>
      <c r="U32" s="342">
        <v>5000000</v>
      </c>
      <c r="V32" s="342">
        <f>VLOOKUP(L32,[2]Hoja2!N$2:T$40,7,0)</f>
        <v>1500000</v>
      </c>
      <c r="W32" s="342"/>
      <c r="X32" s="342"/>
      <c r="Y32" s="342"/>
      <c r="Z32" s="342"/>
      <c r="AA32" s="194">
        <f t="shared" si="8"/>
        <v>27500000</v>
      </c>
      <c r="AB32" s="237">
        <f t="shared" si="9"/>
        <v>0</v>
      </c>
      <c r="AC32" s="505">
        <v>184</v>
      </c>
      <c r="AD32" s="340" t="s">
        <v>221</v>
      </c>
      <c r="AE32" s="340" t="s">
        <v>161</v>
      </c>
      <c r="AF32" s="826">
        <f t="shared" si="0"/>
        <v>183</v>
      </c>
      <c r="AG32" s="445">
        <f>35000000-7500000</f>
        <v>27500000</v>
      </c>
      <c r="AH32" s="728">
        <f t="shared" si="3"/>
        <v>0</v>
      </c>
    </row>
    <row r="33" spans="1:34" s="7" customFormat="1">
      <c r="A33" s="345" t="s">
        <v>96</v>
      </c>
      <c r="B33" s="269">
        <f t="shared" si="4"/>
        <v>22282000</v>
      </c>
      <c r="C33" s="126" t="s">
        <v>45</v>
      </c>
      <c r="D33" s="126" t="s">
        <v>50</v>
      </c>
      <c r="E33" s="126" t="s">
        <v>93</v>
      </c>
      <c r="F33" s="126" t="s">
        <v>94</v>
      </c>
      <c r="G33" s="126" t="s">
        <v>95</v>
      </c>
      <c r="H33" s="799">
        <v>25</v>
      </c>
      <c r="I33" s="395"/>
      <c r="J33" s="260">
        <v>32</v>
      </c>
      <c r="K33" s="262">
        <f>22282000</f>
        <v>22282000</v>
      </c>
      <c r="L33" s="390">
        <v>224</v>
      </c>
      <c r="M33" s="348">
        <v>22282000</v>
      </c>
      <c r="N33" s="316">
        <v>61</v>
      </c>
      <c r="O33" s="359"/>
      <c r="P33" s="342">
        <v>685600</v>
      </c>
      <c r="Q33" s="342">
        <v>3428000</v>
      </c>
      <c r="R33" s="342">
        <v>3428000</v>
      </c>
      <c r="S33" s="342">
        <v>3428000</v>
      </c>
      <c r="T33" s="342">
        <v>3428000</v>
      </c>
      <c r="U33" s="342">
        <v>3428000</v>
      </c>
      <c r="V33" s="342"/>
      <c r="W33" s="342"/>
      <c r="X33" s="342"/>
      <c r="Y33" s="342"/>
      <c r="Z33" s="342"/>
      <c r="AA33" s="194">
        <f t="shared" si="8"/>
        <v>17825600</v>
      </c>
      <c r="AB33" s="237">
        <f t="shared" si="9"/>
        <v>4456400</v>
      </c>
      <c r="AC33" s="505">
        <v>185</v>
      </c>
      <c r="AD33" s="800" t="s">
        <v>284</v>
      </c>
      <c r="AE33" s="340" t="s">
        <v>162</v>
      </c>
      <c r="AF33" s="826">
        <f t="shared" si="0"/>
        <v>61</v>
      </c>
      <c r="AG33" s="445">
        <f>22282000</f>
        <v>22282000</v>
      </c>
      <c r="AH33" s="728">
        <f t="shared" si="3"/>
        <v>0</v>
      </c>
    </row>
    <row r="34" spans="1:34" s="7" customFormat="1">
      <c r="A34" s="345" t="s">
        <v>96</v>
      </c>
      <c r="B34" s="269">
        <f t="shared" si="4"/>
        <v>6856000</v>
      </c>
      <c r="C34" s="126" t="s">
        <v>45</v>
      </c>
      <c r="D34" s="126" t="s">
        <v>50</v>
      </c>
      <c r="E34" s="126" t="s">
        <v>93</v>
      </c>
      <c r="F34" s="126" t="s">
        <v>94</v>
      </c>
      <c r="G34" s="126" t="s">
        <v>95</v>
      </c>
      <c r="H34" s="799">
        <v>400</v>
      </c>
      <c r="I34" s="395">
        <v>6856000</v>
      </c>
      <c r="J34" s="260">
        <v>507</v>
      </c>
      <c r="K34" s="262">
        <v>6856000</v>
      </c>
      <c r="L34" s="390">
        <v>674</v>
      </c>
      <c r="M34" s="348">
        <v>6856000</v>
      </c>
      <c r="N34" s="316">
        <v>61</v>
      </c>
      <c r="O34" s="359"/>
      <c r="P34" s="342"/>
      <c r="Q34" s="342"/>
      <c r="R34" s="342"/>
      <c r="S34" s="342"/>
      <c r="T34" s="342"/>
      <c r="U34" s="342"/>
      <c r="V34" s="342"/>
      <c r="W34" s="342"/>
      <c r="X34" s="342"/>
      <c r="Y34" s="342"/>
      <c r="Z34" s="342"/>
      <c r="AA34" s="194">
        <f t="shared" si="8"/>
        <v>0</v>
      </c>
      <c r="AB34" s="237">
        <f t="shared" si="9"/>
        <v>6856000</v>
      </c>
      <c r="AC34" s="506" t="s">
        <v>148</v>
      </c>
      <c r="AD34" s="800" t="s">
        <v>291</v>
      </c>
      <c r="AE34" s="340" t="s">
        <v>162</v>
      </c>
      <c r="AF34" s="826">
        <f t="shared" si="0"/>
        <v>61</v>
      </c>
      <c r="AG34" s="445">
        <v>6856000</v>
      </c>
      <c r="AH34" s="728">
        <f t="shared" si="3"/>
        <v>0</v>
      </c>
    </row>
    <row r="35" spans="1:34" s="7" customFormat="1">
      <c r="A35" s="345" t="s">
        <v>96</v>
      </c>
      <c r="B35" s="269">
        <f t="shared" si="4"/>
        <v>22282000</v>
      </c>
      <c r="C35" s="126" t="s">
        <v>45</v>
      </c>
      <c r="D35" s="126" t="s">
        <v>50</v>
      </c>
      <c r="E35" s="126" t="s">
        <v>93</v>
      </c>
      <c r="F35" s="126" t="s">
        <v>94</v>
      </c>
      <c r="G35" s="126" t="s">
        <v>95</v>
      </c>
      <c r="H35" s="799">
        <v>26</v>
      </c>
      <c r="I35" s="395"/>
      <c r="J35" s="260">
        <v>31</v>
      </c>
      <c r="K35" s="262">
        <f>22282000</f>
        <v>22282000</v>
      </c>
      <c r="L35" s="390">
        <v>168</v>
      </c>
      <c r="M35" s="348">
        <f>22282000</f>
        <v>22282000</v>
      </c>
      <c r="N35" s="316">
        <v>60</v>
      </c>
      <c r="O35" s="359"/>
      <c r="P35" s="342">
        <v>685600</v>
      </c>
      <c r="Q35" s="342">
        <v>3428000</v>
      </c>
      <c r="R35" s="342">
        <v>3428000</v>
      </c>
      <c r="S35" s="342">
        <v>3428000</v>
      </c>
      <c r="T35" s="342">
        <v>3428000</v>
      </c>
      <c r="U35" s="342">
        <v>3428000</v>
      </c>
      <c r="V35" s="342"/>
      <c r="W35" s="342"/>
      <c r="X35" s="342"/>
      <c r="Y35" s="342"/>
      <c r="Z35" s="342"/>
      <c r="AA35" s="194">
        <f t="shared" si="8"/>
        <v>17825600</v>
      </c>
      <c r="AB35" s="237">
        <f t="shared" si="9"/>
        <v>4456400</v>
      </c>
      <c r="AC35" s="505">
        <v>186</v>
      </c>
      <c r="AD35" s="800" t="s">
        <v>284</v>
      </c>
      <c r="AE35" s="340" t="s">
        <v>163</v>
      </c>
      <c r="AF35" s="826">
        <f t="shared" si="0"/>
        <v>60</v>
      </c>
      <c r="AG35" s="445">
        <f>22282000</f>
        <v>22282000</v>
      </c>
      <c r="AH35" s="728">
        <f t="shared" si="3"/>
        <v>0</v>
      </c>
    </row>
    <row r="36" spans="1:34" s="7" customFormat="1">
      <c r="A36" s="345" t="s">
        <v>96</v>
      </c>
      <c r="B36" s="269">
        <f t="shared" si="4"/>
        <v>6856000</v>
      </c>
      <c r="C36" s="126" t="s">
        <v>45</v>
      </c>
      <c r="D36" s="126" t="s">
        <v>50</v>
      </c>
      <c r="E36" s="126" t="s">
        <v>93</v>
      </c>
      <c r="F36" s="126" t="s">
        <v>94</v>
      </c>
      <c r="G36" s="126" t="s">
        <v>95</v>
      </c>
      <c r="H36" s="799">
        <v>403</v>
      </c>
      <c r="I36" s="395">
        <v>6856000</v>
      </c>
      <c r="J36" s="260">
        <v>508</v>
      </c>
      <c r="K36" s="262">
        <v>6856000</v>
      </c>
      <c r="L36" s="390">
        <v>672</v>
      </c>
      <c r="M36" s="348">
        <v>6856000</v>
      </c>
      <c r="N36" s="316">
        <v>60</v>
      </c>
      <c r="O36" s="359"/>
      <c r="P36" s="342"/>
      <c r="Q36" s="342"/>
      <c r="R36" s="342"/>
      <c r="S36" s="342"/>
      <c r="T36" s="342"/>
      <c r="U36" s="342"/>
      <c r="V36" s="342"/>
      <c r="W36" s="342"/>
      <c r="X36" s="342"/>
      <c r="Y36" s="342"/>
      <c r="Z36" s="342"/>
      <c r="AA36" s="194">
        <f t="shared" si="8"/>
        <v>0</v>
      </c>
      <c r="AB36" s="237">
        <f t="shared" si="9"/>
        <v>6856000</v>
      </c>
      <c r="AC36" s="506" t="s">
        <v>148</v>
      </c>
      <c r="AD36" s="800" t="s">
        <v>292</v>
      </c>
      <c r="AE36" s="340" t="s">
        <v>163</v>
      </c>
      <c r="AF36" s="826">
        <f t="shared" si="0"/>
        <v>60</v>
      </c>
      <c r="AG36" s="445">
        <v>6856000</v>
      </c>
      <c r="AH36" s="728">
        <f t="shared" si="3"/>
        <v>0</v>
      </c>
    </row>
    <row r="37" spans="1:34" s="7" customFormat="1">
      <c r="A37" s="345" t="s">
        <v>96</v>
      </c>
      <c r="B37" s="269">
        <f t="shared" si="4"/>
        <v>22282000</v>
      </c>
      <c r="C37" s="126" t="s">
        <v>45</v>
      </c>
      <c r="D37" s="126" t="s">
        <v>50</v>
      </c>
      <c r="E37" s="126" t="s">
        <v>93</v>
      </c>
      <c r="F37" s="126" t="s">
        <v>94</v>
      </c>
      <c r="G37" s="126" t="s">
        <v>95</v>
      </c>
      <c r="H37" s="799">
        <v>27</v>
      </c>
      <c r="I37" s="395"/>
      <c r="J37" s="260">
        <v>30</v>
      </c>
      <c r="K37" s="262">
        <f>22282000</f>
        <v>22282000</v>
      </c>
      <c r="L37" s="390">
        <v>147</v>
      </c>
      <c r="M37" s="348">
        <v>22282000</v>
      </c>
      <c r="N37" s="316">
        <v>63</v>
      </c>
      <c r="O37" s="359"/>
      <c r="P37" s="342">
        <v>685600</v>
      </c>
      <c r="Q37" s="342">
        <v>3428000</v>
      </c>
      <c r="R37" s="342">
        <v>3428000</v>
      </c>
      <c r="S37" s="342">
        <v>3428000</v>
      </c>
      <c r="T37" s="342">
        <v>3428000</v>
      </c>
      <c r="U37" s="342">
        <v>3428000</v>
      </c>
      <c r="V37" s="342"/>
      <c r="W37" s="342"/>
      <c r="X37" s="342"/>
      <c r="Y37" s="342"/>
      <c r="Z37" s="342"/>
      <c r="AA37" s="194">
        <f t="shared" si="8"/>
        <v>17825600</v>
      </c>
      <c r="AB37" s="237">
        <f t="shared" si="9"/>
        <v>4456400</v>
      </c>
      <c r="AC37" s="505">
        <v>187</v>
      </c>
      <c r="AD37" s="800" t="s">
        <v>284</v>
      </c>
      <c r="AE37" s="340" t="s">
        <v>164</v>
      </c>
      <c r="AF37" s="826">
        <f t="shared" si="0"/>
        <v>63</v>
      </c>
      <c r="AG37" s="445">
        <f>22282000</f>
        <v>22282000</v>
      </c>
      <c r="AH37" s="728">
        <f t="shared" si="3"/>
        <v>0</v>
      </c>
    </row>
    <row r="38" spans="1:34" s="7" customFormat="1">
      <c r="A38" s="345" t="s">
        <v>96</v>
      </c>
      <c r="B38" s="269">
        <f t="shared" si="4"/>
        <v>6856000</v>
      </c>
      <c r="C38" s="126" t="s">
        <v>45</v>
      </c>
      <c r="D38" s="126" t="s">
        <v>50</v>
      </c>
      <c r="E38" s="126" t="s">
        <v>93</v>
      </c>
      <c r="F38" s="126" t="s">
        <v>94</v>
      </c>
      <c r="G38" s="126" t="s">
        <v>95</v>
      </c>
      <c r="H38" s="799">
        <v>402</v>
      </c>
      <c r="I38" s="395">
        <v>6856000</v>
      </c>
      <c r="J38" s="260">
        <v>509</v>
      </c>
      <c r="K38" s="262">
        <v>6856000</v>
      </c>
      <c r="L38" s="390">
        <v>673</v>
      </c>
      <c r="M38" s="348">
        <v>6856000</v>
      </c>
      <c r="N38" s="316">
        <v>63</v>
      </c>
      <c r="O38" s="359"/>
      <c r="P38" s="342"/>
      <c r="Q38" s="342"/>
      <c r="R38" s="342"/>
      <c r="S38" s="342"/>
      <c r="T38" s="342"/>
      <c r="U38" s="342"/>
      <c r="V38" s="342"/>
      <c r="W38" s="342"/>
      <c r="X38" s="342"/>
      <c r="Y38" s="342"/>
      <c r="Z38" s="342"/>
      <c r="AA38" s="194">
        <f t="shared" si="8"/>
        <v>0</v>
      </c>
      <c r="AB38" s="237">
        <f t="shared" si="9"/>
        <v>6856000</v>
      </c>
      <c r="AC38" s="506" t="s">
        <v>148</v>
      </c>
      <c r="AD38" s="800" t="s">
        <v>293</v>
      </c>
      <c r="AE38" s="340" t="s">
        <v>164</v>
      </c>
      <c r="AF38" s="826">
        <f t="shared" si="0"/>
        <v>63</v>
      </c>
      <c r="AG38" s="445">
        <v>6856000</v>
      </c>
      <c r="AH38" s="728">
        <f t="shared" si="3"/>
        <v>0</v>
      </c>
    </row>
    <row r="39" spans="1:34" s="7" customFormat="1">
      <c r="A39" s="345" t="s">
        <v>96</v>
      </c>
      <c r="B39" s="269">
        <f t="shared" si="4"/>
        <v>22282000</v>
      </c>
      <c r="C39" s="126" t="s">
        <v>45</v>
      </c>
      <c r="D39" s="126" t="s">
        <v>50</v>
      </c>
      <c r="E39" s="126" t="s">
        <v>93</v>
      </c>
      <c r="F39" s="126" t="s">
        <v>94</v>
      </c>
      <c r="G39" s="126" t="s">
        <v>95</v>
      </c>
      <c r="H39" s="799">
        <v>28</v>
      </c>
      <c r="I39" s="395"/>
      <c r="J39" s="260">
        <v>29</v>
      </c>
      <c r="K39" s="262">
        <f>22282000</f>
        <v>22282000</v>
      </c>
      <c r="L39" s="390">
        <v>99</v>
      </c>
      <c r="M39" s="348">
        <v>22282000</v>
      </c>
      <c r="N39" s="316">
        <v>62</v>
      </c>
      <c r="O39" s="359"/>
      <c r="P39" s="342">
        <v>1028400</v>
      </c>
      <c r="Q39" s="342">
        <v>3428000</v>
      </c>
      <c r="R39" s="342">
        <v>3428000</v>
      </c>
      <c r="S39" s="342">
        <v>3428000</v>
      </c>
      <c r="T39" s="342">
        <v>3428000</v>
      </c>
      <c r="U39" s="342">
        <v>3428000</v>
      </c>
      <c r="V39" s="342"/>
      <c r="W39" s="342"/>
      <c r="X39" s="342"/>
      <c r="Y39" s="342"/>
      <c r="Z39" s="342"/>
      <c r="AA39" s="194">
        <f t="shared" si="8"/>
        <v>18168400</v>
      </c>
      <c r="AB39" s="237">
        <f t="shared" si="9"/>
        <v>4113600</v>
      </c>
      <c r="AC39" s="505">
        <v>188</v>
      </c>
      <c r="AD39" s="800" t="s">
        <v>284</v>
      </c>
      <c r="AE39" s="340" t="s">
        <v>165</v>
      </c>
      <c r="AF39" s="826">
        <f t="shared" si="0"/>
        <v>62</v>
      </c>
      <c r="AG39" s="445">
        <f>22282000</f>
        <v>22282000</v>
      </c>
      <c r="AH39" s="728">
        <f t="shared" si="3"/>
        <v>0</v>
      </c>
    </row>
    <row r="40" spans="1:34" s="7" customFormat="1">
      <c r="A40" s="345" t="s">
        <v>96</v>
      </c>
      <c r="B40" s="269">
        <f t="shared" si="4"/>
        <v>6856000</v>
      </c>
      <c r="C40" s="126" t="s">
        <v>45</v>
      </c>
      <c r="D40" s="126" t="s">
        <v>50</v>
      </c>
      <c r="E40" s="126" t="s">
        <v>93</v>
      </c>
      <c r="F40" s="126" t="s">
        <v>94</v>
      </c>
      <c r="G40" s="126" t="s">
        <v>95</v>
      </c>
      <c r="H40" s="799">
        <v>398</v>
      </c>
      <c r="I40" s="395">
        <v>6856000</v>
      </c>
      <c r="J40" s="260">
        <v>510</v>
      </c>
      <c r="K40" s="262">
        <v>6856000</v>
      </c>
      <c r="L40" s="390">
        <v>665</v>
      </c>
      <c r="M40" s="348">
        <v>6856000</v>
      </c>
      <c r="N40" s="316">
        <v>62</v>
      </c>
      <c r="O40" s="359"/>
      <c r="P40" s="342"/>
      <c r="Q40" s="342"/>
      <c r="R40" s="342"/>
      <c r="S40" s="342"/>
      <c r="T40" s="342"/>
      <c r="U40" s="342"/>
      <c r="V40" s="342"/>
      <c r="W40" s="342"/>
      <c r="X40" s="342"/>
      <c r="Y40" s="342"/>
      <c r="Z40" s="342"/>
      <c r="AA40" s="194">
        <f t="shared" si="8"/>
        <v>0</v>
      </c>
      <c r="AB40" s="237">
        <f t="shared" si="9"/>
        <v>6856000</v>
      </c>
      <c r="AC40" s="506" t="s">
        <v>148</v>
      </c>
      <c r="AD40" s="800" t="s">
        <v>294</v>
      </c>
      <c r="AE40" s="340" t="s">
        <v>165</v>
      </c>
      <c r="AF40" s="826">
        <f t="shared" si="0"/>
        <v>62</v>
      </c>
      <c r="AG40" s="445">
        <v>6856000</v>
      </c>
      <c r="AH40" s="728">
        <f t="shared" si="3"/>
        <v>0</v>
      </c>
    </row>
    <row r="41" spans="1:34" s="7" customFormat="1">
      <c r="A41" s="345" t="s">
        <v>96</v>
      </c>
      <c r="B41" s="269">
        <f t="shared" si="4"/>
        <v>102960000</v>
      </c>
      <c r="C41" s="126" t="s">
        <v>45</v>
      </c>
      <c r="D41" s="126" t="s">
        <v>50</v>
      </c>
      <c r="E41" s="126" t="s">
        <v>93</v>
      </c>
      <c r="F41" s="126" t="s">
        <v>94</v>
      </c>
      <c r="G41" s="126" t="s">
        <v>95</v>
      </c>
      <c r="H41" s="274">
        <v>44</v>
      </c>
      <c r="I41" s="395"/>
      <c r="J41" s="260">
        <v>59</v>
      </c>
      <c r="K41" s="262">
        <v>102960000</v>
      </c>
      <c r="L41" s="390">
        <v>202</v>
      </c>
      <c r="M41" s="348">
        <v>102960000</v>
      </c>
      <c r="N41" s="316">
        <v>188</v>
      </c>
      <c r="O41" s="359"/>
      <c r="P41" s="342">
        <v>1872000</v>
      </c>
      <c r="Q41" s="342">
        <v>9360000</v>
      </c>
      <c r="R41" s="342">
        <v>9360000</v>
      </c>
      <c r="S41" s="342">
        <v>9360000</v>
      </c>
      <c r="T41" s="342">
        <v>9360000</v>
      </c>
      <c r="U41" s="342">
        <v>9360000</v>
      </c>
      <c r="V41" s="342">
        <f>VLOOKUP(L41,[2]Hoja2!N$2:T$40,7,0)</f>
        <v>9360000</v>
      </c>
      <c r="W41" s="342"/>
      <c r="X41" s="342"/>
      <c r="Y41" s="342"/>
      <c r="Z41" s="342"/>
      <c r="AA41" s="194">
        <f t="shared" si="8"/>
        <v>58032000</v>
      </c>
      <c r="AB41" s="237">
        <f t="shared" si="9"/>
        <v>44928000</v>
      </c>
      <c r="AC41" s="505">
        <v>191</v>
      </c>
      <c r="AD41" s="340" t="s">
        <v>222</v>
      </c>
      <c r="AE41" s="340" t="s">
        <v>166</v>
      </c>
      <c r="AF41" s="826">
        <f t="shared" si="0"/>
        <v>188</v>
      </c>
      <c r="AG41" s="445">
        <v>102960000</v>
      </c>
      <c r="AH41" s="728">
        <f t="shared" si="3"/>
        <v>0</v>
      </c>
    </row>
    <row r="42" spans="1:34" s="7" customFormat="1">
      <c r="A42" s="345" t="s">
        <v>96</v>
      </c>
      <c r="B42" s="269">
        <f t="shared" si="4"/>
        <v>26000000</v>
      </c>
      <c r="C42" s="126" t="s">
        <v>45</v>
      </c>
      <c r="D42" s="126" t="s">
        <v>50</v>
      </c>
      <c r="E42" s="126" t="s">
        <v>93</v>
      </c>
      <c r="F42" s="126" t="s">
        <v>94</v>
      </c>
      <c r="G42" s="126" t="s">
        <v>95</v>
      </c>
      <c r="H42" s="799">
        <v>21</v>
      </c>
      <c r="I42" s="395"/>
      <c r="J42" s="260">
        <v>38</v>
      </c>
      <c r="K42" s="262">
        <f>26000000</f>
        <v>26000000</v>
      </c>
      <c r="L42" s="390">
        <v>210</v>
      </c>
      <c r="M42" s="348">
        <v>26000000</v>
      </c>
      <c r="N42" s="316">
        <v>156</v>
      </c>
      <c r="O42" s="359"/>
      <c r="P42" s="342">
        <v>800000</v>
      </c>
      <c r="Q42" s="342">
        <v>4000000</v>
      </c>
      <c r="R42" s="342">
        <v>4000000</v>
      </c>
      <c r="S42" s="342">
        <v>4000000</v>
      </c>
      <c r="T42" s="342">
        <v>4000000</v>
      </c>
      <c r="U42" s="342">
        <v>4000000</v>
      </c>
      <c r="V42" s="342">
        <f>VLOOKUP(L42,[2]Hoja2!N$2:T$40,7,0)</f>
        <v>4133333</v>
      </c>
      <c r="W42" s="342"/>
      <c r="X42" s="342"/>
      <c r="Y42" s="342"/>
      <c r="Z42" s="342"/>
      <c r="AA42" s="194">
        <f t="shared" si="8"/>
        <v>24933333</v>
      </c>
      <c r="AB42" s="237">
        <f t="shared" si="9"/>
        <v>1066667</v>
      </c>
      <c r="AC42" s="505">
        <v>193</v>
      </c>
      <c r="AD42" s="800" t="s">
        <v>285</v>
      </c>
      <c r="AE42" s="340" t="s">
        <v>167</v>
      </c>
      <c r="AF42" s="826">
        <f t="shared" si="0"/>
        <v>156</v>
      </c>
      <c r="AG42" s="445">
        <f>26000000</f>
        <v>26000000</v>
      </c>
      <c r="AH42" s="728">
        <f t="shared" si="3"/>
        <v>0</v>
      </c>
    </row>
    <row r="43" spans="1:34" s="7" customFormat="1">
      <c r="A43" s="345" t="s">
        <v>96</v>
      </c>
      <c r="B43" s="269">
        <f t="shared" si="4"/>
        <v>8000000</v>
      </c>
      <c r="C43" s="126" t="s">
        <v>45</v>
      </c>
      <c r="D43" s="126" t="s">
        <v>50</v>
      </c>
      <c r="E43" s="126" t="s">
        <v>93</v>
      </c>
      <c r="F43" s="126" t="s">
        <v>94</v>
      </c>
      <c r="G43" s="126" t="s">
        <v>95</v>
      </c>
      <c r="H43" s="799">
        <v>401</v>
      </c>
      <c r="I43" s="395">
        <v>8000000</v>
      </c>
      <c r="J43" s="260">
        <v>502</v>
      </c>
      <c r="K43" s="262">
        <v>8000000</v>
      </c>
      <c r="L43" s="390">
        <v>670</v>
      </c>
      <c r="M43" s="348">
        <v>8000000</v>
      </c>
      <c r="N43" s="316">
        <v>156</v>
      </c>
      <c r="O43" s="359"/>
      <c r="P43" s="342"/>
      <c r="Q43" s="342"/>
      <c r="R43" s="342"/>
      <c r="S43" s="342"/>
      <c r="T43" s="342"/>
      <c r="U43" s="342"/>
      <c r="V43" s="342"/>
      <c r="W43" s="342"/>
      <c r="X43" s="342"/>
      <c r="Y43" s="342"/>
      <c r="Z43" s="342"/>
      <c r="AA43" s="194">
        <f t="shared" si="8"/>
        <v>0</v>
      </c>
      <c r="AB43" s="237">
        <f t="shared" si="9"/>
        <v>8000000</v>
      </c>
      <c r="AC43" s="506" t="s">
        <v>148</v>
      </c>
      <c r="AD43" s="800" t="s">
        <v>296</v>
      </c>
      <c r="AE43" s="340" t="s">
        <v>167</v>
      </c>
      <c r="AF43" s="826">
        <f t="shared" si="0"/>
        <v>156</v>
      </c>
      <c r="AG43" s="445">
        <v>8000000</v>
      </c>
      <c r="AH43" s="728">
        <f t="shared" si="3"/>
        <v>0</v>
      </c>
    </row>
    <row r="44" spans="1:34" s="7" customFormat="1">
      <c r="A44" s="345" t="s">
        <v>96</v>
      </c>
      <c r="B44" s="269">
        <f t="shared" si="4"/>
        <v>26000000</v>
      </c>
      <c r="C44" s="126" t="s">
        <v>45</v>
      </c>
      <c r="D44" s="126" t="s">
        <v>50</v>
      </c>
      <c r="E44" s="126" t="s">
        <v>93</v>
      </c>
      <c r="F44" s="126" t="s">
        <v>94</v>
      </c>
      <c r="G44" s="126" t="s">
        <v>95</v>
      </c>
      <c r="H44" s="799">
        <v>22</v>
      </c>
      <c r="I44" s="395"/>
      <c r="J44" s="260">
        <v>35</v>
      </c>
      <c r="K44" s="262">
        <f>26000000</f>
        <v>26000000</v>
      </c>
      <c r="L44" s="390">
        <v>153</v>
      </c>
      <c r="M44" s="348">
        <v>26000000</v>
      </c>
      <c r="N44" s="316">
        <v>140</v>
      </c>
      <c r="O44" s="359"/>
      <c r="P44" s="342">
        <v>1066666</v>
      </c>
      <c r="Q44" s="342">
        <v>4000000</v>
      </c>
      <c r="R44" s="342">
        <v>4000000</v>
      </c>
      <c r="S44" s="342">
        <v>4000000</v>
      </c>
      <c r="T44" s="342">
        <v>4000000</v>
      </c>
      <c r="U44" s="342">
        <v>4000000</v>
      </c>
      <c r="V44" s="342">
        <f>VLOOKUP(L44,[2]Hoja2!N$2:T$40,7,0)</f>
        <v>4133333</v>
      </c>
      <c r="W44" s="342"/>
      <c r="X44" s="342"/>
      <c r="Y44" s="342"/>
      <c r="Z44" s="342"/>
      <c r="AA44" s="194">
        <f t="shared" si="8"/>
        <v>25199999</v>
      </c>
      <c r="AB44" s="237">
        <f t="shared" si="9"/>
        <v>800001</v>
      </c>
      <c r="AC44" s="505">
        <v>194</v>
      </c>
      <c r="AD44" s="800" t="s">
        <v>285</v>
      </c>
      <c r="AE44" s="340" t="s">
        <v>168</v>
      </c>
      <c r="AF44" s="826">
        <f t="shared" si="0"/>
        <v>140</v>
      </c>
      <c r="AG44" s="445">
        <f>26000000</f>
        <v>26000000</v>
      </c>
      <c r="AH44" s="728">
        <f t="shared" si="3"/>
        <v>0</v>
      </c>
    </row>
    <row r="45" spans="1:34" s="7" customFormat="1">
      <c r="A45" s="345" t="s">
        <v>96</v>
      </c>
      <c r="B45" s="269">
        <f t="shared" si="4"/>
        <v>8000000</v>
      </c>
      <c r="C45" s="126" t="s">
        <v>45</v>
      </c>
      <c r="D45" s="126" t="s">
        <v>50</v>
      </c>
      <c r="E45" s="126" t="s">
        <v>93</v>
      </c>
      <c r="F45" s="126" t="s">
        <v>94</v>
      </c>
      <c r="G45" s="126" t="s">
        <v>95</v>
      </c>
      <c r="H45" s="799">
        <v>399</v>
      </c>
      <c r="I45" s="395">
        <v>8000000</v>
      </c>
      <c r="J45" s="260">
        <v>503</v>
      </c>
      <c r="K45" s="262">
        <v>8000000</v>
      </c>
      <c r="L45" s="390">
        <v>671</v>
      </c>
      <c r="M45" s="348">
        <v>8000000</v>
      </c>
      <c r="N45" s="316">
        <v>140</v>
      </c>
      <c r="O45" s="359"/>
      <c r="P45" s="342"/>
      <c r="Q45" s="342"/>
      <c r="R45" s="342"/>
      <c r="S45" s="342"/>
      <c r="T45" s="342"/>
      <c r="U45" s="342"/>
      <c r="V45" s="342"/>
      <c r="W45" s="342"/>
      <c r="X45" s="342"/>
      <c r="Y45" s="342"/>
      <c r="Z45" s="342"/>
      <c r="AA45" s="194">
        <f t="shared" si="8"/>
        <v>0</v>
      </c>
      <c r="AB45" s="237">
        <f t="shared" si="9"/>
        <v>8000000</v>
      </c>
      <c r="AC45" s="506" t="s">
        <v>148</v>
      </c>
      <c r="AD45" s="800" t="s">
        <v>297</v>
      </c>
      <c r="AE45" s="340" t="s">
        <v>168</v>
      </c>
      <c r="AF45" s="826">
        <f t="shared" si="0"/>
        <v>140</v>
      </c>
      <c r="AG45" s="445">
        <v>8000000</v>
      </c>
      <c r="AH45" s="728">
        <f t="shared" si="3"/>
        <v>0</v>
      </c>
    </row>
    <row r="46" spans="1:34" s="7" customFormat="1">
      <c r="A46" s="345" t="s">
        <v>96</v>
      </c>
      <c r="B46" s="269">
        <f t="shared" si="4"/>
        <v>26000000</v>
      </c>
      <c r="C46" s="126" t="s">
        <v>45</v>
      </c>
      <c r="D46" s="126" t="s">
        <v>50</v>
      </c>
      <c r="E46" s="126" t="s">
        <v>93</v>
      </c>
      <c r="F46" s="126" t="s">
        <v>94</v>
      </c>
      <c r="G46" s="126" t="s">
        <v>95</v>
      </c>
      <c r="H46" s="799">
        <v>23</v>
      </c>
      <c r="I46" s="395"/>
      <c r="J46" s="260">
        <v>37</v>
      </c>
      <c r="K46" s="262">
        <f>26000000</f>
        <v>26000000</v>
      </c>
      <c r="L46" s="390">
        <v>275</v>
      </c>
      <c r="M46" s="348">
        <v>26000000</v>
      </c>
      <c r="N46" s="316">
        <v>200</v>
      </c>
      <c r="O46" s="359"/>
      <c r="P46" s="342">
        <v>666667</v>
      </c>
      <c r="Q46" s="342">
        <v>4000000</v>
      </c>
      <c r="R46" s="342">
        <v>4000000</v>
      </c>
      <c r="S46" s="342">
        <v>4000000</v>
      </c>
      <c r="T46" s="342">
        <v>4000000</v>
      </c>
      <c r="U46" s="342">
        <v>4000000</v>
      </c>
      <c r="V46" s="342">
        <f>VLOOKUP(L46,[2]Hoja2!N$2:T$40,7,0)</f>
        <v>4133333</v>
      </c>
      <c r="W46" s="342"/>
      <c r="X46" s="342"/>
      <c r="Y46" s="342"/>
      <c r="Z46" s="342"/>
      <c r="AA46" s="194">
        <f t="shared" si="8"/>
        <v>24800000</v>
      </c>
      <c r="AB46" s="237">
        <f t="shared" si="9"/>
        <v>1200000</v>
      </c>
      <c r="AC46" s="505">
        <v>195</v>
      </c>
      <c r="AD46" s="800" t="s">
        <v>285</v>
      </c>
      <c r="AE46" s="340" t="s">
        <v>169</v>
      </c>
      <c r="AF46" s="826">
        <f t="shared" si="0"/>
        <v>200</v>
      </c>
      <c r="AG46" s="445">
        <f>26000000</f>
        <v>26000000</v>
      </c>
      <c r="AH46" s="728">
        <f t="shared" si="3"/>
        <v>0</v>
      </c>
    </row>
    <row r="47" spans="1:34" s="7" customFormat="1">
      <c r="A47" s="345" t="s">
        <v>96</v>
      </c>
      <c r="B47" s="269">
        <f t="shared" si="4"/>
        <v>8000000</v>
      </c>
      <c r="C47" s="126" t="s">
        <v>45</v>
      </c>
      <c r="D47" s="126" t="s">
        <v>50</v>
      </c>
      <c r="E47" s="126" t="s">
        <v>93</v>
      </c>
      <c r="F47" s="126" t="s">
        <v>94</v>
      </c>
      <c r="G47" s="126" t="s">
        <v>95</v>
      </c>
      <c r="H47" s="799">
        <v>405</v>
      </c>
      <c r="I47" s="395">
        <v>8000000</v>
      </c>
      <c r="J47" s="260">
        <v>504</v>
      </c>
      <c r="K47" s="262">
        <v>8000000</v>
      </c>
      <c r="L47" s="390">
        <v>668</v>
      </c>
      <c r="M47" s="348">
        <v>8000000</v>
      </c>
      <c r="N47" s="316">
        <v>200</v>
      </c>
      <c r="O47" s="359"/>
      <c r="P47" s="342"/>
      <c r="Q47" s="342"/>
      <c r="R47" s="342"/>
      <c r="S47" s="342"/>
      <c r="T47" s="342"/>
      <c r="U47" s="342"/>
      <c r="V47" s="342"/>
      <c r="W47" s="342"/>
      <c r="X47" s="342"/>
      <c r="Y47" s="342"/>
      <c r="Z47" s="342"/>
      <c r="AA47" s="194">
        <f t="shared" si="8"/>
        <v>0</v>
      </c>
      <c r="AB47" s="237">
        <f t="shared" si="9"/>
        <v>8000000</v>
      </c>
      <c r="AC47" s="506" t="s">
        <v>148</v>
      </c>
      <c r="AD47" s="800" t="s">
        <v>298</v>
      </c>
      <c r="AE47" s="340" t="s">
        <v>169</v>
      </c>
      <c r="AF47" s="826">
        <f t="shared" si="0"/>
        <v>200</v>
      </c>
      <c r="AG47" s="445">
        <v>8000000</v>
      </c>
      <c r="AH47" s="728">
        <f t="shared" si="3"/>
        <v>0</v>
      </c>
    </row>
    <row r="48" spans="1:34" s="7" customFormat="1">
      <c r="A48" s="345" t="s">
        <v>96</v>
      </c>
      <c r="B48" s="269">
        <f t="shared" si="4"/>
        <v>26000000</v>
      </c>
      <c r="C48" s="126" t="s">
        <v>45</v>
      </c>
      <c r="D48" s="126" t="s">
        <v>50</v>
      </c>
      <c r="E48" s="126" t="s">
        <v>93</v>
      </c>
      <c r="F48" s="126" t="s">
        <v>94</v>
      </c>
      <c r="G48" s="126" t="s">
        <v>95</v>
      </c>
      <c r="H48" s="799">
        <v>24</v>
      </c>
      <c r="I48" s="395"/>
      <c r="J48" s="260">
        <v>36</v>
      </c>
      <c r="K48" s="262">
        <f>26000000</f>
        <v>26000000</v>
      </c>
      <c r="L48" s="390">
        <v>322</v>
      </c>
      <c r="M48" s="348">
        <v>26000000</v>
      </c>
      <c r="N48" s="316">
        <v>216</v>
      </c>
      <c r="O48" s="359"/>
      <c r="P48" s="342">
        <v>666667</v>
      </c>
      <c r="Q48" s="342">
        <v>4000000</v>
      </c>
      <c r="R48" s="342">
        <v>4000000</v>
      </c>
      <c r="S48" s="342">
        <v>4000000</v>
      </c>
      <c r="T48" s="342">
        <v>4000000</v>
      </c>
      <c r="U48" s="342">
        <v>4000000</v>
      </c>
      <c r="V48" s="342">
        <f>VLOOKUP(L48,[2]Hoja2!N$2:T$40,7,0)</f>
        <v>4133333</v>
      </c>
      <c r="W48" s="342"/>
      <c r="X48" s="342"/>
      <c r="Y48" s="342"/>
      <c r="Z48" s="342"/>
      <c r="AA48" s="194">
        <f t="shared" si="8"/>
        <v>24800000</v>
      </c>
      <c r="AB48" s="237">
        <f t="shared" si="9"/>
        <v>1200000</v>
      </c>
      <c r="AC48" s="505">
        <v>196</v>
      </c>
      <c r="AD48" s="800" t="s">
        <v>286</v>
      </c>
      <c r="AE48" s="340" t="s">
        <v>170</v>
      </c>
      <c r="AF48" s="826">
        <f t="shared" si="0"/>
        <v>216</v>
      </c>
      <c r="AG48" s="445">
        <f>26000000</f>
        <v>26000000</v>
      </c>
      <c r="AH48" s="728">
        <f t="shared" si="3"/>
        <v>0</v>
      </c>
    </row>
    <row r="49" spans="1:34" s="7" customFormat="1">
      <c r="A49" s="345" t="s">
        <v>96</v>
      </c>
      <c r="B49" s="269">
        <f t="shared" si="4"/>
        <v>8000000</v>
      </c>
      <c r="C49" s="126" t="s">
        <v>45</v>
      </c>
      <c r="D49" s="126" t="s">
        <v>50</v>
      </c>
      <c r="E49" s="126" t="s">
        <v>93</v>
      </c>
      <c r="F49" s="126" t="s">
        <v>94</v>
      </c>
      <c r="G49" s="126" t="s">
        <v>95</v>
      </c>
      <c r="H49" s="799">
        <v>404</v>
      </c>
      <c r="I49" s="395">
        <v>8000000</v>
      </c>
      <c r="J49" s="260">
        <v>505</v>
      </c>
      <c r="K49" s="262">
        <v>8000000</v>
      </c>
      <c r="L49" s="390">
        <v>669</v>
      </c>
      <c r="M49" s="348">
        <v>8000000</v>
      </c>
      <c r="N49" s="316">
        <v>216</v>
      </c>
      <c r="O49" s="359"/>
      <c r="P49" s="342"/>
      <c r="Q49" s="342"/>
      <c r="R49" s="342"/>
      <c r="S49" s="342"/>
      <c r="T49" s="342"/>
      <c r="U49" s="342"/>
      <c r="V49" s="342"/>
      <c r="W49" s="342"/>
      <c r="X49" s="342"/>
      <c r="Y49" s="342"/>
      <c r="Z49" s="342"/>
      <c r="AA49" s="194"/>
      <c r="AB49" s="237"/>
      <c r="AC49" s="506" t="s">
        <v>148</v>
      </c>
      <c r="AD49" s="800" t="s">
        <v>299</v>
      </c>
      <c r="AE49" s="340" t="s">
        <v>170</v>
      </c>
      <c r="AF49" s="826">
        <f t="shared" si="0"/>
        <v>216</v>
      </c>
      <c r="AG49" s="445">
        <v>8000000</v>
      </c>
      <c r="AH49" s="728">
        <f t="shared" si="3"/>
        <v>0</v>
      </c>
    </row>
    <row r="50" spans="1:34" s="7" customFormat="1">
      <c r="A50" s="345" t="s">
        <v>96</v>
      </c>
      <c r="B50" s="269">
        <f t="shared" si="4"/>
        <v>50470000</v>
      </c>
      <c r="C50" s="126" t="s">
        <v>45</v>
      </c>
      <c r="D50" s="126" t="s">
        <v>50</v>
      </c>
      <c r="E50" s="126" t="s">
        <v>93</v>
      </c>
      <c r="F50" s="126" t="s">
        <v>94</v>
      </c>
      <c r="G50" s="126" t="s">
        <v>95</v>
      </c>
      <c r="H50" s="274">
        <v>86</v>
      </c>
      <c r="I50" s="395"/>
      <c r="J50" s="260">
        <v>98</v>
      </c>
      <c r="K50" s="262">
        <v>50470000</v>
      </c>
      <c r="L50" s="390">
        <v>151</v>
      </c>
      <c r="M50" s="348">
        <v>50470000</v>
      </c>
      <c r="N50" s="316">
        <v>126</v>
      </c>
      <c r="O50" s="359"/>
      <c r="P50" s="342">
        <v>1922667</v>
      </c>
      <c r="Q50" s="342">
        <v>7210000</v>
      </c>
      <c r="R50" s="342">
        <v>7210000</v>
      </c>
      <c r="S50" s="342">
        <v>7210000</v>
      </c>
      <c r="T50" s="342">
        <v>7210000</v>
      </c>
      <c r="U50" s="342">
        <v>7210000</v>
      </c>
      <c r="V50" s="342">
        <f>VLOOKUP(L50,[2]Hoja2!N$2:T$40,7,0)</f>
        <v>7210000</v>
      </c>
      <c r="W50" s="342"/>
      <c r="X50" s="342"/>
      <c r="Y50" s="342"/>
      <c r="Z50" s="342"/>
      <c r="AA50" s="194">
        <f t="shared" si="1"/>
        <v>45182667</v>
      </c>
      <c r="AB50" s="237">
        <f t="shared" si="2"/>
        <v>5287333</v>
      </c>
      <c r="AC50" s="505">
        <v>197</v>
      </c>
      <c r="AD50" s="340" t="s">
        <v>223</v>
      </c>
      <c r="AE50" s="340" t="s">
        <v>171</v>
      </c>
      <c r="AF50" s="826">
        <f t="shared" si="0"/>
        <v>126</v>
      </c>
      <c r="AG50" s="445">
        <v>50470000</v>
      </c>
      <c r="AH50" s="728">
        <f t="shared" si="3"/>
        <v>0</v>
      </c>
    </row>
    <row r="51" spans="1:34" s="7" customFormat="1">
      <c r="A51" s="345"/>
      <c r="B51" s="269"/>
      <c r="C51" s="126"/>
      <c r="D51" s="126"/>
      <c r="E51" s="126"/>
      <c r="F51" s="126"/>
      <c r="G51" s="126"/>
      <c r="H51" s="274"/>
      <c r="I51" s="395"/>
      <c r="J51" s="260"/>
      <c r="K51" s="262"/>
      <c r="L51" s="390"/>
      <c r="M51" s="348"/>
      <c r="N51" s="316">
        <v>126</v>
      </c>
      <c r="O51" s="359"/>
      <c r="P51" s="342"/>
      <c r="Q51" s="342"/>
      <c r="R51" s="342"/>
      <c r="S51" s="342"/>
      <c r="T51" s="342"/>
      <c r="U51" s="342"/>
      <c r="V51" s="342"/>
      <c r="W51" s="342"/>
      <c r="X51" s="342"/>
      <c r="Y51" s="342"/>
      <c r="Z51" s="342"/>
      <c r="AA51" s="194"/>
      <c r="AB51" s="237"/>
      <c r="AC51" s="506" t="s">
        <v>148</v>
      </c>
      <c r="AD51" s="839" t="s">
        <v>319</v>
      </c>
      <c r="AE51" s="340" t="s">
        <v>171</v>
      </c>
      <c r="AF51" s="826">
        <v>126</v>
      </c>
      <c r="AG51" s="445">
        <v>14420000</v>
      </c>
      <c r="AH51" s="728">
        <f t="shared" si="3"/>
        <v>14420000</v>
      </c>
    </row>
    <row r="52" spans="1:34" s="7" customFormat="1">
      <c r="A52" s="345" t="s">
        <v>96</v>
      </c>
      <c r="B52" s="269">
        <f t="shared" si="4"/>
        <v>32500000</v>
      </c>
      <c r="C52" s="126" t="s">
        <v>45</v>
      </c>
      <c r="D52" s="126" t="s">
        <v>50</v>
      </c>
      <c r="E52" s="126" t="s">
        <v>93</v>
      </c>
      <c r="F52" s="126" t="s">
        <v>94</v>
      </c>
      <c r="G52" s="126" t="s">
        <v>95</v>
      </c>
      <c r="H52" s="274">
        <v>153</v>
      </c>
      <c r="I52" s="395"/>
      <c r="J52" s="260">
        <v>174</v>
      </c>
      <c r="K52" s="262">
        <v>32500000</v>
      </c>
      <c r="L52" s="390">
        <v>228</v>
      </c>
      <c r="M52" s="348">
        <v>32500000</v>
      </c>
      <c r="N52" s="316">
        <v>187</v>
      </c>
      <c r="O52" s="359"/>
      <c r="P52" s="342"/>
      <c r="Q52" s="342">
        <v>6500000</v>
      </c>
      <c r="R52" s="342">
        <v>6500000</v>
      </c>
      <c r="S52" s="342">
        <v>6500000</v>
      </c>
      <c r="T52" s="342">
        <v>6500000</v>
      </c>
      <c r="U52" s="342">
        <v>6500000</v>
      </c>
      <c r="V52" s="342"/>
      <c r="W52" s="342"/>
      <c r="X52" s="342"/>
      <c r="Y52" s="342"/>
      <c r="Z52" s="342"/>
      <c r="AA52" s="194">
        <f t="shared" si="1"/>
        <v>32500000</v>
      </c>
      <c r="AB52" s="237">
        <f t="shared" si="2"/>
        <v>0</v>
      </c>
      <c r="AC52" s="505">
        <v>198</v>
      </c>
      <c r="AD52" s="340" t="s">
        <v>224</v>
      </c>
      <c r="AE52" s="340" t="s">
        <v>172</v>
      </c>
      <c r="AF52" s="826">
        <f t="shared" si="0"/>
        <v>187</v>
      </c>
      <c r="AG52" s="445">
        <v>32500000</v>
      </c>
      <c r="AH52" s="728">
        <f t="shared" si="3"/>
        <v>0</v>
      </c>
    </row>
    <row r="53" spans="1:34" s="7" customFormat="1">
      <c r="A53" s="345" t="s">
        <v>96</v>
      </c>
      <c r="B53" s="269">
        <f t="shared" si="4"/>
        <v>14100000</v>
      </c>
      <c r="C53" s="126" t="s">
        <v>45</v>
      </c>
      <c r="D53" s="126" t="s">
        <v>50</v>
      </c>
      <c r="E53" s="126" t="s">
        <v>93</v>
      </c>
      <c r="F53" s="126" t="s">
        <v>94</v>
      </c>
      <c r="G53" s="126" t="s">
        <v>95</v>
      </c>
      <c r="H53" s="274">
        <v>207</v>
      </c>
      <c r="I53" s="395"/>
      <c r="J53" s="260">
        <v>223</v>
      </c>
      <c r="K53" s="262">
        <f>14100000</f>
        <v>14100000</v>
      </c>
      <c r="L53" s="390">
        <v>221</v>
      </c>
      <c r="M53" s="262">
        <f>14100000</f>
        <v>14100000</v>
      </c>
      <c r="N53" s="316">
        <v>199</v>
      </c>
      <c r="O53" s="359"/>
      <c r="P53" s="342">
        <v>587500</v>
      </c>
      <c r="Q53" s="342">
        <v>3525000</v>
      </c>
      <c r="R53" s="342">
        <v>3525000</v>
      </c>
      <c r="S53" s="342">
        <v>3525000</v>
      </c>
      <c r="T53" s="342">
        <f>3525000-587500</f>
        <v>2937500</v>
      </c>
      <c r="U53" s="342"/>
      <c r="V53" s="342"/>
      <c r="W53" s="342"/>
      <c r="X53" s="342"/>
      <c r="Y53" s="342"/>
      <c r="Z53" s="342"/>
      <c r="AA53" s="194">
        <f t="shared" si="1"/>
        <v>14100000</v>
      </c>
      <c r="AB53" s="237">
        <f t="shared" si="2"/>
        <v>0</v>
      </c>
      <c r="AC53" s="505">
        <v>199</v>
      </c>
      <c r="AD53" s="340" t="s">
        <v>255</v>
      </c>
      <c r="AE53" s="340" t="s">
        <v>173</v>
      </c>
      <c r="AF53" s="826">
        <f t="shared" si="0"/>
        <v>199</v>
      </c>
      <c r="AG53" s="445">
        <f>14100000</f>
        <v>14100000</v>
      </c>
      <c r="AH53" s="728">
        <f t="shared" si="3"/>
        <v>0</v>
      </c>
    </row>
    <row r="54" spans="1:34" s="7" customFormat="1">
      <c r="A54" s="345" t="s">
        <v>96</v>
      </c>
      <c r="B54" s="269">
        <f t="shared" si="4"/>
        <v>3525000</v>
      </c>
      <c r="C54" s="126" t="s">
        <v>45</v>
      </c>
      <c r="D54" s="126" t="s">
        <v>50</v>
      </c>
      <c r="E54" s="126" t="s">
        <v>93</v>
      </c>
      <c r="F54" s="126" t="s">
        <v>94</v>
      </c>
      <c r="G54" s="126" t="s">
        <v>95</v>
      </c>
      <c r="H54" s="274">
        <v>340</v>
      </c>
      <c r="I54" s="395">
        <v>3525000</v>
      </c>
      <c r="J54" s="260">
        <v>436</v>
      </c>
      <c r="K54" s="262">
        <v>3525000</v>
      </c>
      <c r="L54" s="390">
        <v>521</v>
      </c>
      <c r="M54" s="262">
        <v>3525000</v>
      </c>
      <c r="N54" s="316">
        <v>199</v>
      </c>
      <c r="O54" s="359"/>
      <c r="P54" s="342"/>
      <c r="Q54" s="342"/>
      <c r="R54" s="342"/>
      <c r="S54" s="342"/>
      <c r="T54" s="342">
        <v>587500</v>
      </c>
      <c r="U54" s="342"/>
      <c r="V54" s="342"/>
      <c r="W54" s="342"/>
      <c r="X54" s="342"/>
      <c r="Y54" s="342"/>
      <c r="Z54" s="342"/>
      <c r="AA54" s="194">
        <f>SUM(O54:Z54)</f>
        <v>587500</v>
      </c>
      <c r="AB54" s="237">
        <f>M54-AA54</f>
        <v>2937500</v>
      </c>
      <c r="AC54" s="506" t="s">
        <v>148</v>
      </c>
      <c r="AD54" s="800" t="s">
        <v>300</v>
      </c>
      <c r="AE54" s="340" t="s">
        <v>173</v>
      </c>
      <c r="AF54" s="826">
        <f t="shared" si="0"/>
        <v>199</v>
      </c>
      <c r="AG54" s="445">
        <v>3525000</v>
      </c>
      <c r="AH54" s="728">
        <f>AG54-M54</f>
        <v>0</v>
      </c>
    </row>
    <row r="55" spans="1:34" s="7" customFormat="1">
      <c r="A55" s="345" t="s">
        <v>96</v>
      </c>
      <c r="B55" s="269">
        <f t="shared" si="4"/>
        <v>36000000</v>
      </c>
      <c r="C55" s="126" t="s">
        <v>45</v>
      </c>
      <c r="D55" s="126" t="s">
        <v>50</v>
      </c>
      <c r="E55" s="126" t="s">
        <v>93</v>
      </c>
      <c r="F55" s="126" t="s">
        <v>94</v>
      </c>
      <c r="G55" s="126" t="s">
        <v>95</v>
      </c>
      <c r="H55" s="274">
        <v>160</v>
      </c>
      <c r="I55" s="395"/>
      <c r="J55" s="260">
        <v>175</v>
      </c>
      <c r="K55" s="262">
        <v>36000000</v>
      </c>
      <c r="L55" s="390">
        <v>205</v>
      </c>
      <c r="M55" s="348">
        <v>36000000</v>
      </c>
      <c r="N55" s="316">
        <v>185</v>
      </c>
      <c r="O55" s="359"/>
      <c r="P55" s="342">
        <v>900000</v>
      </c>
      <c r="Q55" s="342">
        <v>4500000</v>
      </c>
      <c r="R55" s="342">
        <v>4500000</v>
      </c>
      <c r="S55" s="342">
        <v>4500000</v>
      </c>
      <c r="T55" s="342">
        <v>4500000</v>
      </c>
      <c r="U55" s="342">
        <v>4500000</v>
      </c>
      <c r="V55" s="342">
        <f>VLOOKUP(L55,[2]Hoja2!N$2:T$40,7,0)</f>
        <v>4500000</v>
      </c>
      <c r="W55" s="342"/>
      <c r="X55" s="342"/>
      <c r="Y55" s="342"/>
      <c r="Z55" s="342"/>
      <c r="AA55" s="194">
        <f t="shared" si="1"/>
        <v>27900000</v>
      </c>
      <c r="AB55" s="237">
        <f t="shared" si="2"/>
        <v>8100000</v>
      </c>
      <c r="AC55" s="505">
        <v>200</v>
      </c>
      <c r="AD55" s="340" t="s">
        <v>225</v>
      </c>
      <c r="AE55" s="340" t="s">
        <v>174</v>
      </c>
      <c r="AF55" s="826">
        <f t="shared" si="0"/>
        <v>185</v>
      </c>
      <c r="AG55" s="445">
        <v>36000000</v>
      </c>
      <c r="AH55" s="728">
        <f t="shared" si="3"/>
        <v>0</v>
      </c>
    </row>
    <row r="56" spans="1:34" s="7" customFormat="1">
      <c r="A56" s="345" t="s">
        <v>96</v>
      </c>
      <c r="B56" s="269">
        <f t="shared" si="4"/>
        <v>14000000</v>
      </c>
      <c r="C56" s="126" t="s">
        <v>45</v>
      </c>
      <c r="D56" s="126" t="s">
        <v>50</v>
      </c>
      <c r="E56" s="126" t="s">
        <v>93</v>
      </c>
      <c r="F56" s="126" t="s">
        <v>94</v>
      </c>
      <c r="G56" s="126" t="s">
        <v>95</v>
      </c>
      <c r="H56" s="274">
        <v>279</v>
      </c>
      <c r="I56" s="395"/>
      <c r="J56" s="260">
        <v>290</v>
      </c>
      <c r="K56" s="262">
        <f>14000000</f>
        <v>14000000</v>
      </c>
      <c r="L56" s="390">
        <v>304</v>
      </c>
      <c r="M56" s="348">
        <f>14000000</f>
        <v>14000000</v>
      </c>
      <c r="N56" s="316">
        <v>267</v>
      </c>
      <c r="O56" s="359"/>
      <c r="P56" s="342">
        <v>233333</v>
      </c>
      <c r="Q56" s="342">
        <v>3500000</v>
      </c>
      <c r="R56" s="342">
        <v>3500000</v>
      </c>
      <c r="S56" s="342">
        <v>3500000</v>
      </c>
      <c r="T56" s="342">
        <f>3500000-233333</f>
        <v>3266667</v>
      </c>
      <c r="U56" s="342">
        <v>0</v>
      </c>
      <c r="V56" s="342"/>
      <c r="W56" s="342"/>
      <c r="X56" s="342"/>
      <c r="Y56" s="342"/>
      <c r="Z56" s="342"/>
      <c r="AA56" s="194">
        <f t="shared" si="1"/>
        <v>14000000</v>
      </c>
      <c r="AB56" s="237">
        <f t="shared" si="2"/>
        <v>0</v>
      </c>
      <c r="AC56" s="505">
        <v>203</v>
      </c>
      <c r="AD56" s="340" t="s">
        <v>254</v>
      </c>
      <c r="AE56" s="340" t="s">
        <v>175</v>
      </c>
      <c r="AF56" s="826">
        <f t="shared" si="0"/>
        <v>267</v>
      </c>
      <c r="AG56" s="445">
        <f>14000000</f>
        <v>14000000</v>
      </c>
      <c r="AH56" s="728">
        <f t="shared" si="3"/>
        <v>0</v>
      </c>
    </row>
    <row r="57" spans="1:34" s="7" customFormat="1">
      <c r="A57" s="345" t="s">
        <v>96</v>
      </c>
      <c r="B57" s="269">
        <f t="shared" si="4"/>
        <v>3500000</v>
      </c>
      <c r="C57" s="126" t="s">
        <v>45</v>
      </c>
      <c r="D57" s="126" t="s">
        <v>50</v>
      </c>
      <c r="E57" s="126" t="s">
        <v>93</v>
      </c>
      <c r="F57" s="126" t="s">
        <v>94</v>
      </c>
      <c r="G57" s="126" t="s">
        <v>95</v>
      </c>
      <c r="H57" s="274">
        <v>341</v>
      </c>
      <c r="I57" s="395">
        <v>3500000</v>
      </c>
      <c r="J57" s="260">
        <v>437</v>
      </c>
      <c r="K57" s="262">
        <v>3500000</v>
      </c>
      <c r="L57" s="390">
        <v>520</v>
      </c>
      <c r="M57" s="348">
        <v>3500000</v>
      </c>
      <c r="N57" s="316">
        <v>267</v>
      </c>
      <c r="O57" s="359"/>
      <c r="P57" s="342"/>
      <c r="Q57" s="342"/>
      <c r="R57" s="342"/>
      <c r="S57" s="342"/>
      <c r="T57" s="342">
        <v>233333</v>
      </c>
      <c r="U57" s="342">
        <v>3266667</v>
      </c>
      <c r="V57" s="342"/>
      <c r="W57" s="342"/>
      <c r="X57" s="342"/>
      <c r="Y57" s="342"/>
      <c r="Z57" s="342"/>
      <c r="AA57" s="194">
        <f>SUM(O57:Z57)</f>
        <v>3500000</v>
      </c>
      <c r="AB57" s="237">
        <f>M57-AA57</f>
        <v>0</v>
      </c>
      <c r="AC57" s="506" t="s">
        <v>148</v>
      </c>
      <c r="AD57" s="800" t="s">
        <v>301</v>
      </c>
      <c r="AE57" s="340" t="s">
        <v>175</v>
      </c>
      <c r="AF57" s="826">
        <f t="shared" si="0"/>
        <v>267</v>
      </c>
      <c r="AG57" s="445">
        <v>3500000</v>
      </c>
      <c r="AH57" s="728">
        <f t="shared" si="3"/>
        <v>0</v>
      </c>
    </row>
    <row r="58" spans="1:34" s="7" customFormat="1">
      <c r="A58" s="345" t="s">
        <v>96</v>
      </c>
      <c r="B58" s="269">
        <f t="shared" si="4"/>
        <v>25000000</v>
      </c>
      <c r="C58" s="126" t="s">
        <v>45</v>
      </c>
      <c r="D58" s="126" t="s">
        <v>50</v>
      </c>
      <c r="E58" s="126" t="s">
        <v>93</v>
      </c>
      <c r="F58" s="126" t="s">
        <v>94</v>
      </c>
      <c r="G58" s="126" t="s">
        <v>95</v>
      </c>
      <c r="H58" s="274">
        <v>223</v>
      </c>
      <c r="I58" s="395"/>
      <c r="J58" s="260">
        <v>239</v>
      </c>
      <c r="K58" s="262">
        <f>25000000</f>
        <v>25000000</v>
      </c>
      <c r="L58" s="390">
        <v>222</v>
      </c>
      <c r="M58" s="262">
        <f>25000000</f>
        <v>25000000</v>
      </c>
      <c r="N58" s="316">
        <v>201</v>
      </c>
      <c r="O58" s="359"/>
      <c r="P58" s="342"/>
      <c r="Q58" s="342">
        <v>5000000</v>
      </c>
      <c r="R58" s="342">
        <v>0</v>
      </c>
      <c r="S58" s="342">
        <v>5000000</v>
      </c>
      <c r="T58" s="342">
        <v>5000000</v>
      </c>
      <c r="U58" s="342">
        <f>6666667+3333333</f>
        <v>10000000</v>
      </c>
      <c r="V58" s="342"/>
      <c r="W58" s="342"/>
      <c r="X58" s="342"/>
      <c r="Y58" s="342"/>
      <c r="Z58" s="342"/>
      <c r="AA58" s="194">
        <f>SUM(O58:Z58)</f>
        <v>25000000</v>
      </c>
      <c r="AB58" s="237">
        <f>M58-AA58</f>
        <v>0</v>
      </c>
      <c r="AC58" s="505">
        <v>204</v>
      </c>
      <c r="AD58" s="340" t="s">
        <v>278</v>
      </c>
      <c r="AE58" s="340" t="s">
        <v>176</v>
      </c>
      <c r="AF58" s="826">
        <f t="shared" si="0"/>
        <v>201</v>
      </c>
      <c r="AG58" s="445">
        <v>25000000</v>
      </c>
      <c r="AH58" s="728">
        <f t="shared" si="3"/>
        <v>0</v>
      </c>
    </row>
    <row r="59" spans="1:34" s="7" customFormat="1">
      <c r="A59" s="345" t="s">
        <v>96</v>
      </c>
      <c r="B59" s="269">
        <f t="shared" si="4"/>
        <v>10000000</v>
      </c>
      <c r="C59" s="126" t="s">
        <v>45</v>
      </c>
      <c r="D59" s="126" t="s">
        <v>50</v>
      </c>
      <c r="E59" s="126" t="s">
        <v>93</v>
      </c>
      <c r="F59" s="126" t="s">
        <v>94</v>
      </c>
      <c r="G59" s="126" t="s">
        <v>95</v>
      </c>
      <c r="H59" s="274">
        <v>352</v>
      </c>
      <c r="I59" s="395">
        <v>10000000</v>
      </c>
      <c r="J59" s="260">
        <v>461</v>
      </c>
      <c r="K59" s="262">
        <v>10000000</v>
      </c>
      <c r="L59" s="390">
        <v>587</v>
      </c>
      <c r="M59" s="262">
        <v>10000000</v>
      </c>
      <c r="N59" s="316">
        <v>201</v>
      </c>
      <c r="O59" s="359"/>
      <c r="P59" s="342"/>
      <c r="Q59" s="342"/>
      <c r="R59" s="342"/>
      <c r="S59" s="342"/>
      <c r="T59" s="342"/>
      <c r="U59" s="342"/>
      <c r="V59" s="342">
        <f>VLOOKUP(L59,[2]Hoja2!N$2:T$40,7,0)</f>
        <v>5000000</v>
      </c>
      <c r="W59" s="342"/>
      <c r="X59" s="342"/>
      <c r="Y59" s="342"/>
      <c r="Z59" s="342"/>
      <c r="AA59" s="194">
        <f>SUM(O59:Z59)</f>
        <v>5000000</v>
      </c>
      <c r="AB59" s="237">
        <f>M59-AA59</f>
        <v>5000000</v>
      </c>
      <c r="AC59" s="506" t="s">
        <v>148</v>
      </c>
      <c r="AD59" s="800" t="s">
        <v>303</v>
      </c>
      <c r="AE59" s="800" t="s">
        <v>302</v>
      </c>
      <c r="AF59" s="826">
        <f t="shared" si="0"/>
        <v>201</v>
      </c>
      <c r="AG59" s="445">
        <v>10000000</v>
      </c>
      <c r="AH59" s="728">
        <f t="shared" si="3"/>
        <v>0</v>
      </c>
    </row>
    <row r="60" spans="1:34" s="7" customFormat="1">
      <c r="A60" s="345" t="s">
        <v>96</v>
      </c>
      <c r="B60" s="269">
        <f t="shared" si="4"/>
        <v>30000000</v>
      </c>
      <c r="C60" s="126" t="s">
        <v>45</v>
      </c>
      <c r="D60" s="126" t="s">
        <v>50</v>
      </c>
      <c r="E60" s="126" t="s">
        <v>93</v>
      </c>
      <c r="F60" s="126" t="s">
        <v>94</v>
      </c>
      <c r="G60" s="126" t="s">
        <v>95</v>
      </c>
      <c r="H60" s="274">
        <v>198</v>
      </c>
      <c r="I60" s="395"/>
      <c r="J60" s="260">
        <v>213</v>
      </c>
      <c r="K60" s="262">
        <v>30000000</v>
      </c>
      <c r="L60" s="390">
        <v>249</v>
      </c>
      <c r="M60" s="348">
        <v>30000000</v>
      </c>
      <c r="N60" s="316">
        <v>207</v>
      </c>
      <c r="O60" s="359"/>
      <c r="P60" s="342">
        <v>833333</v>
      </c>
      <c r="Q60" s="342">
        <v>5000000</v>
      </c>
      <c r="R60" s="342">
        <v>5000000</v>
      </c>
      <c r="S60" s="342">
        <v>5000000</v>
      </c>
      <c r="T60" s="342">
        <v>5000000</v>
      </c>
      <c r="U60" s="342">
        <v>5000000</v>
      </c>
      <c r="V60" s="342">
        <f>VLOOKUP(L60,[2]Hoja2!N$2:T$40,7,0)</f>
        <v>4166667</v>
      </c>
      <c r="W60" s="342"/>
      <c r="X60" s="342"/>
      <c r="Y60" s="342"/>
      <c r="Z60" s="342"/>
      <c r="AA60" s="194">
        <f t="shared" si="1"/>
        <v>30000000</v>
      </c>
      <c r="AB60" s="237">
        <f t="shared" si="2"/>
        <v>0</v>
      </c>
      <c r="AC60" s="505">
        <v>205</v>
      </c>
      <c r="AD60" s="340" t="s">
        <v>226</v>
      </c>
      <c r="AE60" s="340" t="s">
        <v>177</v>
      </c>
      <c r="AF60" s="826">
        <f t="shared" si="0"/>
        <v>207</v>
      </c>
      <c r="AG60" s="445">
        <v>30000000</v>
      </c>
      <c r="AH60" s="728">
        <f t="shared" si="3"/>
        <v>0</v>
      </c>
    </row>
    <row r="61" spans="1:34" s="7" customFormat="1">
      <c r="A61" s="345" t="s">
        <v>96</v>
      </c>
      <c r="B61" s="269">
        <f t="shared" si="4"/>
        <v>28000000</v>
      </c>
      <c r="C61" s="126" t="s">
        <v>45</v>
      </c>
      <c r="D61" s="126" t="s">
        <v>50</v>
      </c>
      <c r="E61" s="126" t="s">
        <v>93</v>
      </c>
      <c r="F61" s="126" t="s">
        <v>94</v>
      </c>
      <c r="G61" s="126" t="s">
        <v>95</v>
      </c>
      <c r="H61" s="274">
        <v>177</v>
      </c>
      <c r="I61" s="395"/>
      <c r="J61" s="260">
        <v>195</v>
      </c>
      <c r="K61" s="262">
        <v>28000000</v>
      </c>
      <c r="L61" s="390">
        <v>207</v>
      </c>
      <c r="M61" s="348">
        <v>28000000</v>
      </c>
      <c r="N61" s="316">
        <v>193</v>
      </c>
      <c r="O61" s="359"/>
      <c r="P61" s="342">
        <v>700000</v>
      </c>
      <c r="Q61" s="342">
        <v>3500000</v>
      </c>
      <c r="R61" s="342">
        <v>3500000</v>
      </c>
      <c r="S61" s="342">
        <v>3500000</v>
      </c>
      <c r="T61" s="342">
        <v>3500000</v>
      </c>
      <c r="U61" s="342">
        <v>3500000</v>
      </c>
      <c r="V61" s="342">
        <f>VLOOKUP(L61,[2]Hoja2!N$2:T$40,7,0)</f>
        <v>2100000</v>
      </c>
      <c r="W61" s="342"/>
      <c r="X61" s="342"/>
      <c r="Y61" s="342"/>
      <c r="Z61" s="342"/>
      <c r="AA61" s="194">
        <f t="shared" si="1"/>
        <v>20300000</v>
      </c>
      <c r="AB61" s="237">
        <f t="shared" si="2"/>
        <v>7700000</v>
      </c>
      <c r="AC61" s="505">
        <v>206</v>
      </c>
      <c r="AD61" s="340" t="s">
        <v>227</v>
      </c>
      <c r="AE61" s="340" t="s">
        <v>178</v>
      </c>
      <c r="AF61" s="826">
        <f t="shared" si="0"/>
        <v>193</v>
      </c>
      <c r="AG61" s="445">
        <v>28000000</v>
      </c>
      <c r="AH61" s="728">
        <f t="shared" si="3"/>
        <v>0</v>
      </c>
    </row>
    <row r="62" spans="1:34" s="7" customFormat="1">
      <c r="A62" s="345" t="s">
        <v>96</v>
      </c>
      <c r="B62" s="269">
        <f t="shared" si="4"/>
        <v>29400000</v>
      </c>
      <c r="C62" s="126" t="s">
        <v>45</v>
      </c>
      <c r="D62" s="126" t="s">
        <v>50</v>
      </c>
      <c r="E62" s="126" t="s">
        <v>93</v>
      </c>
      <c r="F62" s="126" t="s">
        <v>94</v>
      </c>
      <c r="G62" s="126" t="s">
        <v>95</v>
      </c>
      <c r="H62" s="274">
        <v>126</v>
      </c>
      <c r="I62" s="395"/>
      <c r="J62" s="260">
        <v>130</v>
      </c>
      <c r="K62" s="262">
        <v>29400000</v>
      </c>
      <c r="L62" s="390">
        <v>170</v>
      </c>
      <c r="M62" s="348">
        <v>29400000</v>
      </c>
      <c r="N62" s="316">
        <v>149</v>
      </c>
      <c r="O62" s="359"/>
      <c r="P62" s="342">
        <v>980000</v>
      </c>
      <c r="Q62" s="342">
        <v>4200000</v>
      </c>
      <c r="R62" s="342">
        <v>4200000</v>
      </c>
      <c r="S62" s="342">
        <v>4200000</v>
      </c>
      <c r="T62" s="342">
        <v>4200000</v>
      </c>
      <c r="U62" s="342">
        <v>4200000</v>
      </c>
      <c r="V62" s="342">
        <f>VLOOKUP(L62,[2]Hoja2!N$2:T$40,7,0)</f>
        <v>4200000</v>
      </c>
      <c r="W62" s="342"/>
      <c r="X62" s="342"/>
      <c r="Y62" s="342"/>
      <c r="Z62" s="342"/>
      <c r="AA62" s="194">
        <f t="shared" si="1"/>
        <v>26180000</v>
      </c>
      <c r="AB62" s="237">
        <f t="shared" si="2"/>
        <v>3220000</v>
      </c>
      <c r="AC62" s="505">
        <v>207</v>
      </c>
      <c r="AD62" s="340" t="s">
        <v>228</v>
      </c>
      <c r="AE62" s="340" t="s">
        <v>179</v>
      </c>
      <c r="AF62" s="826">
        <f t="shared" si="0"/>
        <v>149</v>
      </c>
      <c r="AG62" s="445">
        <v>29400000</v>
      </c>
      <c r="AH62" s="728">
        <f t="shared" si="3"/>
        <v>0</v>
      </c>
    </row>
    <row r="63" spans="1:34" s="7" customFormat="1">
      <c r="A63" s="345" t="s">
        <v>96</v>
      </c>
      <c r="B63" s="269">
        <f t="shared" si="4"/>
        <v>37800000</v>
      </c>
      <c r="C63" s="126" t="s">
        <v>45</v>
      </c>
      <c r="D63" s="126" t="s">
        <v>50</v>
      </c>
      <c r="E63" s="126" t="s">
        <v>93</v>
      </c>
      <c r="F63" s="126" t="s">
        <v>94</v>
      </c>
      <c r="G63" s="126" t="s">
        <v>95</v>
      </c>
      <c r="H63" s="274">
        <v>188</v>
      </c>
      <c r="I63" s="395"/>
      <c r="J63" s="260">
        <v>201</v>
      </c>
      <c r="K63" s="262">
        <v>37800000</v>
      </c>
      <c r="L63" s="390">
        <v>218</v>
      </c>
      <c r="M63" s="348">
        <v>37800000</v>
      </c>
      <c r="N63" s="316">
        <v>206</v>
      </c>
      <c r="O63" s="359"/>
      <c r="P63" s="342">
        <v>900000</v>
      </c>
      <c r="Q63" s="342">
        <v>5400000</v>
      </c>
      <c r="R63" s="342">
        <v>5400000</v>
      </c>
      <c r="S63" s="342">
        <v>5400000</v>
      </c>
      <c r="T63" s="342">
        <v>5400000</v>
      </c>
      <c r="U63" s="342">
        <v>5400000</v>
      </c>
      <c r="V63" s="342">
        <f>VLOOKUP(L63,[2]Hoja2!N$2:T$40,7,0)</f>
        <v>4320000</v>
      </c>
      <c r="W63" s="342"/>
      <c r="X63" s="342"/>
      <c r="Y63" s="342"/>
      <c r="Z63" s="342"/>
      <c r="AA63" s="194">
        <f t="shared" si="1"/>
        <v>32220000</v>
      </c>
      <c r="AB63" s="237">
        <f t="shared" si="2"/>
        <v>5580000</v>
      </c>
      <c r="AC63" s="505">
        <v>209</v>
      </c>
      <c r="AD63" s="340" t="s">
        <v>229</v>
      </c>
      <c r="AE63" s="340" t="s">
        <v>180</v>
      </c>
      <c r="AF63" s="826">
        <f t="shared" si="0"/>
        <v>206</v>
      </c>
      <c r="AG63" s="445">
        <v>37800000</v>
      </c>
      <c r="AH63" s="728">
        <f t="shared" si="3"/>
        <v>0</v>
      </c>
    </row>
    <row r="64" spans="1:34" s="7" customFormat="1">
      <c r="A64" s="345" t="s">
        <v>96</v>
      </c>
      <c r="B64" s="269">
        <f t="shared" si="4"/>
        <v>36400000</v>
      </c>
      <c r="C64" s="126" t="s">
        <v>45</v>
      </c>
      <c r="D64" s="126" t="s">
        <v>50</v>
      </c>
      <c r="E64" s="126" t="s">
        <v>93</v>
      </c>
      <c r="F64" s="126" t="s">
        <v>94</v>
      </c>
      <c r="G64" s="126" t="s">
        <v>95</v>
      </c>
      <c r="H64" s="274">
        <v>197</v>
      </c>
      <c r="I64" s="395"/>
      <c r="J64" s="260">
        <v>214</v>
      </c>
      <c r="K64" s="262">
        <v>36400000</v>
      </c>
      <c r="L64" s="390">
        <v>201</v>
      </c>
      <c r="M64" s="348">
        <v>36400000</v>
      </c>
      <c r="N64" s="316">
        <v>168</v>
      </c>
      <c r="O64" s="359"/>
      <c r="P64" s="342">
        <v>1040000</v>
      </c>
      <c r="Q64" s="342">
        <v>5200000</v>
      </c>
      <c r="R64" s="342">
        <v>5200000</v>
      </c>
      <c r="S64" s="342">
        <v>5200000</v>
      </c>
      <c r="T64" s="342">
        <v>4333333</v>
      </c>
      <c r="U64" s="342">
        <v>2080000</v>
      </c>
      <c r="V64" s="342">
        <f>VLOOKUP(L64,[2]Hoja2!N$2:T$40,7,0)</f>
        <v>5200000</v>
      </c>
      <c r="W64" s="342"/>
      <c r="X64" s="342"/>
      <c r="Y64" s="342"/>
      <c r="Z64" s="342"/>
      <c r="AA64" s="194">
        <f t="shared" si="1"/>
        <v>28253333</v>
      </c>
      <c r="AB64" s="237">
        <f t="shared" si="2"/>
        <v>8146667</v>
      </c>
      <c r="AC64" s="505">
        <v>210</v>
      </c>
      <c r="AD64" s="340" t="s">
        <v>230</v>
      </c>
      <c r="AE64" s="340" t="s">
        <v>181</v>
      </c>
      <c r="AF64" s="826">
        <f t="shared" si="0"/>
        <v>168</v>
      </c>
      <c r="AG64" s="445">
        <v>36400000</v>
      </c>
      <c r="AH64" s="728">
        <f t="shared" si="3"/>
        <v>0</v>
      </c>
    </row>
    <row r="65" spans="1:34" s="7" customFormat="1">
      <c r="A65" s="345" t="s">
        <v>96</v>
      </c>
      <c r="B65" s="269">
        <f t="shared" si="4"/>
        <v>36400000</v>
      </c>
      <c r="C65" s="126" t="s">
        <v>45</v>
      </c>
      <c r="D65" s="126" t="s">
        <v>50</v>
      </c>
      <c r="E65" s="126" t="s">
        <v>93</v>
      </c>
      <c r="F65" s="126" t="s">
        <v>94</v>
      </c>
      <c r="G65" s="126" t="s">
        <v>95</v>
      </c>
      <c r="H65" s="274">
        <v>196</v>
      </c>
      <c r="I65" s="395"/>
      <c r="J65" s="260">
        <v>215</v>
      </c>
      <c r="K65" s="262">
        <v>36400000</v>
      </c>
      <c r="L65" s="390">
        <v>212</v>
      </c>
      <c r="M65" s="348">
        <v>36400000</v>
      </c>
      <c r="N65" s="316">
        <v>162</v>
      </c>
      <c r="O65" s="359"/>
      <c r="P65" s="342">
        <v>1040000</v>
      </c>
      <c r="Q65" s="342">
        <v>5200000</v>
      </c>
      <c r="R65" s="342">
        <v>5200000</v>
      </c>
      <c r="S65" s="342">
        <v>5200000</v>
      </c>
      <c r="T65" s="342">
        <v>5200000</v>
      </c>
      <c r="U65" s="342">
        <v>5200000</v>
      </c>
      <c r="V65" s="342">
        <f>VLOOKUP(L65,[2]Hoja2!N$2:T$40,7,0)</f>
        <v>5200000</v>
      </c>
      <c r="W65" s="342"/>
      <c r="X65" s="342"/>
      <c r="Y65" s="342"/>
      <c r="Z65" s="342"/>
      <c r="AA65" s="194">
        <f t="shared" si="1"/>
        <v>32240000</v>
      </c>
      <c r="AB65" s="237">
        <f t="shared" si="2"/>
        <v>4160000</v>
      </c>
      <c r="AC65" s="505">
        <v>212</v>
      </c>
      <c r="AD65" s="340" t="s">
        <v>231</v>
      </c>
      <c r="AE65" s="340" t="s">
        <v>182</v>
      </c>
      <c r="AF65" s="826">
        <f t="shared" si="0"/>
        <v>162</v>
      </c>
      <c r="AG65" s="445">
        <v>36400000</v>
      </c>
      <c r="AH65" s="728">
        <f t="shared" si="3"/>
        <v>0</v>
      </c>
    </row>
    <row r="66" spans="1:34" s="7" customFormat="1">
      <c r="A66" s="345" t="s">
        <v>96</v>
      </c>
      <c r="B66" s="269">
        <f t="shared" si="4"/>
        <v>35000000</v>
      </c>
      <c r="C66" s="126" t="s">
        <v>45</v>
      </c>
      <c r="D66" s="126" t="s">
        <v>50</v>
      </c>
      <c r="E66" s="126" t="s">
        <v>93</v>
      </c>
      <c r="F66" s="126" t="s">
        <v>94</v>
      </c>
      <c r="G66" s="126" t="s">
        <v>95</v>
      </c>
      <c r="H66" s="274">
        <v>50</v>
      </c>
      <c r="I66" s="395"/>
      <c r="J66" s="260">
        <v>65</v>
      </c>
      <c r="K66" s="262">
        <v>35000000</v>
      </c>
      <c r="L66" s="390">
        <v>149</v>
      </c>
      <c r="M66" s="348">
        <v>35000000</v>
      </c>
      <c r="N66" s="316">
        <v>116</v>
      </c>
      <c r="O66" s="359"/>
      <c r="P66" s="342">
        <v>1333333</v>
      </c>
      <c r="Q66" s="342">
        <v>5000000</v>
      </c>
      <c r="R66" s="342">
        <v>5000000</v>
      </c>
      <c r="S66" s="342">
        <v>5000000</v>
      </c>
      <c r="T66" s="342">
        <v>5000000</v>
      </c>
      <c r="U66" s="342">
        <v>5000000</v>
      </c>
      <c r="V66" s="342">
        <f>VLOOKUP(L66,[2]Hoja2!N$2:T$40,7,0)</f>
        <v>5000000</v>
      </c>
      <c r="W66" s="342"/>
      <c r="X66" s="342"/>
      <c r="Y66" s="342"/>
      <c r="Z66" s="342"/>
      <c r="AA66" s="194">
        <f t="shared" si="1"/>
        <v>31333333</v>
      </c>
      <c r="AB66" s="237">
        <f t="shared" si="2"/>
        <v>3666667</v>
      </c>
      <c r="AC66" s="505">
        <v>214</v>
      </c>
      <c r="AD66" s="340" t="s">
        <v>232</v>
      </c>
      <c r="AE66" s="340" t="s">
        <v>183</v>
      </c>
      <c r="AF66" s="826">
        <f t="shared" si="0"/>
        <v>116</v>
      </c>
      <c r="AG66" s="445">
        <v>35000000</v>
      </c>
      <c r="AH66" s="728">
        <f t="shared" si="3"/>
        <v>0</v>
      </c>
    </row>
    <row r="67" spans="1:34" s="7" customFormat="1">
      <c r="A67" s="345"/>
      <c r="B67" s="269"/>
      <c r="C67" s="126"/>
      <c r="D67" s="126"/>
      <c r="E67" s="126"/>
      <c r="F67" s="126"/>
      <c r="G67" s="126"/>
      <c r="H67" s="274"/>
      <c r="I67" s="395"/>
      <c r="J67" s="260"/>
      <c r="K67" s="262"/>
      <c r="L67" s="390"/>
      <c r="M67" s="348"/>
      <c r="N67" s="316">
        <v>116</v>
      </c>
      <c r="O67" s="359"/>
      <c r="P67" s="342"/>
      <c r="Q67" s="342"/>
      <c r="R67" s="342"/>
      <c r="S67" s="342"/>
      <c r="T67" s="342"/>
      <c r="U67" s="342"/>
      <c r="V67" s="342"/>
      <c r="W67" s="342"/>
      <c r="X67" s="342"/>
      <c r="Y67" s="342"/>
      <c r="Z67" s="342"/>
      <c r="AA67" s="194"/>
      <c r="AB67" s="237"/>
      <c r="AC67" s="506" t="s">
        <v>148</v>
      </c>
      <c r="AD67" s="839" t="s">
        <v>320</v>
      </c>
      <c r="AE67" s="340" t="s">
        <v>183</v>
      </c>
      <c r="AF67" s="826">
        <f t="shared" si="0"/>
        <v>116</v>
      </c>
      <c r="AG67" s="445">
        <v>10000000</v>
      </c>
      <c r="AH67" s="728">
        <f t="shared" si="3"/>
        <v>10000000</v>
      </c>
    </row>
    <row r="68" spans="1:34" s="7" customFormat="1">
      <c r="A68" s="345" t="s">
        <v>96</v>
      </c>
      <c r="B68" s="269">
        <f t="shared" si="4"/>
        <v>35000000</v>
      </c>
      <c r="C68" s="126" t="s">
        <v>45</v>
      </c>
      <c r="D68" s="126" t="s">
        <v>50</v>
      </c>
      <c r="E68" s="126" t="s">
        <v>93</v>
      </c>
      <c r="F68" s="126" t="s">
        <v>94</v>
      </c>
      <c r="G68" s="126" t="s">
        <v>95</v>
      </c>
      <c r="H68" s="274">
        <v>57</v>
      </c>
      <c r="I68" s="395"/>
      <c r="J68" s="260">
        <v>66</v>
      </c>
      <c r="K68" s="262">
        <v>35000000</v>
      </c>
      <c r="L68" s="390">
        <v>150</v>
      </c>
      <c r="M68" s="348">
        <v>35000000</v>
      </c>
      <c r="N68" s="316">
        <v>117</v>
      </c>
      <c r="O68" s="359"/>
      <c r="P68" s="342">
        <v>1333333</v>
      </c>
      <c r="Q68" s="342">
        <v>5000000</v>
      </c>
      <c r="R68" s="342">
        <v>5000000</v>
      </c>
      <c r="S68" s="342">
        <v>5000000</v>
      </c>
      <c r="T68" s="342">
        <v>5000000</v>
      </c>
      <c r="U68" s="342">
        <v>5000000</v>
      </c>
      <c r="V68" s="342">
        <f>VLOOKUP(L68,[2]Hoja2!N$2:T$40,7,0)</f>
        <v>5000000</v>
      </c>
      <c r="W68" s="342"/>
      <c r="X68" s="342"/>
      <c r="Y68" s="342"/>
      <c r="Z68" s="342"/>
      <c r="AA68" s="194">
        <f t="shared" si="1"/>
        <v>31333333</v>
      </c>
      <c r="AB68" s="237">
        <f t="shared" si="2"/>
        <v>3666667</v>
      </c>
      <c r="AC68" s="505">
        <v>215</v>
      </c>
      <c r="AD68" s="340" t="s">
        <v>233</v>
      </c>
      <c r="AE68" s="340" t="s">
        <v>184</v>
      </c>
      <c r="AF68" s="826">
        <f t="shared" si="0"/>
        <v>117</v>
      </c>
      <c r="AG68" s="445">
        <v>35000000</v>
      </c>
      <c r="AH68" s="728">
        <f t="shared" si="3"/>
        <v>0</v>
      </c>
    </row>
    <row r="69" spans="1:34" s="7" customFormat="1">
      <c r="A69" s="345"/>
      <c r="B69" s="269"/>
      <c r="C69" s="126"/>
      <c r="D69" s="126"/>
      <c r="E69" s="126"/>
      <c r="F69" s="126"/>
      <c r="G69" s="126"/>
      <c r="H69" s="274"/>
      <c r="I69" s="395"/>
      <c r="J69" s="260"/>
      <c r="K69" s="262"/>
      <c r="L69" s="390"/>
      <c r="M69" s="348"/>
      <c r="N69" s="316">
        <v>117</v>
      </c>
      <c r="O69" s="359"/>
      <c r="P69" s="342"/>
      <c r="Q69" s="342"/>
      <c r="R69" s="342"/>
      <c r="S69" s="342"/>
      <c r="T69" s="342"/>
      <c r="U69" s="342"/>
      <c r="V69" s="342"/>
      <c r="W69" s="342"/>
      <c r="X69" s="342"/>
      <c r="Y69" s="342"/>
      <c r="Z69" s="342"/>
      <c r="AA69" s="194"/>
      <c r="AB69" s="237"/>
      <c r="AC69" s="506" t="s">
        <v>148</v>
      </c>
      <c r="AD69" s="839" t="s">
        <v>321</v>
      </c>
      <c r="AE69" s="340" t="s">
        <v>184</v>
      </c>
      <c r="AF69" s="826">
        <f t="shared" ref="AF69" si="10">N69</f>
        <v>117</v>
      </c>
      <c r="AG69" s="445">
        <v>10000000</v>
      </c>
      <c r="AH69" s="728">
        <f t="shared" si="3"/>
        <v>10000000</v>
      </c>
    </row>
    <row r="70" spans="1:34" s="7" customFormat="1">
      <c r="A70" s="345" t="s">
        <v>96</v>
      </c>
      <c r="B70" s="269">
        <f t="shared" si="4"/>
        <v>35000000</v>
      </c>
      <c r="C70" s="126" t="s">
        <v>45</v>
      </c>
      <c r="D70" s="126" t="s">
        <v>50</v>
      </c>
      <c r="E70" s="126" t="s">
        <v>93</v>
      </c>
      <c r="F70" s="126" t="s">
        <v>94</v>
      </c>
      <c r="G70" s="126" t="s">
        <v>95</v>
      </c>
      <c r="H70" s="274">
        <v>58</v>
      </c>
      <c r="I70" s="395"/>
      <c r="J70" s="260">
        <v>93</v>
      </c>
      <c r="K70" s="262">
        <v>35000000</v>
      </c>
      <c r="L70" s="390">
        <v>223</v>
      </c>
      <c r="M70" s="348">
        <v>35000000</v>
      </c>
      <c r="N70" s="316">
        <v>48</v>
      </c>
      <c r="O70" s="359"/>
      <c r="P70" s="342">
        <v>1000000</v>
      </c>
      <c r="Q70" s="342">
        <v>5000000</v>
      </c>
      <c r="R70" s="342">
        <v>5000000</v>
      </c>
      <c r="S70" s="342">
        <v>5000000</v>
      </c>
      <c r="T70" s="342">
        <v>5000000</v>
      </c>
      <c r="U70" s="342">
        <v>5000000</v>
      </c>
      <c r="V70" s="342">
        <f>VLOOKUP(L70,[3]Hoja1!N$1:T$53,7,0)</f>
        <v>5000000</v>
      </c>
      <c r="W70" s="342"/>
      <c r="X70" s="342"/>
      <c r="Y70" s="342"/>
      <c r="Z70" s="342"/>
      <c r="AA70" s="194">
        <f t="shared" si="1"/>
        <v>31000000</v>
      </c>
      <c r="AB70" s="237">
        <f t="shared" si="2"/>
        <v>4000000</v>
      </c>
      <c r="AC70" s="505">
        <v>216</v>
      </c>
      <c r="AD70" s="340" t="s">
        <v>234</v>
      </c>
      <c r="AE70" s="340" t="s">
        <v>185</v>
      </c>
      <c r="AF70" s="826">
        <f t="shared" si="0"/>
        <v>48</v>
      </c>
      <c r="AG70" s="445">
        <v>35000000</v>
      </c>
      <c r="AH70" s="728">
        <f t="shared" si="3"/>
        <v>0</v>
      </c>
    </row>
    <row r="71" spans="1:34" s="7" customFormat="1">
      <c r="A71" s="345"/>
      <c r="B71" s="269"/>
      <c r="C71" s="126"/>
      <c r="D71" s="126"/>
      <c r="E71" s="126"/>
      <c r="F71" s="126"/>
      <c r="G71" s="126"/>
      <c r="H71" s="274"/>
      <c r="I71" s="395"/>
      <c r="J71" s="260"/>
      <c r="K71" s="262"/>
      <c r="L71" s="390"/>
      <c r="M71" s="348"/>
      <c r="N71" s="316"/>
      <c r="O71" s="359"/>
      <c r="P71" s="342"/>
      <c r="Q71" s="342"/>
      <c r="R71" s="342"/>
      <c r="S71" s="342"/>
      <c r="T71" s="342"/>
      <c r="U71" s="342"/>
      <c r="V71" s="342"/>
      <c r="W71" s="342"/>
      <c r="X71" s="342"/>
      <c r="Y71" s="342"/>
      <c r="Z71" s="342"/>
      <c r="AA71" s="194"/>
      <c r="AB71" s="237"/>
      <c r="AC71" s="506" t="s">
        <v>148</v>
      </c>
      <c r="AD71" s="839" t="s">
        <v>322</v>
      </c>
      <c r="AE71" s="340" t="s">
        <v>185</v>
      </c>
      <c r="AF71" s="826">
        <f t="shared" ref="AF71" si="11">N71</f>
        <v>0</v>
      </c>
      <c r="AG71" s="445">
        <v>10000000</v>
      </c>
      <c r="AH71" s="728">
        <f t="shared" si="3"/>
        <v>10000000</v>
      </c>
    </row>
    <row r="72" spans="1:34" s="7" customFormat="1">
      <c r="A72" s="345" t="s">
        <v>96</v>
      </c>
      <c r="B72" s="269">
        <f t="shared" si="4"/>
        <v>56000000</v>
      </c>
      <c r="C72" s="126" t="s">
        <v>45</v>
      </c>
      <c r="D72" s="126" t="s">
        <v>50</v>
      </c>
      <c r="E72" s="126" t="s">
        <v>93</v>
      </c>
      <c r="F72" s="126" t="s">
        <v>94</v>
      </c>
      <c r="G72" s="126" t="s">
        <v>95</v>
      </c>
      <c r="H72" s="274">
        <v>149</v>
      </c>
      <c r="I72" s="395"/>
      <c r="J72" s="260">
        <v>161</v>
      </c>
      <c r="K72" s="262">
        <v>56000000</v>
      </c>
      <c r="L72" s="390">
        <v>209</v>
      </c>
      <c r="M72" s="348">
        <v>56000000</v>
      </c>
      <c r="N72" s="316">
        <v>173</v>
      </c>
      <c r="O72" s="359"/>
      <c r="P72" s="342">
        <v>1600000</v>
      </c>
      <c r="Q72" s="342">
        <v>8000000</v>
      </c>
      <c r="R72" s="342">
        <v>8000000</v>
      </c>
      <c r="S72" s="342">
        <v>8000000</v>
      </c>
      <c r="T72" s="524">
        <v>0</v>
      </c>
      <c r="U72" s="342">
        <v>8000000</v>
      </c>
      <c r="V72" s="342"/>
      <c r="W72" s="342"/>
      <c r="X72" s="342"/>
      <c r="Y72" s="342"/>
      <c r="Z72" s="342"/>
      <c r="AA72" s="194">
        <f t="shared" si="1"/>
        <v>33600000</v>
      </c>
      <c r="AB72" s="237">
        <f t="shared" si="2"/>
        <v>22400000</v>
      </c>
      <c r="AC72" s="505">
        <v>217</v>
      </c>
      <c r="AD72" s="340" t="s">
        <v>235</v>
      </c>
      <c r="AE72" s="340" t="s">
        <v>186</v>
      </c>
      <c r="AF72" s="826">
        <f t="shared" si="0"/>
        <v>173</v>
      </c>
      <c r="AG72" s="445">
        <v>56000000</v>
      </c>
      <c r="AH72" s="728">
        <f t="shared" si="3"/>
        <v>0</v>
      </c>
    </row>
    <row r="73" spans="1:34" s="7" customFormat="1">
      <c r="A73" s="345" t="s">
        <v>96</v>
      </c>
      <c r="B73" s="269">
        <f t="shared" si="4"/>
        <v>56000000</v>
      </c>
      <c r="C73" s="126" t="s">
        <v>45</v>
      </c>
      <c r="D73" s="126" t="s">
        <v>50</v>
      </c>
      <c r="E73" s="126" t="s">
        <v>93</v>
      </c>
      <c r="F73" s="126" t="s">
        <v>94</v>
      </c>
      <c r="G73" s="126" t="s">
        <v>95</v>
      </c>
      <c r="H73" s="274">
        <v>45</v>
      </c>
      <c r="I73" s="395"/>
      <c r="J73" s="260">
        <v>58</v>
      </c>
      <c r="K73" s="262">
        <v>56000000</v>
      </c>
      <c r="L73" s="390">
        <v>211</v>
      </c>
      <c r="M73" s="348">
        <v>56000000</v>
      </c>
      <c r="N73" s="316">
        <v>151</v>
      </c>
      <c r="O73" s="359"/>
      <c r="P73" s="342">
        <v>1600000</v>
      </c>
      <c r="Q73" s="342">
        <v>8000000</v>
      </c>
      <c r="R73" s="342">
        <v>8000000</v>
      </c>
      <c r="S73" s="342">
        <v>8000000</v>
      </c>
      <c r="T73" s="342">
        <v>8000000</v>
      </c>
      <c r="U73" s="342">
        <v>8000000</v>
      </c>
      <c r="V73" s="342">
        <f>VLOOKUP(L73,[2]Hoja2!N$2:T$40,7,0)</f>
        <v>8000000</v>
      </c>
      <c r="W73" s="342"/>
      <c r="X73" s="342"/>
      <c r="Y73" s="342"/>
      <c r="Z73" s="342"/>
      <c r="AA73" s="194">
        <f t="shared" si="1"/>
        <v>49600000</v>
      </c>
      <c r="AB73" s="237">
        <f t="shared" si="2"/>
        <v>6400000</v>
      </c>
      <c r="AC73" s="505">
        <v>221</v>
      </c>
      <c r="AD73" s="340" t="s">
        <v>236</v>
      </c>
      <c r="AE73" s="340" t="s">
        <v>187</v>
      </c>
      <c r="AF73" s="826">
        <f t="shared" si="0"/>
        <v>151</v>
      </c>
      <c r="AG73" s="445">
        <v>56000000</v>
      </c>
      <c r="AH73" s="728">
        <f t="shared" si="3"/>
        <v>0</v>
      </c>
    </row>
    <row r="74" spans="1:34" s="7" customFormat="1">
      <c r="A74" s="345" t="s">
        <v>96</v>
      </c>
      <c r="B74" s="269">
        <f t="shared" si="4"/>
        <v>32500000</v>
      </c>
      <c r="C74" s="126" t="s">
        <v>45</v>
      </c>
      <c r="D74" s="126" t="s">
        <v>50</v>
      </c>
      <c r="E74" s="126" t="s">
        <v>93</v>
      </c>
      <c r="F74" s="126" t="s">
        <v>94</v>
      </c>
      <c r="G74" s="126" t="s">
        <v>95</v>
      </c>
      <c r="H74" s="274">
        <v>155</v>
      </c>
      <c r="I74" s="395"/>
      <c r="J74" s="260">
        <v>167</v>
      </c>
      <c r="K74" s="262">
        <v>32500000</v>
      </c>
      <c r="L74" s="390">
        <v>204</v>
      </c>
      <c r="M74" s="348">
        <v>32500000</v>
      </c>
      <c r="N74" s="316">
        <v>192</v>
      </c>
      <c r="O74" s="359"/>
      <c r="P74" s="342">
        <v>1300000</v>
      </c>
      <c r="Q74" s="342">
        <v>6500000</v>
      </c>
      <c r="R74" s="342"/>
      <c r="S74" s="342">
        <v>13000000</v>
      </c>
      <c r="T74" s="342">
        <v>6500000</v>
      </c>
      <c r="U74" s="342"/>
      <c r="V74" s="342">
        <f>VLOOKUP(L74,[2]Hoja2!N$2:T$40,7,0)</f>
        <v>5200000</v>
      </c>
      <c r="W74" s="342"/>
      <c r="X74" s="342"/>
      <c r="Y74" s="342"/>
      <c r="Z74" s="342"/>
      <c r="AA74" s="194">
        <f t="shared" si="1"/>
        <v>32500000</v>
      </c>
      <c r="AB74" s="237">
        <f t="shared" si="2"/>
        <v>0</v>
      </c>
      <c r="AC74" s="505">
        <v>224</v>
      </c>
      <c r="AD74" s="340" t="s">
        <v>237</v>
      </c>
      <c r="AE74" s="340" t="s">
        <v>188</v>
      </c>
      <c r="AF74" s="826">
        <f t="shared" si="0"/>
        <v>192</v>
      </c>
      <c r="AG74" s="445">
        <v>32500000</v>
      </c>
      <c r="AH74" s="728">
        <f t="shared" si="3"/>
        <v>0</v>
      </c>
    </row>
    <row r="75" spans="1:34" s="7" customFormat="1">
      <c r="A75" s="345" t="s">
        <v>96</v>
      </c>
      <c r="B75" s="269">
        <f t="shared" si="4"/>
        <v>10000000</v>
      </c>
      <c r="C75" s="126" t="s">
        <v>45</v>
      </c>
      <c r="D75" s="126" t="s">
        <v>50</v>
      </c>
      <c r="E75" s="126" t="s">
        <v>93</v>
      </c>
      <c r="F75" s="126" t="s">
        <v>94</v>
      </c>
      <c r="G75" s="126" t="s">
        <v>95</v>
      </c>
      <c r="H75" s="274">
        <v>179</v>
      </c>
      <c r="I75" s="395"/>
      <c r="J75" s="260">
        <v>202</v>
      </c>
      <c r="K75" s="262">
        <v>10000000</v>
      </c>
      <c r="L75" s="390">
        <v>233</v>
      </c>
      <c r="M75" s="348">
        <v>10000000</v>
      </c>
      <c r="N75" s="316">
        <v>219</v>
      </c>
      <c r="O75" s="359"/>
      <c r="P75" s="342"/>
      <c r="Q75" s="342">
        <v>2000000</v>
      </c>
      <c r="R75" s="342">
        <v>5000000</v>
      </c>
      <c r="S75" s="342"/>
      <c r="T75" s="524">
        <v>0</v>
      </c>
      <c r="U75" s="342">
        <v>3000000</v>
      </c>
      <c r="V75" s="342"/>
      <c r="W75" s="342"/>
      <c r="X75" s="342"/>
      <c r="Y75" s="342"/>
      <c r="Z75" s="342"/>
      <c r="AA75" s="194">
        <f t="shared" si="1"/>
        <v>10000000</v>
      </c>
      <c r="AB75" s="237">
        <f t="shared" si="2"/>
        <v>0</v>
      </c>
      <c r="AC75" s="505">
        <v>225</v>
      </c>
      <c r="AD75" s="340" t="s">
        <v>238</v>
      </c>
      <c r="AE75" s="340" t="s">
        <v>189</v>
      </c>
      <c r="AF75" s="826">
        <f t="shared" si="0"/>
        <v>219</v>
      </c>
      <c r="AG75" s="445">
        <v>10000000</v>
      </c>
      <c r="AH75" s="728">
        <f t="shared" si="3"/>
        <v>0</v>
      </c>
    </row>
    <row r="76" spans="1:34" s="7" customFormat="1">
      <c r="A76" s="345" t="s">
        <v>96</v>
      </c>
      <c r="B76" s="269">
        <f t="shared" si="4"/>
        <v>27500000</v>
      </c>
      <c r="C76" s="126" t="s">
        <v>45</v>
      </c>
      <c r="D76" s="126" t="s">
        <v>50</v>
      </c>
      <c r="E76" s="126" t="s">
        <v>93</v>
      </c>
      <c r="F76" s="126" t="s">
        <v>94</v>
      </c>
      <c r="G76" s="126" t="s">
        <v>95</v>
      </c>
      <c r="H76" s="274">
        <v>173</v>
      </c>
      <c r="I76" s="395"/>
      <c r="J76" s="260">
        <v>190</v>
      </c>
      <c r="K76" s="262">
        <v>27500000</v>
      </c>
      <c r="L76" s="390">
        <v>263</v>
      </c>
      <c r="M76" s="348">
        <v>27500000</v>
      </c>
      <c r="N76" s="316">
        <v>169</v>
      </c>
      <c r="O76" s="359"/>
      <c r="P76" s="342">
        <v>1100000</v>
      </c>
      <c r="Q76" s="342">
        <v>5500000</v>
      </c>
      <c r="R76" s="342">
        <v>5500000</v>
      </c>
      <c r="S76" s="342">
        <v>5500000</v>
      </c>
      <c r="T76" s="342">
        <v>5500000</v>
      </c>
      <c r="U76" s="342"/>
      <c r="V76" s="342">
        <f>VLOOKUP(L76,[3]Hoja1!N$1:T$53,7,0)</f>
        <v>4400000</v>
      </c>
      <c r="W76" s="342"/>
      <c r="X76" s="342"/>
      <c r="Y76" s="342"/>
      <c r="Z76" s="342"/>
      <c r="AA76" s="194">
        <f t="shared" si="1"/>
        <v>27500000</v>
      </c>
      <c r="AB76" s="237">
        <f t="shared" si="2"/>
        <v>0</v>
      </c>
      <c r="AC76" s="505">
        <v>226</v>
      </c>
      <c r="AD76" s="340" t="s">
        <v>239</v>
      </c>
      <c r="AE76" s="340" t="s">
        <v>190</v>
      </c>
      <c r="AF76" s="826">
        <f t="shared" si="0"/>
        <v>169</v>
      </c>
      <c r="AG76" s="445">
        <v>27500000</v>
      </c>
      <c r="AH76" s="728">
        <f t="shared" si="3"/>
        <v>0</v>
      </c>
    </row>
    <row r="77" spans="1:34" s="7" customFormat="1">
      <c r="A77" s="345" t="s">
        <v>96</v>
      </c>
      <c r="B77" s="269">
        <f t="shared" si="4"/>
        <v>26000000</v>
      </c>
      <c r="C77" s="126" t="s">
        <v>45</v>
      </c>
      <c r="D77" s="126" t="s">
        <v>50</v>
      </c>
      <c r="E77" s="126" t="s">
        <v>93</v>
      </c>
      <c r="F77" s="126" t="s">
        <v>94</v>
      </c>
      <c r="G77" s="126" t="s">
        <v>95</v>
      </c>
      <c r="H77" s="274">
        <v>140</v>
      </c>
      <c r="I77" s="395"/>
      <c r="J77" s="260">
        <v>162</v>
      </c>
      <c r="K77" s="262">
        <v>26000000</v>
      </c>
      <c r="L77" s="390">
        <v>208</v>
      </c>
      <c r="M77" s="348">
        <v>26000000</v>
      </c>
      <c r="N77" s="316">
        <v>172</v>
      </c>
      <c r="O77" s="359"/>
      <c r="P77" s="342">
        <v>800000</v>
      </c>
      <c r="Q77" s="342">
        <v>4000000</v>
      </c>
      <c r="R77" s="342">
        <v>4000000</v>
      </c>
      <c r="S77" s="342">
        <v>4000000</v>
      </c>
      <c r="T77" s="342">
        <v>4000000</v>
      </c>
      <c r="U77" s="342">
        <v>4000000</v>
      </c>
      <c r="V77" s="342">
        <f>VLOOKUP(L77,[2]Hoja2!N$2:T$40,7,0)</f>
        <v>4133333</v>
      </c>
      <c r="W77" s="342"/>
      <c r="X77" s="342"/>
      <c r="Y77" s="342"/>
      <c r="Z77" s="342"/>
      <c r="AA77" s="194">
        <f t="shared" si="1"/>
        <v>24933333</v>
      </c>
      <c r="AB77" s="237">
        <f t="shared" si="2"/>
        <v>1066667</v>
      </c>
      <c r="AC77" s="505">
        <v>227</v>
      </c>
      <c r="AD77" s="340" t="s">
        <v>240</v>
      </c>
      <c r="AE77" s="340" t="s">
        <v>191</v>
      </c>
      <c r="AF77" s="826">
        <f t="shared" si="0"/>
        <v>172</v>
      </c>
      <c r="AG77" s="445">
        <v>26000000</v>
      </c>
      <c r="AH77" s="728">
        <f t="shared" si="3"/>
        <v>0</v>
      </c>
    </row>
    <row r="78" spans="1:34" s="7" customFormat="1">
      <c r="A78" s="345" t="s">
        <v>96</v>
      </c>
      <c r="B78" s="269">
        <f t="shared" si="4"/>
        <v>10000000</v>
      </c>
      <c r="C78" s="126" t="s">
        <v>45</v>
      </c>
      <c r="D78" s="126" t="s">
        <v>50</v>
      </c>
      <c r="E78" s="126" t="s">
        <v>93</v>
      </c>
      <c r="F78" s="126" t="s">
        <v>94</v>
      </c>
      <c r="G78" s="126" t="s">
        <v>95</v>
      </c>
      <c r="H78" s="274">
        <v>174</v>
      </c>
      <c r="I78" s="395"/>
      <c r="J78" s="260">
        <v>191</v>
      </c>
      <c r="K78" s="262">
        <v>10000000</v>
      </c>
      <c r="L78" s="390">
        <v>217</v>
      </c>
      <c r="M78" s="348">
        <v>10000000</v>
      </c>
      <c r="N78" s="316">
        <v>204</v>
      </c>
      <c r="O78" s="359"/>
      <c r="P78" s="342"/>
      <c r="Q78" s="342"/>
      <c r="R78" s="342"/>
      <c r="S78" s="342">
        <v>5833333</v>
      </c>
      <c r="T78" s="524">
        <v>0</v>
      </c>
      <c r="U78" s="342"/>
      <c r="V78" s="342">
        <f>VLOOKUP(L78,[3]Hoja1!N$1:T$53,7,0)</f>
        <v>4166667</v>
      </c>
      <c r="W78" s="342"/>
      <c r="X78" s="342"/>
      <c r="Y78" s="342"/>
      <c r="Z78" s="342"/>
      <c r="AA78" s="194">
        <f t="shared" si="1"/>
        <v>10000000</v>
      </c>
      <c r="AB78" s="237">
        <f t="shared" si="2"/>
        <v>0</v>
      </c>
      <c r="AC78" s="505">
        <v>229</v>
      </c>
      <c r="AD78" s="340" t="s">
        <v>241</v>
      </c>
      <c r="AE78" s="340" t="s">
        <v>192</v>
      </c>
      <c r="AF78" s="826">
        <f t="shared" si="0"/>
        <v>204</v>
      </c>
      <c r="AG78" s="445">
        <v>10000000</v>
      </c>
      <c r="AH78" s="728">
        <f t="shared" si="3"/>
        <v>0</v>
      </c>
    </row>
    <row r="79" spans="1:34" s="7" customFormat="1">
      <c r="A79" s="345" t="s">
        <v>96</v>
      </c>
      <c r="B79" s="269">
        <f t="shared" si="4"/>
        <v>36400000</v>
      </c>
      <c r="C79" s="126" t="s">
        <v>45</v>
      </c>
      <c r="D79" s="126" t="s">
        <v>50</v>
      </c>
      <c r="E79" s="126" t="s">
        <v>93</v>
      </c>
      <c r="F79" s="126" t="s">
        <v>94</v>
      </c>
      <c r="G79" s="126" t="s">
        <v>95</v>
      </c>
      <c r="H79" s="274">
        <v>161</v>
      </c>
      <c r="I79" s="395"/>
      <c r="J79" s="260">
        <v>176</v>
      </c>
      <c r="K79" s="262">
        <v>36400000</v>
      </c>
      <c r="L79" s="390">
        <v>162</v>
      </c>
      <c r="M79" s="348">
        <v>36400000</v>
      </c>
      <c r="N79" s="316">
        <v>146</v>
      </c>
      <c r="O79" s="359"/>
      <c r="P79" s="342">
        <v>1213333</v>
      </c>
      <c r="Q79" s="342">
        <v>5200000</v>
      </c>
      <c r="R79" s="342">
        <v>5200000</v>
      </c>
      <c r="S79" s="342">
        <v>5200000</v>
      </c>
      <c r="T79" s="342">
        <v>5200000</v>
      </c>
      <c r="U79" s="342">
        <v>5200000</v>
      </c>
      <c r="V79" s="342">
        <f>VLOOKUP(L79,[2]Hoja2!N$2:T$40,7,0)</f>
        <v>5200000</v>
      </c>
      <c r="W79" s="342"/>
      <c r="X79" s="342"/>
      <c r="Y79" s="342"/>
      <c r="Z79" s="342"/>
      <c r="AA79" s="194">
        <f t="shared" si="1"/>
        <v>32413333</v>
      </c>
      <c r="AB79" s="237">
        <f t="shared" si="2"/>
        <v>3986667</v>
      </c>
      <c r="AC79" s="505">
        <v>230</v>
      </c>
      <c r="AD79" s="340" t="s">
        <v>242</v>
      </c>
      <c r="AE79" s="340" t="s">
        <v>193</v>
      </c>
      <c r="AF79" s="826">
        <f t="shared" si="0"/>
        <v>146</v>
      </c>
      <c r="AG79" s="445">
        <v>36400000</v>
      </c>
      <c r="AH79" s="728">
        <f t="shared" si="3"/>
        <v>0</v>
      </c>
    </row>
    <row r="80" spans="1:34" s="7" customFormat="1">
      <c r="A80" s="345" t="s">
        <v>96</v>
      </c>
      <c r="B80" s="269">
        <f t="shared" si="4"/>
        <v>22282000</v>
      </c>
      <c r="C80" s="126" t="s">
        <v>45</v>
      </c>
      <c r="D80" s="126" t="s">
        <v>50</v>
      </c>
      <c r="E80" s="126" t="s">
        <v>93</v>
      </c>
      <c r="F80" s="126" t="s">
        <v>94</v>
      </c>
      <c r="G80" s="126" t="s">
        <v>95</v>
      </c>
      <c r="H80" s="274">
        <v>1</v>
      </c>
      <c r="I80" s="395"/>
      <c r="J80" s="260">
        <v>4</v>
      </c>
      <c r="K80" s="262">
        <v>22282000</v>
      </c>
      <c r="L80" s="390">
        <v>24</v>
      </c>
      <c r="M80" s="348">
        <v>22282000</v>
      </c>
      <c r="N80" s="316">
        <v>12</v>
      </c>
      <c r="O80" s="359"/>
      <c r="P80" s="342">
        <v>1485467</v>
      </c>
      <c r="Q80" s="342">
        <v>3428000</v>
      </c>
      <c r="R80" s="342">
        <v>3428000</v>
      </c>
      <c r="S80" s="342">
        <v>3428000</v>
      </c>
      <c r="T80" s="342">
        <v>3428000</v>
      </c>
      <c r="U80" s="342">
        <v>3428000</v>
      </c>
      <c r="V80" s="342">
        <f>VLOOKUP(L80,[3]Hoja1!N$1:T$53,7,0)</f>
        <v>3656533</v>
      </c>
      <c r="W80" s="342"/>
      <c r="X80" s="342"/>
      <c r="Y80" s="342"/>
      <c r="Z80" s="342"/>
      <c r="AA80" s="194">
        <f t="shared" si="1"/>
        <v>22282000</v>
      </c>
      <c r="AB80" s="237">
        <f t="shared" si="2"/>
        <v>0</v>
      </c>
      <c r="AC80" s="505">
        <v>232</v>
      </c>
      <c r="AD80" s="340" t="s">
        <v>243</v>
      </c>
      <c r="AE80" s="340" t="s">
        <v>194</v>
      </c>
      <c r="AF80" s="826">
        <f t="shared" si="0"/>
        <v>12</v>
      </c>
      <c r="AG80" s="445">
        <v>22282000</v>
      </c>
      <c r="AH80" s="728">
        <f t="shared" si="3"/>
        <v>0</v>
      </c>
    </row>
    <row r="81" spans="1:34" s="7" customFormat="1">
      <c r="A81" s="345" t="s">
        <v>96</v>
      </c>
      <c r="B81" s="269">
        <f t="shared" si="4"/>
        <v>22282000</v>
      </c>
      <c r="C81" s="126" t="s">
        <v>45</v>
      </c>
      <c r="D81" s="126" t="s">
        <v>50</v>
      </c>
      <c r="E81" s="126" t="s">
        <v>93</v>
      </c>
      <c r="F81" s="126" t="s">
        <v>94</v>
      </c>
      <c r="G81" s="126" t="s">
        <v>95</v>
      </c>
      <c r="H81" s="274">
        <v>2</v>
      </c>
      <c r="I81" s="395"/>
      <c r="J81" s="260">
        <v>5</v>
      </c>
      <c r="K81" s="262">
        <v>22282000</v>
      </c>
      <c r="L81" s="390">
        <v>16</v>
      </c>
      <c r="M81" s="348">
        <v>22282000</v>
      </c>
      <c r="N81" s="316">
        <v>13</v>
      </c>
      <c r="O81" s="359"/>
      <c r="P81" s="342">
        <v>1485467</v>
      </c>
      <c r="Q81" s="342">
        <v>3428000</v>
      </c>
      <c r="R81" s="342">
        <v>3428000</v>
      </c>
      <c r="S81" s="342">
        <v>3428000</v>
      </c>
      <c r="T81" s="342">
        <v>3428000</v>
      </c>
      <c r="U81" s="342">
        <v>3428000</v>
      </c>
      <c r="V81" s="342">
        <f>VLOOKUP(L81,[3]Hoja1!N$1:T$53,7,0)</f>
        <v>3656533</v>
      </c>
      <c r="W81" s="342"/>
      <c r="X81" s="342"/>
      <c r="Y81" s="342"/>
      <c r="Z81" s="342"/>
      <c r="AA81" s="194">
        <f t="shared" si="1"/>
        <v>22282000</v>
      </c>
      <c r="AB81" s="237">
        <f t="shared" si="2"/>
        <v>0</v>
      </c>
      <c r="AC81" s="505">
        <v>233</v>
      </c>
      <c r="AD81" s="340" t="s">
        <v>243</v>
      </c>
      <c r="AE81" s="340" t="s">
        <v>195</v>
      </c>
      <c r="AF81" s="826">
        <f t="shared" si="0"/>
        <v>13</v>
      </c>
      <c r="AG81" s="445">
        <v>22282000</v>
      </c>
      <c r="AH81" s="728">
        <f t="shared" si="3"/>
        <v>0</v>
      </c>
    </row>
    <row r="82" spans="1:34" s="7" customFormat="1">
      <c r="A82" s="345" t="s">
        <v>96</v>
      </c>
      <c r="B82" s="269">
        <f t="shared" si="4"/>
        <v>22282000</v>
      </c>
      <c r="C82" s="126" t="s">
        <v>45</v>
      </c>
      <c r="D82" s="126" t="s">
        <v>50</v>
      </c>
      <c r="E82" s="126" t="s">
        <v>93</v>
      </c>
      <c r="F82" s="126" t="s">
        <v>94</v>
      </c>
      <c r="G82" s="126" t="s">
        <v>95</v>
      </c>
      <c r="H82" s="274">
        <v>3</v>
      </c>
      <c r="I82" s="395"/>
      <c r="J82" s="260">
        <v>6</v>
      </c>
      <c r="K82" s="262">
        <v>22282000</v>
      </c>
      <c r="L82" s="390">
        <v>15</v>
      </c>
      <c r="M82" s="348">
        <v>22282000</v>
      </c>
      <c r="N82" s="316">
        <v>5</v>
      </c>
      <c r="O82" s="359"/>
      <c r="P82" s="342">
        <v>1485467</v>
      </c>
      <c r="Q82" s="342">
        <v>3428000</v>
      </c>
      <c r="R82" s="342">
        <v>3428000</v>
      </c>
      <c r="S82" s="342">
        <v>3428000</v>
      </c>
      <c r="T82" s="342">
        <v>3428000</v>
      </c>
      <c r="U82" s="342">
        <v>3428000</v>
      </c>
      <c r="V82" s="342">
        <f>VLOOKUP(L82,[3]Hoja1!N$1:T$53,7,0)</f>
        <v>3656533</v>
      </c>
      <c r="W82" s="342"/>
      <c r="X82" s="342"/>
      <c r="Y82" s="342"/>
      <c r="Z82" s="342"/>
      <c r="AA82" s="194">
        <f t="shared" si="1"/>
        <v>22282000</v>
      </c>
      <c r="AB82" s="237">
        <f t="shared" si="2"/>
        <v>0</v>
      </c>
      <c r="AC82" s="505">
        <v>234</v>
      </c>
      <c r="AD82" s="340" t="s">
        <v>243</v>
      </c>
      <c r="AE82" s="340" t="s">
        <v>196</v>
      </c>
      <c r="AF82" s="826">
        <f t="shared" si="0"/>
        <v>5</v>
      </c>
      <c r="AG82" s="445">
        <v>22282000</v>
      </c>
      <c r="AH82" s="728">
        <f t="shared" si="3"/>
        <v>0</v>
      </c>
    </row>
    <row r="83" spans="1:34" s="7" customFormat="1">
      <c r="A83" s="345" t="s">
        <v>96</v>
      </c>
      <c r="B83" s="269">
        <f t="shared" si="4"/>
        <v>22282000</v>
      </c>
      <c r="C83" s="126" t="s">
        <v>45</v>
      </c>
      <c r="D83" s="126" t="s">
        <v>50</v>
      </c>
      <c r="E83" s="126" t="s">
        <v>93</v>
      </c>
      <c r="F83" s="126" t="s">
        <v>94</v>
      </c>
      <c r="G83" s="126" t="s">
        <v>95</v>
      </c>
      <c r="H83" s="274">
        <v>5</v>
      </c>
      <c r="I83" s="395"/>
      <c r="J83" s="260">
        <v>7</v>
      </c>
      <c r="K83" s="262">
        <v>22282000</v>
      </c>
      <c r="L83" s="390">
        <v>56</v>
      </c>
      <c r="M83" s="348">
        <v>22282000</v>
      </c>
      <c r="N83" s="316">
        <v>14</v>
      </c>
      <c r="O83" s="359"/>
      <c r="P83" s="342">
        <v>1028400</v>
      </c>
      <c r="Q83" s="342">
        <v>3428000</v>
      </c>
      <c r="R83" s="342">
        <v>3428000</v>
      </c>
      <c r="S83" s="342">
        <v>3428000</v>
      </c>
      <c r="T83" s="342">
        <v>3428000</v>
      </c>
      <c r="U83" s="342">
        <v>3428000</v>
      </c>
      <c r="V83" s="342"/>
      <c r="W83" s="342"/>
      <c r="X83" s="342"/>
      <c r="Y83" s="342"/>
      <c r="Z83" s="342"/>
      <c r="AA83" s="194">
        <f t="shared" si="1"/>
        <v>18168400</v>
      </c>
      <c r="AB83" s="237">
        <f t="shared" si="2"/>
        <v>4113600</v>
      </c>
      <c r="AC83" s="505">
        <v>235</v>
      </c>
      <c r="AD83" s="340" t="s">
        <v>243</v>
      </c>
      <c r="AE83" s="340" t="s">
        <v>197</v>
      </c>
      <c r="AF83" s="826">
        <f t="shared" si="0"/>
        <v>14</v>
      </c>
      <c r="AG83" s="445">
        <v>22282000</v>
      </c>
      <c r="AH83" s="728">
        <f t="shared" si="3"/>
        <v>0</v>
      </c>
    </row>
    <row r="84" spans="1:34" s="7" customFormat="1">
      <c r="A84" s="345" t="s">
        <v>96</v>
      </c>
      <c r="B84" s="269">
        <f t="shared" si="4"/>
        <v>22282000</v>
      </c>
      <c r="C84" s="126" t="s">
        <v>45</v>
      </c>
      <c r="D84" s="126" t="s">
        <v>50</v>
      </c>
      <c r="E84" s="126" t="s">
        <v>93</v>
      </c>
      <c r="F84" s="126" t="s">
        <v>94</v>
      </c>
      <c r="G84" s="126" t="s">
        <v>95</v>
      </c>
      <c r="H84" s="274">
        <v>6</v>
      </c>
      <c r="I84" s="395"/>
      <c r="J84" s="260">
        <v>8</v>
      </c>
      <c r="K84" s="262">
        <v>22282000</v>
      </c>
      <c r="L84" s="390">
        <v>44</v>
      </c>
      <c r="M84" s="348">
        <v>22282000</v>
      </c>
      <c r="N84" s="316">
        <v>4</v>
      </c>
      <c r="O84" s="359"/>
      <c r="P84" s="342">
        <v>1371200</v>
      </c>
      <c r="Q84" s="342">
        <v>3428000</v>
      </c>
      <c r="R84" s="342">
        <v>3428000</v>
      </c>
      <c r="S84" s="342">
        <v>3428000</v>
      </c>
      <c r="T84" s="342">
        <v>3428000</v>
      </c>
      <c r="U84" s="342">
        <v>3428000</v>
      </c>
      <c r="V84" s="342">
        <f>VLOOKUP(L84,[2]Hoja2!N$2:T$40,7,0)</f>
        <v>3770800</v>
      </c>
      <c r="W84" s="342"/>
      <c r="X84" s="342"/>
      <c r="Y84" s="342"/>
      <c r="Z84" s="342"/>
      <c r="AA84" s="194">
        <f t="shared" si="1"/>
        <v>22282000</v>
      </c>
      <c r="AB84" s="237">
        <f t="shared" si="2"/>
        <v>0</v>
      </c>
      <c r="AC84" s="505">
        <v>236</v>
      </c>
      <c r="AD84" s="340" t="s">
        <v>243</v>
      </c>
      <c r="AE84" s="340" t="s">
        <v>198</v>
      </c>
      <c r="AF84" s="826">
        <f t="shared" si="0"/>
        <v>4</v>
      </c>
      <c r="AG84" s="445">
        <v>22282000</v>
      </c>
      <c r="AH84" s="728">
        <f t="shared" si="3"/>
        <v>0</v>
      </c>
    </row>
    <row r="85" spans="1:34" s="7" customFormat="1">
      <c r="A85" s="345" t="s">
        <v>96</v>
      </c>
      <c r="B85" s="269">
        <f t="shared" si="4"/>
        <v>22282000</v>
      </c>
      <c r="C85" s="126" t="s">
        <v>45</v>
      </c>
      <c r="D85" s="126" t="s">
        <v>50</v>
      </c>
      <c r="E85" s="126" t="s">
        <v>93</v>
      </c>
      <c r="F85" s="126" t="s">
        <v>94</v>
      </c>
      <c r="G85" s="126" t="s">
        <v>95</v>
      </c>
      <c r="H85" s="274">
        <v>7</v>
      </c>
      <c r="I85" s="395"/>
      <c r="J85" s="260">
        <v>9</v>
      </c>
      <c r="K85" s="262">
        <v>22282000</v>
      </c>
      <c r="L85" s="390">
        <v>63</v>
      </c>
      <c r="M85" s="348">
        <v>22282000</v>
      </c>
      <c r="N85" s="316">
        <v>19</v>
      </c>
      <c r="O85" s="359"/>
      <c r="P85" s="342">
        <v>1371200</v>
      </c>
      <c r="Q85" s="342">
        <v>3428000</v>
      </c>
      <c r="R85" s="342">
        <v>3428000</v>
      </c>
      <c r="S85" s="342">
        <v>3428000</v>
      </c>
      <c r="T85" s="342">
        <v>3428000</v>
      </c>
      <c r="U85" s="342">
        <v>3428000</v>
      </c>
      <c r="V85" s="342"/>
      <c r="W85" s="342"/>
      <c r="X85" s="342"/>
      <c r="Y85" s="342"/>
      <c r="Z85" s="342"/>
      <c r="AA85" s="194">
        <f t="shared" si="1"/>
        <v>18511200</v>
      </c>
      <c r="AB85" s="237">
        <f t="shared" si="2"/>
        <v>3770800</v>
      </c>
      <c r="AC85" s="505">
        <v>237</v>
      </c>
      <c r="AD85" s="340" t="s">
        <v>243</v>
      </c>
      <c r="AE85" s="340" t="s">
        <v>199</v>
      </c>
      <c r="AF85" s="826">
        <f t="shared" si="0"/>
        <v>19</v>
      </c>
      <c r="AG85" s="445">
        <v>22282000</v>
      </c>
      <c r="AH85" s="728">
        <f t="shared" si="3"/>
        <v>0</v>
      </c>
    </row>
    <row r="86" spans="1:34" s="7" customFormat="1">
      <c r="A86" s="345" t="s">
        <v>96</v>
      </c>
      <c r="B86" s="269">
        <f t="shared" si="4"/>
        <v>22282000</v>
      </c>
      <c r="C86" s="126" t="s">
        <v>45</v>
      </c>
      <c r="D86" s="126" t="s">
        <v>50</v>
      </c>
      <c r="E86" s="126" t="s">
        <v>93</v>
      </c>
      <c r="F86" s="126" t="s">
        <v>94</v>
      </c>
      <c r="G86" s="126" t="s">
        <v>95</v>
      </c>
      <c r="H86" s="274">
        <v>8</v>
      </c>
      <c r="I86" s="395"/>
      <c r="J86" s="260">
        <v>10</v>
      </c>
      <c r="K86" s="262">
        <v>22282000</v>
      </c>
      <c r="L86" s="390">
        <v>32</v>
      </c>
      <c r="M86" s="348">
        <v>22282000</v>
      </c>
      <c r="N86" s="316">
        <v>9</v>
      </c>
      <c r="O86" s="359"/>
      <c r="P86" s="342">
        <v>1485467</v>
      </c>
      <c r="Q86" s="342">
        <v>3428000</v>
      </c>
      <c r="R86" s="342">
        <v>3428000</v>
      </c>
      <c r="S86" s="342">
        <v>3428000</v>
      </c>
      <c r="T86" s="342">
        <v>3428000</v>
      </c>
      <c r="U86" s="342">
        <v>3428000</v>
      </c>
      <c r="V86" s="342">
        <f>VLOOKUP(L86,[2]Hoja2!N$2:T$40,7,0)</f>
        <v>3656533</v>
      </c>
      <c r="W86" s="342"/>
      <c r="X86" s="342"/>
      <c r="Y86" s="342"/>
      <c r="Z86" s="342"/>
      <c r="AA86" s="194">
        <f t="shared" si="1"/>
        <v>22282000</v>
      </c>
      <c r="AB86" s="237">
        <f t="shared" si="2"/>
        <v>0</v>
      </c>
      <c r="AC86" s="505">
        <v>238</v>
      </c>
      <c r="AD86" s="340" t="s">
        <v>243</v>
      </c>
      <c r="AE86" s="340" t="s">
        <v>200</v>
      </c>
      <c r="AF86" s="826">
        <f t="shared" si="0"/>
        <v>9</v>
      </c>
      <c r="AG86" s="445">
        <v>22282000</v>
      </c>
      <c r="AH86" s="728">
        <f t="shared" si="3"/>
        <v>0</v>
      </c>
    </row>
    <row r="87" spans="1:34" s="7" customFormat="1">
      <c r="A87" s="345" t="s">
        <v>96</v>
      </c>
      <c r="B87" s="269">
        <f t="shared" si="4"/>
        <v>22282000</v>
      </c>
      <c r="C87" s="126" t="s">
        <v>45</v>
      </c>
      <c r="D87" s="126" t="s">
        <v>50</v>
      </c>
      <c r="E87" s="126" t="s">
        <v>93</v>
      </c>
      <c r="F87" s="126" t="s">
        <v>94</v>
      </c>
      <c r="G87" s="126" t="s">
        <v>95</v>
      </c>
      <c r="H87" s="799">
        <v>9</v>
      </c>
      <c r="I87" s="395"/>
      <c r="J87" s="260">
        <v>11</v>
      </c>
      <c r="K87" s="262">
        <f>22282000</f>
        <v>22282000</v>
      </c>
      <c r="L87" s="390">
        <v>17</v>
      </c>
      <c r="M87" s="348">
        <f>22282000</f>
        <v>22282000</v>
      </c>
      <c r="N87" s="316">
        <v>10</v>
      </c>
      <c r="O87" s="359"/>
      <c r="P87" s="342">
        <v>1485467</v>
      </c>
      <c r="Q87" s="342">
        <v>3428000</v>
      </c>
      <c r="R87" s="342">
        <v>3428000</v>
      </c>
      <c r="S87" s="342">
        <v>3428000</v>
      </c>
      <c r="T87" s="342">
        <v>3428000</v>
      </c>
      <c r="U87" s="342">
        <v>3428000</v>
      </c>
      <c r="V87" s="342">
        <f>VLOOKUP(L87,[2]Hoja2!N$2:T$40,7,0)</f>
        <v>3542267</v>
      </c>
      <c r="W87" s="342"/>
      <c r="X87" s="342"/>
      <c r="Y87" s="342"/>
      <c r="Z87" s="342"/>
      <c r="AA87" s="194">
        <f t="shared" si="1"/>
        <v>22167734</v>
      </c>
      <c r="AB87" s="237">
        <f t="shared" si="2"/>
        <v>114266</v>
      </c>
      <c r="AC87" s="505">
        <v>239</v>
      </c>
      <c r="AD87" s="800" t="s">
        <v>282</v>
      </c>
      <c r="AE87" s="340" t="s">
        <v>201</v>
      </c>
      <c r="AF87" s="826">
        <f t="shared" ref="AF87:AF116" si="12">N87</f>
        <v>10</v>
      </c>
      <c r="AG87" s="445">
        <f>22282000</f>
        <v>22282000</v>
      </c>
      <c r="AH87" s="728">
        <f t="shared" si="3"/>
        <v>0</v>
      </c>
    </row>
    <row r="88" spans="1:34" s="7" customFormat="1">
      <c r="A88" s="345" t="s">
        <v>96</v>
      </c>
      <c r="B88" s="269">
        <f t="shared" si="4"/>
        <v>6856000</v>
      </c>
      <c r="C88" s="126" t="s">
        <v>45</v>
      </c>
      <c r="D88" s="126" t="s">
        <v>50</v>
      </c>
      <c r="E88" s="126" t="s">
        <v>93</v>
      </c>
      <c r="F88" s="126" t="s">
        <v>94</v>
      </c>
      <c r="G88" s="126" t="s">
        <v>95</v>
      </c>
      <c r="H88" s="799">
        <v>394</v>
      </c>
      <c r="I88" s="395">
        <v>6856000</v>
      </c>
      <c r="J88" s="260">
        <v>499</v>
      </c>
      <c r="K88" s="262">
        <v>6856000</v>
      </c>
      <c r="L88" s="390">
        <v>661</v>
      </c>
      <c r="M88" s="348">
        <v>6856000</v>
      </c>
      <c r="N88" s="316">
        <v>10</v>
      </c>
      <c r="O88" s="359"/>
      <c r="P88" s="342"/>
      <c r="Q88" s="342"/>
      <c r="R88" s="342"/>
      <c r="S88" s="342"/>
      <c r="T88" s="342"/>
      <c r="U88" s="342"/>
      <c r="V88" s="342"/>
      <c r="W88" s="342"/>
      <c r="X88" s="342"/>
      <c r="Y88" s="342"/>
      <c r="Z88" s="342"/>
      <c r="AA88" s="194">
        <f>SUM(O88:Z88)</f>
        <v>0</v>
      </c>
      <c r="AB88" s="237">
        <f>M88-AA88</f>
        <v>6856000</v>
      </c>
      <c r="AC88" s="506" t="s">
        <v>148</v>
      </c>
      <c r="AD88" s="800" t="s">
        <v>304</v>
      </c>
      <c r="AE88" s="340" t="s">
        <v>201</v>
      </c>
      <c r="AF88" s="826">
        <f t="shared" si="12"/>
        <v>10</v>
      </c>
      <c r="AG88" s="445">
        <v>6856000</v>
      </c>
      <c r="AH88" s="728">
        <f t="shared" si="3"/>
        <v>0</v>
      </c>
    </row>
    <row r="89" spans="1:34" s="7" customFormat="1">
      <c r="A89" s="345" t="s">
        <v>96</v>
      </c>
      <c r="B89" s="269">
        <f t="shared" si="4"/>
        <v>22282000</v>
      </c>
      <c r="C89" s="126" t="s">
        <v>45</v>
      </c>
      <c r="D89" s="126" t="s">
        <v>50</v>
      </c>
      <c r="E89" s="126" t="s">
        <v>93</v>
      </c>
      <c r="F89" s="126" t="s">
        <v>94</v>
      </c>
      <c r="G89" s="126" t="s">
        <v>95</v>
      </c>
      <c r="H89" s="274">
        <v>10</v>
      </c>
      <c r="I89" s="395"/>
      <c r="J89" s="260">
        <v>12</v>
      </c>
      <c r="K89" s="262">
        <v>22282000</v>
      </c>
      <c r="L89" s="390">
        <v>45</v>
      </c>
      <c r="M89" s="348">
        <v>22282000</v>
      </c>
      <c r="N89" s="316">
        <v>3</v>
      </c>
      <c r="O89" s="359"/>
      <c r="P89" s="342">
        <v>1485467</v>
      </c>
      <c r="Q89" s="342">
        <v>3428000</v>
      </c>
      <c r="R89" s="342">
        <v>3428000</v>
      </c>
      <c r="S89" s="342">
        <v>3428000</v>
      </c>
      <c r="T89" s="342">
        <v>3428000</v>
      </c>
      <c r="U89" s="342">
        <v>3428000</v>
      </c>
      <c r="V89" s="342">
        <f>VLOOKUP(L89,[3]Hoja1!N$1:T$53,7,0)</f>
        <v>3656533</v>
      </c>
      <c r="W89" s="342"/>
      <c r="X89" s="342"/>
      <c r="Y89" s="342"/>
      <c r="Z89" s="342"/>
      <c r="AA89" s="194">
        <f>SUM(O89:Z89)</f>
        <v>22282000</v>
      </c>
      <c r="AB89" s="237">
        <f>M89-AA89</f>
        <v>0</v>
      </c>
      <c r="AC89" s="505">
        <v>240</v>
      </c>
      <c r="AD89" s="340" t="s">
        <v>243</v>
      </c>
      <c r="AE89" s="340" t="s">
        <v>202</v>
      </c>
      <c r="AF89" s="826">
        <f t="shared" si="12"/>
        <v>3</v>
      </c>
      <c r="AG89" s="445">
        <v>22282000</v>
      </c>
      <c r="AH89" s="728">
        <f t="shared" si="3"/>
        <v>0</v>
      </c>
    </row>
    <row r="90" spans="1:34" s="7" customFormat="1">
      <c r="A90" s="345" t="s">
        <v>96</v>
      </c>
      <c r="B90" s="269">
        <f t="shared" si="4"/>
        <v>22282000</v>
      </c>
      <c r="C90" s="126" t="s">
        <v>45</v>
      </c>
      <c r="D90" s="126" t="s">
        <v>50</v>
      </c>
      <c r="E90" s="126" t="s">
        <v>93</v>
      </c>
      <c r="F90" s="126" t="s">
        <v>94</v>
      </c>
      <c r="G90" s="126" t="s">
        <v>95</v>
      </c>
      <c r="H90" s="274">
        <v>11</v>
      </c>
      <c r="I90" s="395"/>
      <c r="J90" s="260">
        <v>13</v>
      </c>
      <c r="K90" s="262">
        <v>22282000</v>
      </c>
      <c r="L90" s="390">
        <v>25</v>
      </c>
      <c r="M90" s="348">
        <v>22282000</v>
      </c>
      <c r="N90" s="316">
        <v>16</v>
      </c>
      <c r="O90" s="359"/>
      <c r="P90" s="342">
        <v>1028400</v>
      </c>
      <c r="Q90" s="342">
        <v>3428000</v>
      </c>
      <c r="R90" s="342">
        <v>3428000</v>
      </c>
      <c r="S90" s="342">
        <v>3428000</v>
      </c>
      <c r="T90" s="342">
        <v>3428000</v>
      </c>
      <c r="U90" s="342">
        <v>3428000</v>
      </c>
      <c r="V90" s="342"/>
      <c r="W90" s="342"/>
      <c r="X90" s="342"/>
      <c r="Y90" s="342"/>
      <c r="Z90" s="342"/>
      <c r="AA90" s="194">
        <f t="shared" si="1"/>
        <v>18168400</v>
      </c>
      <c r="AB90" s="237">
        <f t="shared" si="2"/>
        <v>4113600</v>
      </c>
      <c r="AC90" s="505">
        <v>241</v>
      </c>
      <c r="AD90" s="340" t="s">
        <v>243</v>
      </c>
      <c r="AE90" s="340" t="s">
        <v>203</v>
      </c>
      <c r="AF90" s="826">
        <f t="shared" si="12"/>
        <v>16</v>
      </c>
      <c r="AG90" s="445">
        <v>22282000</v>
      </c>
      <c r="AH90" s="728">
        <f t="shared" si="3"/>
        <v>0</v>
      </c>
    </row>
    <row r="91" spans="1:34" s="7" customFormat="1">
      <c r="A91" s="345" t="s">
        <v>96</v>
      </c>
      <c r="B91" s="269">
        <f t="shared" si="4"/>
        <v>22282000</v>
      </c>
      <c r="C91" s="126" t="s">
        <v>45</v>
      </c>
      <c r="D91" s="126" t="s">
        <v>50</v>
      </c>
      <c r="E91" s="126" t="s">
        <v>93</v>
      </c>
      <c r="F91" s="126" t="s">
        <v>94</v>
      </c>
      <c r="G91" s="126" t="s">
        <v>95</v>
      </c>
      <c r="H91" s="274">
        <v>12</v>
      </c>
      <c r="I91" s="395"/>
      <c r="J91" s="260">
        <v>14</v>
      </c>
      <c r="K91" s="262">
        <v>22282000</v>
      </c>
      <c r="L91" s="390">
        <v>33</v>
      </c>
      <c r="M91" s="348">
        <v>22282000</v>
      </c>
      <c r="N91" s="316">
        <v>8</v>
      </c>
      <c r="O91" s="359"/>
      <c r="P91" s="342">
        <v>1485467</v>
      </c>
      <c r="Q91" s="342">
        <v>3428000</v>
      </c>
      <c r="R91" s="342">
        <v>3428000</v>
      </c>
      <c r="S91" s="342">
        <v>3428000</v>
      </c>
      <c r="T91" s="342">
        <v>3428000</v>
      </c>
      <c r="U91" s="342">
        <v>3428000</v>
      </c>
      <c r="V91" s="342">
        <f>VLOOKUP(L91,[3]Hoja1!N$1:T$53,7,0)</f>
        <v>3656533</v>
      </c>
      <c r="W91" s="342"/>
      <c r="X91" s="342"/>
      <c r="Y91" s="342"/>
      <c r="Z91" s="342"/>
      <c r="AA91" s="194">
        <f t="shared" si="1"/>
        <v>22282000</v>
      </c>
      <c r="AB91" s="237">
        <f t="shared" si="2"/>
        <v>0</v>
      </c>
      <c r="AC91" s="505">
        <v>242</v>
      </c>
      <c r="AD91" s="340" t="s">
        <v>243</v>
      </c>
      <c r="AE91" s="340" t="s">
        <v>204</v>
      </c>
      <c r="AF91" s="826">
        <f t="shared" si="12"/>
        <v>8</v>
      </c>
      <c r="AG91" s="445">
        <v>22282000</v>
      </c>
      <c r="AH91" s="728">
        <f t="shared" si="3"/>
        <v>0</v>
      </c>
    </row>
    <row r="92" spans="1:34" s="7" customFormat="1">
      <c r="A92" s="345" t="s">
        <v>96</v>
      </c>
      <c r="B92" s="269">
        <f t="shared" si="4"/>
        <v>22282000</v>
      </c>
      <c r="C92" s="126" t="s">
        <v>45</v>
      </c>
      <c r="D92" s="126" t="s">
        <v>50</v>
      </c>
      <c r="E92" s="126" t="s">
        <v>93</v>
      </c>
      <c r="F92" s="126" t="s">
        <v>94</v>
      </c>
      <c r="G92" s="126" t="s">
        <v>95</v>
      </c>
      <c r="H92" s="274">
        <v>13</v>
      </c>
      <c r="I92" s="395"/>
      <c r="J92" s="260">
        <v>15</v>
      </c>
      <c r="K92" s="262">
        <v>22282000</v>
      </c>
      <c r="L92" s="390">
        <v>57</v>
      </c>
      <c r="M92" s="348">
        <v>22282000</v>
      </c>
      <c r="N92" s="316">
        <v>17</v>
      </c>
      <c r="O92" s="359"/>
      <c r="P92" s="342">
        <v>1485467</v>
      </c>
      <c r="Q92" s="342">
        <v>3428000</v>
      </c>
      <c r="R92" s="342">
        <v>3428000</v>
      </c>
      <c r="S92" s="342">
        <v>3428000</v>
      </c>
      <c r="T92" s="342">
        <v>3428000</v>
      </c>
      <c r="U92" s="342">
        <v>3428000</v>
      </c>
      <c r="V92" s="342"/>
      <c r="W92" s="342"/>
      <c r="X92" s="342"/>
      <c r="Y92" s="342"/>
      <c r="Z92" s="342"/>
      <c r="AA92" s="194">
        <f t="shared" si="1"/>
        <v>18625467</v>
      </c>
      <c r="AB92" s="237">
        <f t="shared" si="2"/>
        <v>3656533</v>
      </c>
      <c r="AC92" s="505">
        <v>243</v>
      </c>
      <c r="AD92" s="340" t="s">
        <v>243</v>
      </c>
      <c r="AE92" s="340" t="s">
        <v>205</v>
      </c>
      <c r="AF92" s="826">
        <f t="shared" si="12"/>
        <v>17</v>
      </c>
      <c r="AG92" s="445">
        <v>22282000</v>
      </c>
      <c r="AH92" s="728">
        <f t="shared" si="3"/>
        <v>0</v>
      </c>
    </row>
    <row r="93" spans="1:34" s="7" customFormat="1">
      <c r="A93" s="345" t="s">
        <v>96</v>
      </c>
      <c r="B93" s="269">
        <f t="shared" si="4"/>
        <v>22282000</v>
      </c>
      <c r="C93" s="126" t="s">
        <v>45</v>
      </c>
      <c r="D93" s="126" t="s">
        <v>50</v>
      </c>
      <c r="E93" s="126" t="s">
        <v>93</v>
      </c>
      <c r="F93" s="126" t="s">
        <v>94</v>
      </c>
      <c r="G93" s="126" t="s">
        <v>95</v>
      </c>
      <c r="H93" s="799">
        <v>14</v>
      </c>
      <c r="I93" s="395"/>
      <c r="J93" s="260">
        <v>16</v>
      </c>
      <c r="K93" s="262">
        <f>22282000</f>
        <v>22282000</v>
      </c>
      <c r="L93" s="390">
        <v>50</v>
      </c>
      <c r="M93" s="348">
        <f>22282000</f>
        <v>22282000</v>
      </c>
      <c r="N93" s="316">
        <v>20</v>
      </c>
      <c r="O93" s="359"/>
      <c r="P93" s="342">
        <v>1485467</v>
      </c>
      <c r="Q93" s="342">
        <v>3428000</v>
      </c>
      <c r="R93" s="342">
        <v>3428000</v>
      </c>
      <c r="S93" s="342">
        <v>3428000</v>
      </c>
      <c r="T93" s="342">
        <v>3428000</v>
      </c>
      <c r="U93" s="342">
        <v>3428000</v>
      </c>
      <c r="V93" s="342">
        <f>VLOOKUP(L93,[2]Hoja2!N$2:T$40,7,0)</f>
        <v>3542267</v>
      </c>
      <c r="W93" s="342"/>
      <c r="X93" s="342"/>
      <c r="Y93" s="342"/>
      <c r="Z93" s="342"/>
      <c r="AA93" s="194">
        <f t="shared" si="1"/>
        <v>22167734</v>
      </c>
      <c r="AB93" s="237">
        <f t="shared" si="2"/>
        <v>114266</v>
      </c>
      <c r="AC93" s="505">
        <v>244</v>
      </c>
      <c r="AD93" s="800" t="s">
        <v>282</v>
      </c>
      <c r="AE93" s="340" t="s">
        <v>206</v>
      </c>
      <c r="AF93" s="826">
        <f t="shared" si="12"/>
        <v>20</v>
      </c>
      <c r="AG93" s="445">
        <f>22282000</f>
        <v>22282000</v>
      </c>
      <c r="AH93" s="728">
        <f t="shared" si="3"/>
        <v>0</v>
      </c>
    </row>
    <row r="94" spans="1:34" s="7" customFormat="1">
      <c r="A94" s="345" t="s">
        <v>96</v>
      </c>
      <c r="B94" s="269">
        <f t="shared" si="4"/>
        <v>6856000</v>
      </c>
      <c r="C94" s="126" t="s">
        <v>45</v>
      </c>
      <c r="D94" s="126" t="s">
        <v>50</v>
      </c>
      <c r="E94" s="126" t="s">
        <v>93</v>
      </c>
      <c r="F94" s="126" t="s">
        <v>94</v>
      </c>
      <c r="G94" s="126" t="s">
        <v>95</v>
      </c>
      <c r="H94" s="799">
        <v>395</v>
      </c>
      <c r="I94" s="395">
        <v>6856000</v>
      </c>
      <c r="J94" s="260">
        <v>500</v>
      </c>
      <c r="K94" s="262">
        <v>6856000</v>
      </c>
      <c r="L94" s="390">
        <v>658</v>
      </c>
      <c r="M94" s="348">
        <v>6856000</v>
      </c>
      <c r="N94" s="316">
        <v>20</v>
      </c>
      <c r="O94" s="359"/>
      <c r="P94" s="342"/>
      <c r="Q94" s="342"/>
      <c r="R94" s="342"/>
      <c r="S94" s="342"/>
      <c r="T94" s="342"/>
      <c r="U94" s="342"/>
      <c r="V94" s="342"/>
      <c r="W94" s="342"/>
      <c r="X94" s="342"/>
      <c r="Y94" s="342"/>
      <c r="Z94" s="342"/>
      <c r="AA94" s="194">
        <f>SUM(O94:Z94)</f>
        <v>0</v>
      </c>
      <c r="AB94" s="237">
        <f>M94-AA94</f>
        <v>6856000</v>
      </c>
      <c r="AC94" s="506" t="s">
        <v>148</v>
      </c>
      <c r="AD94" s="800" t="s">
        <v>305</v>
      </c>
      <c r="AE94" s="340" t="s">
        <v>206</v>
      </c>
      <c r="AF94" s="826">
        <f t="shared" si="12"/>
        <v>20</v>
      </c>
      <c r="AG94" s="445">
        <v>6856000</v>
      </c>
      <c r="AH94" s="728">
        <f t="shared" si="3"/>
        <v>0</v>
      </c>
    </row>
    <row r="95" spans="1:34" s="7" customFormat="1">
      <c r="A95" s="345" t="s">
        <v>96</v>
      </c>
      <c r="B95" s="269">
        <f t="shared" si="4"/>
        <v>22282000</v>
      </c>
      <c r="C95" s="126" t="s">
        <v>45</v>
      </c>
      <c r="D95" s="126" t="s">
        <v>50</v>
      </c>
      <c r="E95" s="126" t="s">
        <v>93</v>
      </c>
      <c r="F95" s="126" t="s">
        <v>94</v>
      </c>
      <c r="G95" s="126" t="s">
        <v>95</v>
      </c>
      <c r="H95" s="274">
        <v>15</v>
      </c>
      <c r="I95" s="395"/>
      <c r="J95" s="260">
        <v>17</v>
      </c>
      <c r="K95" s="262">
        <v>22282000</v>
      </c>
      <c r="L95" s="390">
        <v>62</v>
      </c>
      <c r="M95" s="348">
        <v>22282000</v>
      </c>
      <c r="N95" s="316">
        <v>18</v>
      </c>
      <c r="O95" s="359"/>
      <c r="P95" s="342">
        <v>1371200</v>
      </c>
      <c r="Q95" s="342">
        <v>3428000</v>
      </c>
      <c r="R95" s="342">
        <v>3428000</v>
      </c>
      <c r="S95" s="342">
        <v>3428000</v>
      </c>
      <c r="T95" s="342">
        <v>3428000</v>
      </c>
      <c r="U95" s="342">
        <v>3428000</v>
      </c>
      <c r="V95" s="342">
        <f>VLOOKUP(L95,[3]Hoja1!N$1:T$53,7,0)</f>
        <v>3770800</v>
      </c>
      <c r="W95" s="342"/>
      <c r="X95" s="342"/>
      <c r="Y95" s="342"/>
      <c r="Z95" s="342"/>
      <c r="AA95" s="194">
        <f t="shared" si="1"/>
        <v>22282000</v>
      </c>
      <c r="AB95" s="237">
        <f t="shared" si="2"/>
        <v>0</v>
      </c>
      <c r="AC95" s="505">
        <v>245</v>
      </c>
      <c r="AD95" s="340" t="s">
        <v>243</v>
      </c>
      <c r="AE95" s="340" t="s">
        <v>207</v>
      </c>
      <c r="AF95" s="826">
        <f t="shared" si="12"/>
        <v>18</v>
      </c>
      <c r="AG95" s="445">
        <v>22282000</v>
      </c>
      <c r="AH95" s="728">
        <f t="shared" si="3"/>
        <v>0</v>
      </c>
    </row>
    <row r="96" spans="1:34" s="7" customFormat="1">
      <c r="A96" s="345" t="s">
        <v>96</v>
      </c>
      <c r="B96" s="269">
        <f t="shared" si="4"/>
        <v>22282000</v>
      </c>
      <c r="C96" s="126" t="s">
        <v>45</v>
      </c>
      <c r="D96" s="126" t="s">
        <v>50</v>
      </c>
      <c r="E96" s="126" t="s">
        <v>93</v>
      </c>
      <c r="F96" s="126" t="s">
        <v>94</v>
      </c>
      <c r="G96" s="126" t="s">
        <v>95</v>
      </c>
      <c r="H96" s="274">
        <v>16</v>
      </c>
      <c r="I96" s="395"/>
      <c r="J96" s="260">
        <v>18</v>
      </c>
      <c r="K96" s="262">
        <v>22282000</v>
      </c>
      <c r="L96" s="390">
        <v>22</v>
      </c>
      <c r="M96" s="348">
        <v>22282000</v>
      </c>
      <c r="N96" s="316">
        <v>7</v>
      </c>
      <c r="O96" s="359"/>
      <c r="P96" s="342">
        <v>1485467</v>
      </c>
      <c r="Q96" s="342">
        <v>3428000</v>
      </c>
      <c r="R96" s="342">
        <v>3428000</v>
      </c>
      <c r="S96" s="342">
        <v>3428000</v>
      </c>
      <c r="T96" s="342">
        <v>3428000</v>
      </c>
      <c r="U96" s="342">
        <v>3428000</v>
      </c>
      <c r="V96" s="342">
        <f>VLOOKUP(L96,[3]Hoja1!N$1:T$53,7,0)</f>
        <v>3656533</v>
      </c>
      <c r="W96" s="342"/>
      <c r="X96" s="342"/>
      <c r="Y96" s="342"/>
      <c r="Z96" s="342"/>
      <c r="AA96" s="194">
        <f t="shared" si="1"/>
        <v>22282000</v>
      </c>
      <c r="AB96" s="237">
        <f t="shared" si="2"/>
        <v>0</v>
      </c>
      <c r="AC96" s="505">
        <v>246</v>
      </c>
      <c r="AD96" s="340" t="s">
        <v>243</v>
      </c>
      <c r="AE96" s="340" t="s">
        <v>208</v>
      </c>
      <c r="AF96" s="826">
        <f t="shared" si="12"/>
        <v>7</v>
      </c>
      <c r="AG96" s="445">
        <v>22282000</v>
      </c>
      <c r="AH96" s="728">
        <f t="shared" si="3"/>
        <v>0</v>
      </c>
    </row>
    <row r="97" spans="1:34" s="7" customFormat="1">
      <c r="A97" s="345" t="s">
        <v>96</v>
      </c>
      <c r="B97" s="269">
        <f t="shared" si="4"/>
        <v>22282000</v>
      </c>
      <c r="C97" s="126" t="s">
        <v>45</v>
      </c>
      <c r="D97" s="126" t="s">
        <v>50</v>
      </c>
      <c r="E97" s="126" t="s">
        <v>93</v>
      </c>
      <c r="F97" s="126" t="s">
        <v>94</v>
      </c>
      <c r="G97" s="126" t="s">
        <v>95</v>
      </c>
      <c r="H97" s="274">
        <v>17</v>
      </c>
      <c r="I97" s="395"/>
      <c r="J97" s="260">
        <v>19</v>
      </c>
      <c r="K97" s="262">
        <v>22282000</v>
      </c>
      <c r="L97" s="390">
        <v>98</v>
      </c>
      <c r="M97" s="348">
        <v>22282000</v>
      </c>
      <c r="N97" s="316">
        <v>40</v>
      </c>
      <c r="O97" s="359"/>
      <c r="P97" s="342">
        <v>914133</v>
      </c>
      <c r="Q97" s="342">
        <v>3428000</v>
      </c>
      <c r="R97" s="342">
        <v>3428000</v>
      </c>
      <c r="S97" s="342">
        <v>3428000</v>
      </c>
      <c r="T97" s="342">
        <v>3428000</v>
      </c>
      <c r="U97" s="342">
        <v>3428000</v>
      </c>
      <c r="V97" s="342">
        <f>VLOOKUP(L97,[2]Hoja2!N$2:T$40,7,0)</f>
        <v>3542267</v>
      </c>
      <c r="W97" s="342"/>
      <c r="X97" s="342"/>
      <c r="Y97" s="342"/>
      <c r="Z97" s="342"/>
      <c r="AA97" s="194">
        <f t="shared" si="1"/>
        <v>21596400</v>
      </c>
      <c r="AB97" s="237">
        <f t="shared" si="2"/>
        <v>685600</v>
      </c>
      <c r="AC97" s="505">
        <v>247</v>
      </c>
      <c r="AD97" s="340" t="s">
        <v>243</v>
      </c>
      <c r="AE97" s="340" t="s">
        <v>209</v>
      </c>
      <c r="AF97" s="826">
        <f t="shared" si="12"/>
        <v>40</v>
      </c>
      <c r="AG97" s="445">
        <v>22282000</v>
      </c>
      <c r="AH97" s="728">
        <f t="shared" si="3"/>
        <v>0</v>
      </c>
    </row>
    <row r="98" spans="1:34" s="7" customFormat="1">
      <c r="A98" s="345" t="s">
        <v>96</v>
      </c>
      <c r="B98" s="269">
        <f t="shared" si="4"/>
        <v>22282000</v>
      </c>
      <c r="C98" s="126" t="s">
        <v>45</v>
      </c>
      <c r="D98" s="126" t="s">
        <v>50</v>
      </c>
      <c r="E98" s="126" t="s">
        <v>93</v>
      </c>
      <c r="F98" s="126" t="s">
        <v>94</v>
      </c>
      <c r="G98" s="126" t="s">
        <v>95</v>
      </c>
      <c r="H98" s="274">
        <v>18</v>
      </c>
      <c r="I98" s="395"/>
      <c r="J98" s="260">
        <v>20</v>
      </c>
      <c r="K98" s="262">
        <v>22282000</v>
      </c>
      <c r="L98" s="390">
        <v>51</v>
      </c>
      <c r="M98" s="348">
        <v>22282000</v>
      </c>
      <c r="N98" s="316">
        <v>16</v>
      </c>
      <c r="O98" s="359"/>
      <c r="P98" s="342">
        <v>1485467</v>
      </c>
      <c r="Q98" s="342">
        <v>3428000</v>
      </c>
      <c r="R98" s="342">
        <v>3428000</v>
      </c>
      <c r="S98" s="342">
        <v>3428000</v>
      </c>
      <c r="T98" s="342">
        <v>3428000</v>
      </c>
      <c r="U98" s="342">
        <v>3428000</v>
      </c>
      <c r="V98" s="342">
        <f>VLOOKUP(L98,[2]Hoja2!N$2:T$40,7,0)</f>
        <v>3656533</v>
      </c>
      <c r="W98" s="342"/>
      <c r="X98" s="342"/>
      <c r="Y98" s="342"/>
      <c r="Z98" s="342"/>
      <c r="AA98" s="194">
        <f t="shared" si="1"/>
        <v>22282000</v>
      </c>
      <c r="AB98" s="237">
        <f t="shared" si="2"/>
        <v>0</v>
      </c>
      <c r="AC98" s="505">
        <v>248</v>
      </c>
      <c r="AD98" s="340" t="s">
        <v>243</v>
      </c>
      <c r="AE98" s="340" t="s">
        <v>210</v>
      </c>
      <c r="AF98" s="826">
        <f t="shared" si="12"/>
        <v>16</v>
      </c>
      <c r="AG98" s="445">
        <v>22282000</v>
      </c>
      <c r="AH98" s="728">
        <f t="shared" si="3"/>
        <v>0</v>
      </c>
    </row>
    <row r="99" spans="1:34" s="7" customFormat="1">
      <c r="A99" s="345" t="s">
        <v>96</v>
      </c>
      <c r="B99" s="269">
        <f t="shared" si="4"/>
        <v>22282000</v>
      </c>
      <c r="C99" s="126" t="s">
        <v>45</v>
      </c>
      <c r="D99" s="126" t="s">
        <v>50</v>
      </c>
      <c r="E99" s="126" t="s">
        <v>93</v>
      </c>
      <c r="F99" s="126" t="s">
        <v>94</v>
      </c>
      <c r="G99" s="126" t="s">
        <v>95</v>
      </c>
      <c r="H99" s="274">
        <v>19</v>
      </c>
      <c r="I99" s="395"/>
      <c r="J99" s="260">
        <v>21</v>
      </c>
      <c r="K99" s="262">
        <v>22282000</v>
      </c>
      <c r="L99" s="390">
        <v>23</v>
      </c>
      <c r="M99" s="348">
        <v>22282000</v>
      </c>
      <c r="N99" s="316">
        <v>6</v>
      </c>
      <c r="O99" s="359"/>
      <c r="P99" s="342">
        <v>1485467</v>
      </c>
      <c r="Q99" s="342">
        <v>3428000</v>
      </c>
      <c r="R99" s="342">
        <v>3428000</v>
      </c>
      <c r="S99" s="342">
        <v>3428000</v>
      </c>
      <c r="T99" s="342">
        <v>3428000</v>
      </c>
      <c r="U99" s="342">
        <v>3428000</v>
      </c>
      <c r="V99" s="342">
        <f>VLOOKUP(L99,[3]Hoja1!N$1:T$53,7,0)</f>
        <v>3656533</v>
      </c>
      <c r="W99" s="342"/>
      <c r="X99" s="342"/>
      <c r="Y99" s="342"/>
      <c r="Z99" s="342"/>
      <c r="AA99" s="194">
        <f t="shared" si="1"/>
        <v>22282000</v>
      </c>
      <c r="AB99" s="237">
        <f t="shared" si="2"/>
        <v>0</v>
      </c>
      <c r="AC99" s="505">
        <v>249</v>
      </c>
      <c r="AD99" s="340" t="s">
        <v>243</v>
      </c>
      <c r="AE99" s="340" t="s">
        <v>211</v>
      </c>
      <c r="AF99" s="826">
        <f t="shared" si="12"/>
        <v>6</v>
      </c>
      <c r="AG99" s="445">
        <v>22282000</v>
      </c>
      <c r="AH99" s="728">
        <f t="shared" si="3"/>
        <v>0</v>
      </c>
    </row>
    <row r="100" spans="1:34" s="7" customFormat="1">
      <c r="A100" s="345" t="s">
        <v>96</v>
      </c>
      <c r="B100" s="269">
        <f t="shared" si="4"/>
        <v>12000000</v>
      </c>
      <c r="C100" s="126" t="s">
        <v>45</v>
      </c>
      <c r="D100" s="126" t="s">
        <v>50</v>
      </c>
      <c r="E100" s="126" t="s">
        <v>93</v>
      </c>
      <c r="F100" s="126" t="s">
        <v>94</v>
      </c>
      <c r="G100" s="126" t="s">
        <v>95</v>
      </c>
      <c r="H100" s="274">
        <v>150</v>
      </c>
      <c r="I100" s="395"/>
      <c r="J100" s="260">
        <v>163</v>
      </c>
      <c r="K100" s="262">
        <v>12000000</v>
      </c>
      <c r="L100" s="390">
        <v>156</v>
      </c>
      <c r="M100" s="348">
        <v>12000000</v>
      </c>
      <c r="N100" s="316">
        <v>144</v>
      </c>
      <c r="O100" s="359"/>
      <c r="P100" s="342">
        <v>466667</v>
      </c>
      <c r="Q100" s="342">
        <v>2000000</v>
      </c>
      <c r="R100" s="342">
        <v>2000000</v>
      </c>
      <c r="S100" s="342">
        <v>2000000</v>
      </c>
      <c r="T100" s="342">
        <v>2000000</v>
      </c>
      <c r="U100" s="342">
        <v>2000000</v>
      </c>
      <c r="V100" s="342">
        <f>VLOOKUP(L100,[3]Hoja1!N$1:T$53,7,0)</f>
        <v>1533333</v>
      </c>
      <c r="W100" s="342"/>
      <c r="X100" s="342"/>
      <c r="Y100" s="342"/>
      <c r="Z100" s="342"/>
      <c r="AA100" s="194">
        <f t="shared" si="1"/>
        <v>12000000</v>
      </c>
      <c r="AB100" s="237">
        <f t="shared" si="2"/>
        <v>0</v>
      </c>
      <c r="AC100" s="505">
        <v>250</v>
      </c>
      <c r="AD100" s="340" t="s">
        <v>244</v>
      </c>
      <c r="AE100" s="340" t="s">
        <v>212</v>
      </c>
      <c r="AF100" s="826">
        <f t="shared" si="12"/>
        <v>144</v>
      </c>
      <c r="AG100" s="445">
        <v>12000000</v>
      </c>
      <c r="AH100" s="728">
        <f t="shared" si="3"/>
        <v>0</v>
      </c>
    </row>
    <row r="101" spans="1:34" s="7" customFormat="1">
      <c r="A101" s="345" t="s">
        <v>96</v>
      </c>
      <c r="B101" s="269">
        <f t="shared" si="4"/>
        <v>0</v>
      </c>
      <c r="C101" s="126" t="s">
        <v>45</v>
      </c>
      <c r="D101" s="126" t="s">
        <v>50</v>
      </c>
      <c r="E101" s="126" t="s">
        <v>93</v>
      </c>
      <c r="F101" s="126" t="s">
        <v>94</v>
      </c>
      <c r="G101" s="126" t="s">
        <v>95</v>
      </c>
      <c r="H101" s="274">
        <v>0</v>
      </c>
      <c r="I101" s="395"/>
      <c r="J101" s="260"/>
      <c r="K101" s="262"/>
      <c r="L101" s="390"/>
      <c r="M101" s="348"/>
      <c r="N101" s="316"/>
      <c r="O101" s="359"/>
      <c r="P101" s="342"/>
      <c r="Q101" s="342"/>
      <c r="R101" s="342"/>
      <c r="S101" s="342"/>
      <c r="T101" s="342"/>
      <c r="U101" s="342"/>
      <c r="V101" s="342"/>
      <c r="W101" s="342"/>
      <c r="X101" s="342"/>
      <c r="Y101" s="342"/>
      <c r="Z101" s="342"/>
      <c r="AA101" s="194">
        <f t="shared" si="1"/>
        <v>0</v>
      </c>
      <c r="AB101" s="237">
        <f t="shared" si="2"/>
        <v>0</v>
      </c>
      <c r="AC101" s="505">
        <v>173</v>
      </c>
      <c r="AD101" s="384" t="s">
        <v>260</v>
      </c>
      <c r="AE101" s="340"/>
      <c r="AF101" s="826">
        <f t="shared" si="12"/>
        <v>0</v>
      </c>
      <c r="AG101" s="445">
        <f>9000000-9000000</f>
        <v>0</v>
      </c>
      <c r="AH101" s="728">
        <f t="shared" si="3"/>
        <v>0</v>
      </c>
    </row>
    <row r="102" spans="1:34" s="7" customFormat="1">
      <c r="A102" s="345" t="s">
        <v>96</v>
      </c>
      <c r="B102" s="269">
        <f t="shared" si="4"/>
        <v>0</v>
      </c>
      <c r="C102" s="126" t="s">
        <v>45</v>
      </c>
      <c r="D102" s="126" t="s">
        <v>50</v>
      </c>
      <c r="E102" s="126" t="s">
        <v>93</v>
      </c>
      <c r="F102" s="126" t="s">
        <v>94</v>
      </c>
      <c r="G102" s="126" t="s">
        <v>95</v>
      </c>
      <c r="H102" s="274">
        <v>0</v>
      </c>
      <c r="I102" s="395"/>
      <c r="J102" s="260"/>
      <c r="K102" s="262"/>
      <c r="L102" s="390"/>
      <c r="M102" s="348"/>
      <c r="N102" s="316"/>
      <c r="O102" s="359"/>
      <c r="P102" s="342"/>
      <c r="Q102" s="342"/>
      <c r="R102" s="342"/>
      <c r="S102" s="342"/>
      <c r="T102" s="342"/>
      <c r="U102" s="342"/>
      <c r="V102" s="342"/>
      <c r="W102" s="342"/>
      <c r="X102" s="342"/>
      <c r="Y102" s="342"/>
      <c r="Z102" s="342"/>
      <c r="AA102" s="194">
        <f t="shared" si="1"/>
        <v>0</v>
      </c>
      <c r="AB102" s="237">
        <f t="shared" si="2"/>
        <v>0</v>
      </c>
      <c r="AC102" s="505">
        <v>181</v>
      </c>
      <c r="AD102" s="384" t="s">
        <v>261</v>
      </c>
      <c r="AE102" s="340"/>
      <c r="AF102" s="826">
        <f t="shared" si="12"/>
        <v>0</v>
      </c>
      <c r="AG102" s="445">
        <f>9000000-9000000</f>
        <v>0</v>
      </c>
      <c r="AH102" s="728">
        <f t="shared" si="3"/>
        <v>0</v>
      </c>
    </row>
    <row r="103" spans="1:34" s="7" customFormat="1">
      <c r="A103" s="345" t="s">
        <v>96</v>
      </c>
      <c r="B103" s="269">
        <f>K103</f>
        <v>29333333</v>
      </c>
      <c r="C103" s="126" t="s">
        <v>45</v>
      </c>
      <c r="D103" s="126" t="s">
        <v>50</v>
      </c>
      <c r="E103" s="126" t="s">
        <v>93</v>
      </c>
      <c r="F103" s="126" t="s">
        <v>94</v>
      </c>
      <c r="G103" s="126" t="s">
        <v>95</v>
      </c>
      <c r="H103" s="274">
        <v>460</v>
      </c>
      <c r="I103" s="395">
        <v>29333333</v>
      </c>
      <c r="J103" s="260"/>
      <c r="K103" s="262">
        <v>29333333</v>
      </c>
      <c r="L103" s="390"/>
      <c r="M103" s="348"/>
      <c r="N103" s="316"/>
      <c r="O103" s="359"/>
      <c r="P103" s="342"/>
      <c r="Q103" s="342"/>
      <c r="R103" s="342"/>
      <c r="S103" s="342"/>
      <c r="T103" s="342"/>
      <c r="U103" s="342"/>
      <c r="V103" s="342"/>
      <c r="W103" s="342"/>
      <c r="X103" s="342"/>
      <c r="Y103" s="342"/>
      <c r="Z103" s="342"/>
      <c r="AA103" s="194">
        <f t="shared" ref="AA103:AA111" si="13">SUM(O103:Z103)</f>
        <v>0</v>
      </c>
      <c r="AB103" s="237">
        <f t="shared" ref="AB103:AB111" si="14">M103-AA103</f>
        <v>0</v>
      </c>
      <c r="AC103" s="505">
        <v>190</v>
      </c>
      <c r="AD103" s="384" t="s">
        <v>317</v>
      </c>
      <c r="AE103" s="340"/>
      <c r="AF103" s="826">
        <f t="shared" si="12"/>
        <v>0</v>
      </c>
      <c r="AG103" s="445">
        <v>32000000</v>
      </c>
      <c r="AH103" s="728">
        <f t="shared" si="3"/>
        <v>32000000</v>
      </c>
    </row>
    <row r="104" spans="1:34" s="7" customFormat="1">
      <c r="A104" s="345" t="s">
        <v>96</v>
      </c>
      <c r="B104" s="269">
        <f>K104</f>
        <v>0</v>
      </c>
      <c r="C104" s="126" t="s">
        <v>45</v>
      </c>
      <c r="D104" s="126" t="s">
        <v>50</v>
      </c>
      <c r="E104" s="126" t="s">
        <v>93</v>
      </c>
      <c r="F104" s="126" t="s">
        <v>94</v>
      </c>
      <c r="G104" s="126" t="s">
        <v>95</v>
      </c>
      <c r="H104" s="274">
        <v>0</v>
      </c>
      <c r="I104" s="395"/>
      <c r="J104" s="260"/>
      <c r="K104" s="262"/>
      <c r="L104" s="390"/>
      <c r="M104" s="348"/>
      <c r="N104" s="316"/>
      <c r="O104" s="359"/>
      <c r="P104" s="342"/>
      <c r="Q104" s="342"/>
      <c r="R104" s="342"/>
      <c r="S104" s="342"/>
      <c r="T104" s="342"/>
      <c r="U104" s="342"/>
      <c r="V104" s="342"/>
      <c r="W104" s="342"/>
      <c r="X104" s="342"/>
      <c r="Y104" s="342"/>
      <c r="Z104" s="342"/>
      <c r="AA104" s="194">
        <f t="shared" si="13"/>
        <v>0</v>
      </c>
      <c r="AB104" s="237">
        <f t="shared" si="14"/>
        <v>0</v>
      </c>
      <c r="AC104" s="505">
        <v>192</v>
      </c>
      <c r="AD104" s="384" t="s">
        <v>262</v>
      </c>
      <c r="AE104" s="340"/>
      <c r="AF104" s="826">
        <f t="shared" si="12"/>
        <v>0</v>
      </c>
      <c r="AG104" s="445">
        <f>20000000-20000000</f>
        <v>0</v>
      </c>
      <c r="AH104" s="728">
        <f t="shared" ref="AH104:AH116" si="15">AG104-M104</f>
        <v>0</v>
      </c>
    </row>
    <row r="105" spans="1:34" s="7" customFormat="1">
      <c r="A105" s="345" t="s">
        <v>96</v>
      </c>
      <c r="B105" s="269">
        <f t="shared" ref="B105:B111" si="16">K105</f>
        <v>0</v>
      </c>
      <c r="C105" s="126" t="s">
        <v>45</v>
      </c>
      <c r="D105" s="126" t="s">
        <v>50</v>
      </c>
      <c r="E105" s="126" t="s">
        <v>93</v>
      </c>
      <c r="F105" s="126" t="s">
        <v>94</v>
      </c>
      <c r="G105" s="126" t="s">
        <v>95</v>
      </c>
      <c r="H105" s="274">
        <v>0</v>
      </c>
      <c r="I105" s="395"/>
      <c r="J105" s="260"/>
      <c r="K105" s="262"/>
      <c r="L105" s="390"/>
      <c r="M105" s="348"/>
      <c r="N105" s="316"/>
      <c r="O105" s="359"/>
      <c r="P105" s="342"/>
      <c r="Q105" s="342"/>
      <c r="R105" s="342"/>
      <c r="S105" s="342"/>
      <c r="T105" s="342"/>
      <c r="U105" s="342"/>
      <c r="V105" s="342"/>
      <c r="W105" s="342"/>
      <c r="X105" s="342"/>
      <c r="Y105" s="342"/>
      <c r="Z105" s="342"/>
      <c r="AA105" s="194">
        <f t="shared" si="13"/>
        <v>0</v>
      </c>
      <c r="AB105" s="237">
        <f t="shared" si="14"/>
        <v>0</v>
      </c>
      <c r="AC105" s="505">
        <v>201</v>
      </c>
      <c r="AD105" s="384" t="s">
        <v>263</v>
      </c>
      <c r="AE105" s="340"/>
      <c r="AF105" s="826">
        <f t="shared" si="12"/>
        <v>0</v>
      </c>
      <c r="AG105" s="445">
        <f>39415000-39415000</f>
        <v>0</v>
      </c>
      <c r="AH105" s="728">
        <f t="shared" si="15"/>
        <v>0</v>
      </c>
    </row>
    <row r="106" spans="1:34" s="7" customFormat="1">
      <c r="A106" s="345" t="s">
        <v>96</v>
      </c>
      <c r="B106" s="269">
        <f t="shared" si="16"/>
        <v>0</v>
      </c>
      <c r="C106" s="126" t="s">
        <v>45</v>
      </c>
      <c r="D106" s="126" t="s">
        <v>50</v>
      </c>
      <c r="E106" s="126" t="s">
        <v>93</v>
      </c>
      <c r="F106" s="126" t="s">
        <v>94</v>
      </c>
      <c r="G106" s="126" t="s">
        <v>95</v>
      </c>
      <c r="H106" s="274">
        <v>0</v>
      </c>
      <c r="I106" s="395"/>
      <c r="J106" s="260"/>
      <c r="K106" s="262"/>
      <c r="L106" s="390"/>
      <c r="M106" s="348"/>
      <c r="N106" s="316"/>
      <c r="O106" s="359"/>
      <c r="P106" s="342"/>
      <c r="Q106" s="342"/>
      <c r="R106" s="342"/>
      <c r="S106" s="342"/>
      <c r="T106" s="342"/>
      <c r="U106" s="342"/>
      <c r="V106" s="342"/>
      <c r="W106" s="342"/>
      <c r="X106" s="342"/>
      <c r="Y106" s="342"/>
      <c r="Z106" s="342"/>
      <c r="AA106" s="194">
        <f t="shared" si="13"/>
        <v>0</v>
      </c>
      <c r="AB106" s="237">
        <f t="shared" si="14"/>
        <v>0</v>
      </c>
      <c r="AC106" s="505">
        <v>208</v>
      </c>
      <c r="AD106" s="384" t="s">
        <v>264</v>
      </c>
      <c r="AE106" s="340"/>
      <c r="AF106" s="826">
        <f t="shared" si="12"/>
        <v>0</v>
      </c>
      <c r="AG106" s="445">
        <v>10500000</v>
      </c>
      <c r="AH106" s="728">
        <f t="shared" si="15"/>
        <v>10500000</v>
      </c>
    </row>
    <row r="107" spans="1:34" s="7" customFormat="1">
      <c r="A107" s="345" t="s">
        <v>96</v>
      </c>
      <c r="B107" s="269">
        <f t="shared" si="16"/>
        <v>0</v>
      </c>
      <c r="C107" s="126" t="s">
        <v>45</v>
      </c>
      <c r="D107" s="126" t="s">
        <v>50</v>
      </c>
      <c r="E107" s="126" t="s">
        <v>93</v>
      </c>
      <c r="F107" s="126" t="s">
        <v>94</v>
      </c>
      <c r="G107" s="126" t="s">
        <v>95</v>
      </c>
      <c r="H107" s="274">
        <v>0</v>
      </c>
      <c r="I107" s="395"/>
      <c r="J107" s="260"/>
      <c r="K107" s="85"/>
      <c r="L107" s="389"/>
      <c r="M107" s="348"/>
      <c r="N107" s="307"/>
      <c r="O107" s="359"/>
      <c r="P107" s="342"/>
      <c r="Q107" s="342"/>
      <c r="R107" s="342"/>
      <c r="S107" s="342"/>
      <c r="T107" s="342"/>
      <c r="U107" s="342"/>
      <c r="V107" s="342"/>
      <c r="W107" s="342"/>
      <c r="X107" s="342"/>
      <c r="Y107" s="342"/>
      <c r="Z107" s="342"/>
      <c r="AA107" s="194">
        <f t="shared" si="13"/>
        <v>0</v>
      </c>
      <c r="AB107" s="237">
        <f t="shared" si="14"/>
        <v>0</v>
      </c>
      <c r="AC107" s="505">
        <v>211</v>
      </c>
      <c r="AD107" s="384" t="s">
        <v>265</v>
      </c>
      <c r="AE107" s="335"/>
      <c r="AF107" s="826">
        <f t="shared" si="12"/>
        <v>0</v>
      </c>
      <c r="AG107" s="445">
        <f>20000000-20000000</f>
        <v>0</v>
      </c>
      <c r="AH107" s="728">
        <f t="shared" si="15"/>
        <v>0</v>
      </c>
    </row>
    <row r="108" spans="1:34" s="7" customFormat="1">
      <c r="A108" s="345" t="s">
        <v>96</v>
      </c>
      <c r="B108" s="269">
        <f t="shared" si="16"/>
        <v>0</v>
      </c>
      <c r="C108" s="126" t="s">
        <v>45</v>
      </c>
      <c r="D108" s="126" t="s">
        <v>50</v>
      </c>
      <c r="E108" s="126" t="s">
        <v>93</v>
      </c>
      <c r="F108" s="126" t="s">
        <v>94</v>
      </c>
      <c r="G108" s="126" t="s">
        <v>95</v>
      </c>
      <c r="H108" s="274">
        <v>0</v>
      </c>
      <c r="I108" s="395"/>
      <c r="J108" s="260"/>
      <c r="K108" s="85"/>
      <c r="L108" s="389"/>
      <c r="M108" s="348"/>
      <c r="N108" s="307"/>
      <c r="O108" s="359"/>
      <c r="P108" s="342"/>
      <c r="Q108" s="342"/>
      <c r="R108" s="342"/>
      <c r="S108" s="342"/>
      <c r="T108" s="342"/>
      <c r="U108" s="342"/>
      <c r="V108" s="342"/>
      <c r="W108" s="342"/>
      <c r="X108" s="342"/>
      <c r="Y108" s="342"/>
      <c r="Z108" s="342"/>
      <c r="AA108" s="194">
        <f t="shared" si="13"/>
        <v>0</v>
      </c>
      <c r="AB108" s="237">
        <f t="shared" si="14"/>
        <v>0</v>
      </c>
      <c r="AC108" s="505">
        <v>213</v>
      </c>
      <c r="AD108" s="384" t="s">
        <v>266</v>
      </c>
      <c r="AE108" s="335"/>
      <c r="AF108" s="826">
        <f t="shared" si="12"/>
        <v>0</v>
      </c>
      <c r="AG108" s="445">
        <f>10800000-10800000</f>
        <v>0</v>
      </c>
      <c r="AH108" s="728">
        <f t="shared" si="15"/>
        <v>0</v>
      </c>
    </row>
    <row r="109" spans="1:34" s="7" customFormat="1">
      <c r="A109" s="345" t="s">
        <v>96</v>
      </c>
      <c r="B109" s="269">
        <f t="shared" si="16"/>
        <v>0</v>
      </c>
      <c r="C109" s="126" t="s">
        <v>45</v>
      </c>
      <c r="D109" s="126" t="s">
        <v>50</v>
      </c>
      <c r="E109" s="126" t="s">
        <v>93</v>
      </c>
      <c r="F109" s="126" t="s">
        <v>94</v>
      </c>
      <c r="G109" s="126" t="s">
        <v>95</v>
      </c>
      <c r="H109" s="274">
        <v>0</v>
      </c>
      <c r="I109" s="395"/>
      <c r="J109" s="260"/>
      <c r="K109" s="85"/>
      <c r="L109" s="389"/>
      <c r="M109" s="348"/>
      <c r="N109" s="307"/>
      <c r="O109" s="359"/>
      <c r="P109" s="342"/>
      <c r="Q109" s="342"/>
      <c r="R109" s="342"/>
      <c r="S109" s="342"/>
      <c r="T109" s="342"/>
      <c r="U109" s="342"/>
      <c r="V109" s="342"/>
      <c r="W109" s="342"/>
      <c r="X109" s="342"/>
      <c r="Y109" s="342"/>
      <c r="Z109" s="342"/>
      <c r="AA109" s="194">
        <f t="shared" si="13"/>
        <v>0</v>
      </c>
      <c r="AB109" s="237">
        <f t="shared" si="14"/>
        <v>0</v>
      </c>
      <c r="AC109" s="505">
        <v>219</v>
      </c>
      <c r="AD109" s="384" t="s">
        <v>267</v>
      </c>
      <c r="AE109" s="335"/>
      <c r="AF109" s="826">
        <f t="shared" si="12"/>
        <v>0</v>
      </c>
      <c r="AG109" s="445">
        <f>12000000-12000000</f>
        <v>0</v>
      </c>
      <c r="AH109" s="728">
        <f t="shared" si="15"/>
        <v>0</v>
      </c>
    </row>
    <row r="110" spans="1:34" s="7" customFormat="1">
      <c r="A110" s="345" t="s">
        <v>96</v>
      </c>
      <c r="B110" s="269">
        <f t="shared" si="16"/>
        <v>0</v>
      </c>
      <c r="C110" s="126" t="s">
        <v>45</v>
      </c>
      <c r="D110" s="126" t="s">
        <v>50</v>
      </c>
      <c r="E110" s="126" t="s">
        <v>93</v>
      </c>
      <c r="F110" s="126" t="s">
        <v>94</v>
      </c>
      <c r="G110" s="126" t="s">
        <v>95</v>
      </c>
      <c r="H110" s="274">
        <v>0</v>
      </c>
      <c r="I110" s="395"/>
      <c r="J110" s="260"/>
      <c r="K110" s="85"/>
      <c r="L110" s="389"/>
      <c r="M110" s="348"/>
      <c r="N110" s="307"/>
      <c r="O110" s="359"/>
      <c r="P110" s="342"/>
      <c r="Q110" s="342"/>
      <c r="R110" s="342"/>
      <c r="S110" s="342"/>
      <c r="T110" s="342"/>
      <c r="U110" s="342"/>
      <c r="V110" s="342"/>
      <c r="W110" s="342"/>
      <c r="X110" s="342"/>
      <c r="Y110" s="342"/>
      <c r="Z110" s="342"/>
      <c r="AA110" s="194">
        <f t="shared" si="13"/>
        <v>0</v>
      </c>
      <c r="AB110" s="237">
        <f t="shared" si="14"/>
        <v>0</v>
      </c>
      <c r="AC110" s="505">
        <v>220</v>
      </c>
      <c r="AD110" s="384" t="s">
        <v>268</v>
      </c>
      <c r="AE110" s="335"/>
      <c r="AF110" s="826">
        <f t="shared" si="12"/>
        <v>0</v>
      </c>
      <c r="AG110" s="445">
        <f>20000000-20000000</f>
        <v>0</v>
      </c>
      <c r="AH110" s="728">
        <f t="shared" si="15"/>
        <v>0</v>
      </c>
    </row>
    <row r="111" spans="1:34" s="9" customFormat="1">
      <c r="A111" s="345" t="s">
        <v>96</v>
      </c>
      <c r="B111" s="269">
        <f t="shared" si="16"/>
        <v>0</v>
      </c>
      <c r="C111" s="126" t="s">
        <v>45</v>
      </c>
      <c r="D111" s="126" t="s">
        <v>50</v>
      </c>
      <c r="E111" s="126" t="s">
        <v>93</v>
      </c>
      <c r="F111" s="126" t="s">
        <v>94</v>
      </c>
      <c r="G111" s="126" t="s">
        <v>95</v>
      </c>
      <c r="H111" s="274">
        <v>0</v>
      </c>
      <c r="I111" s="395"/>
      <c r="J111" s="260"/>
      <c r="K111" s="85"/>
      <c r="L111" s="389"/>
      <c r="M111" s="348"/>
      <c r="N111" s="306"/>
      <c r="O111" s="359"/>
      <c r="P111" s="342"/>
      <c r="Q111" s="342"/>
      <c r="R111" s="342"/>
      <c r="S111" s="342"/>
      <c r="T111" s="342"/>
      <c r="U111" s="342"/>
      <c r="V111" s="342"/>
      <c r="W111" s="342"/>
      <c r="X111" s="342"/>
      <c r="Y111" s="342"/>
      <c r="Z111" s="342"/>
      <c r="AA111" s="194">
        <f t="shared" si="13"/>
        <v>0</v>
      </c>
      <c r="AB111" s="237">
        <f t="shared" si="14"/>
        <v>0</v>
      </c>
      <c r="AC111" s="505">
        <v>231</v>
      </c>
      <c r="AD111" s="384" t="s">
        <v>269</v>
      </c>
      <c r="AE111" s="336"/>
      <c r="AF111" s="826">
        <f t="shared" si="12"/>
        <v>0</v>
      </c>
      <c r="AG111" s="445">
        <f>9000000-9000000</f>
        <v>0</v>
      </c>
      <c r="AH111" s="728">
        <f t="shared" si="15"/>
        <v>0</v>
      </c>
    </row>
    <row r="112" spans="1:34" s="9" customFormat="1">
      <c r="A112" s="345" t="s">
        <v>96</v>
      </c>
      <c r="B112" s="269">
        <f>K112</f>
        <v>17692700</v>
      </c>
      <c r="C112" s="126" t="s">
        <v>45</v>
      </c>
      <c r="D112" s="126" t="s">
        <v>50</v>
      </c>
      <c r="E112" s="126" t="s">
        <v>93</v>
      </c>
      <c r="F112" s="126" t="s">
        <v>94</v>
      </c>
      <c r="G112" s="126" t="s">
        <v>95</v>
      </c>
      <c r="H112" s="274">
        <v>387</v>
      </c>
      <c r="I112" s="395">
        <v>17692700</v>
      </c>
      <c r="J112" s="260">
        <v>498</v>
      </c>
      <c r="K112" s="395">
        <v>17692700</v>
      </c>
      <c r="L112" s="389"/>
      <c r="M112" s="348"/>
      <c r="N112" s="306"/>
      <c r="O112" s="359"/>
      <c r="P112" s="342"/>
      <c r="Q112" s="342"/>
      <c r="R112" s="342"/>
      <c r="S112" s="342"/>
      <c r="T112" s="342"/>
      <c r="U112" s="342"/>
      <c r="V112" s="342"/>
      <c r="W112" s="342"/>
      <c r="X112" s="342"/>
      <c r="Y112" s="342"/>
      <c r="Z112" s="342"/>
      <c r="AA112" s="194">
        <f>SUM(O112:Z112)</f>
        <v>0</v>
      </c>
      <c r="AB112" s="237">
        <f>M112-AA112</f>
        <v>0</v>
      </c>
      <c r="AC112" s="506">
        <v>491</v>
      </c>
      <c r="AD112" s="384" t="s">
        <v>280</v>
      </c>
      <c r="AE112" s="336"/>
      <c r="AF112" s="826">
        <f t="shared" si="12"/>
        <v>0</v>
      </c>
      <c r="AG112" s="446">
        <v>21467000</v>
      </c>
      <c r="AH112" s="728">
        <f t="shared" si="15"/>
        <v>21467000</v>
      </c>
    </row>
    <row r="113" spans="1:35" s="9" customFormat="1">
      <c r="A113" s="345" t="s">
        <v>96</v>
      </c>
      <c r="B113" s="269">
        <f>K113</f>
        <v>6323336</v>
      </c>
      <c r="C113" s="126" t="s">
        <v>45</v>
      </c>
      <c r="D113" s="126" t="s">
        <v>50</v>
      </c>
      <c r="E113" s="126" t="s">
        <v>93</v>
      </c>
      <c r="F113" s="126" t="s">
        <v>94</v>
      </c>
      <c r="G113" s="126" t="s">
        <v>95</v>
      </c>
      <c r="H113" s="274">
        <v>417</v>
      </c>
      <c r="I113" s="395">
        <v>6323336</v>
      </c>
      <c r="J113" s="260"/>
      <c r="K113" s="395">
        <v>6323336</v>
      </c>
      <c r="L113" s="389"/>
      <c r="M113" s="348"/>
      <c r="N113" s="306"/>
      <c r="O113" s="359"/>
      <c r="P113" s="342"/>
      <c r="Q113" s="342"/>
      <c r="R113" s="342"/>
      <c r="S113" s="342"/>
      <c r="T113" s="342"/>
      <c r="U113" s="342"/>
      <c r="V113" s="342"/>
      <c r="W113" s="342"/>
      <c r="X113" s="342"/>
      <c r="Y113" s="342"/>
      <c r="Z113" s="342"/>
      <c r="AA113" s="194">
        <f>SUM(O113:Z113)</f>
        <v>0</v>
      </c>
      <c r="AB113" s="237">
        <f>M113-AA113</f>
        <v>0</v>
      </c>
      <c r="AC113" s="506">
        <v>502</v>
      </c>
      <c r="AD113" s="384" t="s">
        <v>306</v>
      </c>
      <c r="AE113" s="336"/>
      <c r="AF113" s="826">
        <f t="shared" si="12"/>
        <v>0</v>
      </c>
      <c r="AG113" s="446">
        <v>7100000</v>
      </c>
      <c r="AH113" s="728">
        <f t="shared" si="15"/>
        <v>7100000</v>
      </c>
    </row>
    <row r="114" spans="1:35" s="9" customFormat="1">
      <c r="A114" s="345" t="s">
        <v>96</v>
      </c>
      <c r="B114" s="269">
        <f>K114</f>
        <v>0</v>
      </c>
      <c r="C114" s="126" t="s">
        <v>45</v>
      </c>
      <c r="D114" s="126" t="s">
        <v>50</v>
      </c>
      <c r="E114" s="126" t="s">
        <v>93</v>
      </c>
      <c r="F114" s="126" t="s">
        <v>94</v>
      </c>
      <c r="G114" s="126" t="s">
        <v>95</v>
      </c>
      <c r="H114" s="274">
        <v>0</v>
      </c>
      <c r="I114" s="395"/>
      <c r="J114" s="260"/>
      <c r="K114" s="395"/>
      <c r="L114" s="389"/>
      <c r="M114" s="348"/>
      <c r="N114" s="306"/>
      <c r="O114" s="359"/>
      <c r="P114" s="342"/>
      <c r="Q114" s="342"/>
      <c r="R114" s="342"/>
      <c r="S114" s="342"/>
      <c r="T114" s="342"/>
      <c r="U114" s="342"/>
      <c r="V114" s="342"/>
      <c r="W114" s="342"/>
      <c r="X114" s="342"/>
      <c r="Y114" s="342"/>
      <c r="Z114" s="342"/>
      <c r="AA114" s="194">
        <f>SUM(O114:Z114)</f>
        <v>0</v>
      </c>
      <c r="AB114" s="237">
        <f>M114-AA114</f>
        <v>0</v>
      </c>
      <c r="AC114" s="506">
        <v>503</v>
      </c>
      <c r="AD114" s="384" t="s">
        <v>307</v>
      </c>
      <c r="AE114" s="336"/>
      <c r="AF114" s="826">
        <f t="shared" si="12"/>
        <v>0</v>
      </c>
      <c r="AG114" s="446">
        <v>23540000</v>
      </c>
      <c r="AH114" s="728">
        <f t="shared" si="15"/>
        <v>23540000</v>
      </c>
    </row>
    <row r="115" spans="1:35" s="9" customFormat="1">
      <c r="A115" s="345" t="s">
        <v>96</v>
      </c>
      <c r="B115" s="269">
        <f>K115</f>
        <v>0</v>
      </c>
      <c r="C115" s="126" t="s">
        <v>45</v>
      </c>
      <c r="D115" s="126" t="s">
        <v>50</v>
      </c>
      <c r="E115" s="126" t="s">
        <v>93</v>
      </c>
      <c r="F115" s="126" t="s">
        <v>94</v>
      </c>
      <c r="G115" s="126" t="s">
        <v>95</v>
      </c>
      <c r="H115" s="274">
        <v>0</v>
      </c>
      <c r="I115" s="395"/>
      <c r="J115" s="260"/>
      <c r="K115" s="395"/>
      <c r="L115" s="389"/>
      <c r="M115" s="348"/>
      <c r="N115" s="306"/>
      <c r="O115" s="359"/>
      <c r="P115" s="342"/>
      <c r="Q115" s="342"/>
      <c r="R115" s="342"/>
      <c r="S115" s="342"/>
      <c r="T115" s="342"/>
      <c r="U115" s="342"/>
      <c r="V115" s="342"/>
      <c r="W115" s="342"/>
      <c r="X115" s="342"/>
      <c r="Y115" s="342"/>
      <c r="Z115" s="342"/>
      <c r="AA115" s="194">
        <f>SUM(O115:Z115)</f>
        <v>0</v>
      </c>
      <c r="AB115" s="237">
        <f>M115-AA115</f>
        <v>0</v>
      </c>
      <c r="AC115" s="506">
        <v>504</v>
      </c>
      <c r="AD115" s="384" t="s">
        <v>308</v>
      </c>
      <c r="AE115" s="336"/>
      <c r="AF115" s="826">
        <f t="shared" si="12"/>
        <v>0</v>
      </c>
      <c r="AG115" s="446">
        <v>9000000</v>
      </c>
      <c r="AH115" s="728">
        <f t="shared" si="15"/>
        <v>9000000</v>
      </c>
    </row>
    <row r="116" spans="1:35" s="9" customFormat="1">
      <c r="A116" s="345" t="s">
        <v>96</v>
      </c>
      <c r="B116" s="269">
        <f>K116</f>
        <v>0</v>
      </c>
      <c r="C116" s="126" t="s">
        <v>45</v>
      </c>
      <c r="D116" s="126" t="s">
        <v>50</v>
      </c>
      <c r="E116" s="126" t="s">
        <v>93</v>
      </c>
      <c r="F116" s="126" t="s">
        <v>94</v>
      </c>
      <c r="G116" s="126" t="s">
        <v>95</v>
      </c>
      <c r="H116" s="274">
        <v>0</v>
      </c>
      <c r="I116" s="395"/>
      <c r="J116" s="260"/>
      <c r="K116" s="395"/>
      <c r="L116" s="389"/>
      <c r="M116" s="348"/>
      <c r="N116" s="306"/>
      <c r="O116" s="359"/>
      <c r="P116" s="342"/>
      <c r="Q116" s="342"/>
      <c r="R116" s="342"/>
      <c r="S116" s="342"/>
      <c r="T116" s="342"/>
      <c r="U116" s="342"/>
      <c r="V116" s="342"/>
      <c r="W116" s="342"/>
      <c r="X116" s="342"/>
      <c r="Y116" s="342"/>
      <c r="Z116" s="342"/>
      <c r="AA116" s="194">
        <f>SUM(O116:Z116)</f>
        <v>0</v>
      </c>
      <c r="AB116" s="237">
        <f>M116-AA116</f>
        <v>0</v>
      </c>
      <c r="AC116" s="506">
        <v>511</v>
      </c>
      <c r="AD116" s="384" t="s">
        <v>318</v>
      </c>
      <c r="AE116" s="336"/>
      <c r="AF116" s="826">
        <f t="shared" si="12"/>
        <v>0</v>
      </c>
      <c r="AG116" s="446">
        <v>24000000</v>
      </c>
      <c r="AH116" s="728">
        <f t="shared" si="15"/>
        <v>24000000</v>
      </c>
    </row>
    <row r="117" spans="1:35" s="9" customFormat="1">
      <c r="A117" s="345"/>
      <c r="B117" s="269">
        <f t="shared" ref="B117:B118" si="17">K117</f>
        <v>0</v>
      </c>
      <c r="C117" s="126"/>
      <c r="D117" s="126"/>
      <c r="E117" s="126"/>
      <c r="F117" s="126"/>
      <c r="G117" s="823"/>
      <c r="H117" s="274"/>
      <c r="I117" s="395"/>
      <c r="J117" s="260"/>
      <c r="K117" s="395"/>
      <c r="L117" s="389"/>
      <c r="M117" s="348"/>
      <c r="N117" s="306"/>
      <c r="O117" s="359"/>
      <c r="P117" s="342"/>
      <c r="Q117" s="342"/>
      <c r="R117" s="342"/>
      <c r="S117" s="342"/>
      <c r="T117" s="342"/>
      <c r="U117" s="342"/>
      <c r="V117" s="342"/>
      <c r="W117" s="342"/>
      <c r="X117" s="342"/>
      <c r="Y117" s="342"/>
      <c r="Z117" s="342"/>
      <c r="AA117" s="194">
        <f t="shared" ref="AA117:AA118" si="18">SUM(O117:Z117)</f>
        <v>0</v>
      </c>
      <c r="AB117" s="237">
        <f t="shared" ref="AB117:AB118" si="19">M117-AA117</f>
        <v>0</v>
      </c>
      <c r="AC117" s="506"/>
      <c r="AD117" s="384"/>
      <c r="AE117" s="336"/>
      <c r="AF117" s="826"/>
      <c r="AG117" s="446"/>
      <c r="AH117" s="728"/>
    </row>
    <row r="118" spans="1:35" s="9" customFormat="1">
      <c r="A118" s="345"/>
      <c r="B118" s="269">
        <f t="shared" si="17"/>
        <v>0</v>
      </c>
      <c r="C118" s="126"/>
      <c r="D118" s="126"/>
      <c r="E118" s="126"/>
      <c r="F118" s="126"/>
      <c r="G118" s="823"/>
      <c r="H118" s="274"/>
      <c r="I118" s="395"/>
      <c r="J118" s="260"/>
      <c r="K118" s="395"/>
      <c r="L118" s="389"/>
      <c r="M118" s="348"/>
      <c r="N118" s="306"/>
      <c r="O118" s="359"/>
      <c r="P118" s="342"/>
      <c r="Q118" s="342"/>
      <c r="R118" s="342"/>
      <c r="S118" s="342"/>
      <c r="T118" s="342"/>
      <c r="U118" s="342"/>
      <c r="V118" s="342"/>
      <c r="W118" s="342"/>
      <c r="X118" s="342"/>
      <c r="Y118" s="342"/>
      <c r="Z118" s="342"/>
      <c r="AA118" s="194">
        <f t="shared" si="18"/>
        <v>0</v>
      </c>
      <c r="AB118" s="237">
        <f t="shared" si="19"/>
        <v>0</v>
      </c>
      <c r="AC118" s="506"/>
      <c r="AD118" s="384"/>
      <c r="AE118" s="336"/>
      <c r="AF118" s="826"/>
      <c r="AG118" s="446"/>
      <c r="AH118" s="728"/>
    </row>
    <row r="119" spans="1:35" s="9" customFormat="1">
      <c r="A119" s="259" t="s">
        <v>32</v>
      </c>
      <c r="B119" s="219">
        <f>B16-SUM(B17:B116)</f>
        <v>27857631</v>
      </c>
      <c r="C119" s="106"/>
      <c r="D119" s="106"/>
      <c r="E119" s="106"/>
      <c r="F119" s="106"/>
      <c r="G119" s="107"/>
      <c r="H119" s="275"/>
      <c r="I119" s="756"/>
      <c r="J119" s="63"/>
      <c r="K119" s="64">
        <f>SUM(K17:K118)</f>
        <v>2021460369</v>
      </c>
      <c r="L119" s="513"/>
      <c r="M119" s="64">
        <f>SUM(M17:M118)</f>
        <v>1968111000</v>
      </c>
      <c r="N119" s="314"/>
      <c r="O119" s="64">
        <f t="shared" ref="O119:AB119" si="20">SUM(O17:O118)</f>
        <v>0</v>
      </c>
      <c r="P119" s="64">
        <f t="shared" si="20"/>
        <v>66204303</v>
      </c>
      <c r="Q119" s="64">
        <f t="shared" si="20"/>
        <v>277707000</v>
      </c>
      <c r="R119" s="64">
        <f t="shared" si="20"/>
        <v>269207000</v>
      </c>
      <c r="S119" s="64">
        <f t="shared" si="20"/>
        <v>288040333</v>
      </c>
      <c r="T119" s="64">
        <f t="shared" si="20"/>
        <v>266840333</v>
      </c>
      <c r="U119" s="64">
        <f t="shared" si="20"/>
        <v>264828667</v>
      </c>
      <c r="V119" s="64">
        <f t="shared" si="20"/>
        <v>217233863</v>
      </c>
      <c r="W119" s="64">
        <f t="shared" si="20"/>
        <v>0</v>
      </c>
      <c r="X119" s="64">
        <f t="shared" si="20"/>
        <v>0</v>
      </c>
      <c r="Y119" s="64">
        <f t="shared" si="20"/>
        <v>0</v>
      </c>
      <c r="Z119" s="64">
        <f t="shared" si="20"/>
        <v>0</v>
      </c>
      <c r="AA119" s="64">
        <f t="shared" si="20"/>
        <v>1650061499</v>
      </c>
      <c r="AB119" s="64">
        <f t="shared" si="20"/>
        <v>310049501</v>
      </c>
      <c r="AC119" s="507"/>
      <c r="AD119" s="442"/>
      <c r="AE119" s="442"/>
      <c r="AF119" s="827"/>
      <c r="AG119" s="64">
        <f>SUM(AG17:AG118)</f>
        <v>2140138000</v>
      </c>
      <c r="AH119" s="64">
        <f>SUM(AH17:AH118)</f>
        <v>172027000</v>
      </c>
      <c r="AI119" s="447">
        <f>B16-AG119</f>
        <v>-90820000</v>
      </c>
    </row>
    <row r="120" spans="1:35" s="7" customFormat="1">
      <c r="A120" s="253" t="s">
        <v>98</v>
      </c>
      <c r="B120" s="201">
        <v>55000000</v>
      </c>
      <c r="C120" s="102" t="s">
        <v>45</v>
      </c>
      <c r="D120" s="102" t="s">
        <v>50</v>
      </c>
      <c r="E120" s="102" t="s">
        <v>93</v>
      </c>
      <c r="F120" s="102" t="s">
        <v>97</v>
      </c>
      <c r="G120" s="102" t="s">
        <v>95</v>
      </c>
      <c r="H120" s="729">
        <v>0</v>
      </c>
      <c r="I120" s="795"/>
      <c r="J120" s="730"/>
      <c r="K120" s="731"/>
      <c r="L120" s="732"/>
      <c r="M120" s="733"/>
      <c r="N120" s="561"/>
      <c r="O120" s="734"/>
      <c r="P120" s="735"/>
      <c r="Q120" s="735"/>
      <c r="R120" s="735"/>
      <c r="S120" s="735"/>
      <c r="T120" s="735"/>
      <c r="U120" s="735"/>
      <c r="V120" s="735"/>
      <c r="W120" s="735"/>
      <c r="X120" s="735"/>
      <c r="Y120" s="735"/>
      <c r="Z120" s="735"/>
      <c r="AA120" s="735"/>
      <c r="AB120" s="736"/>
      <c r="AC120" s="737"/>
      <c r="AD120" s="647"/>
      <c r="AE120" s="647"/>
      <c r="AF120" s="828"/>
      <c r="AG120" s="738"/>
      <c r="AH120" s="649"/>
    </row>
    <row r="121" spans="1:35" s="9" customFormat="1">
      <c r="A121" s="246" t="s">
        <v>98</v>
      </c>
      <c r="B121" s="258">
        <f>K121</f>
        <v>55000000</v>
      </c>
      <c r="C121" s="102" t="s">
        <v>45</v>
      </c>
      <c r="D121" s="102" t="s">
        <v>50</v>
      </c>
      <c r="E121" s="102" t="s">
        <v>93</v>
      </c>
      <c r="F121" s="102" t="s">
        <v>97</v>
      </c>
      <c r="G121" s="102" t="s">
        <v>95</v>
      </c>
      <c r="H121" s="274">
        <v>159</v>
      </c>
      <c r="I121" s="395"/>
      <c r="J121" s="260">
        <v>173</v>
      </c>
      <c r="K121" s="262">
        <v>55000000</v>
      </c>
      <c r="L121" s="390">
        <v>154</v>
      </c>
      <c r="M121" s="348">
        <v>55000000</v>
      </c>
      <c r="N121" s="306">
        <v>142</v>
      </c>
      <c r="O121" s="359"/>
      <c r="P121" s="348">
        <v>1166667</v>
      </c>
      <c r="Q121" s="348">
        <v>5000000</v>
      </c>
      <c r="R121" s="348">
        <v>5000000</v>
      </c>
      <c r="S121" s="348">
        <v>5000000</v>
      </c>
      <c r="T121" s="342">
        <v>5000000</v>
      </c>
      <c r="U121" s="342">
        <v>5000000</v>
      </c>
      <c r="V121" s="342">
        <f>VLOOKUP(L121,[2]Hoja2!N$2:T$40,7,0)</f>
        <v>5000000</v>
      </c>
      <c r="W121" s="342"/>
      <c r="X121" s="342"/>
      <c r="Y121" s="342"/>
      <c r="Z121" s="342"/>
      <c r="AA121" s="194">
        <f>SUM(O121:Z121)</f>
        <v>31166667</v>
      </c>
      <c r="AB121" s="237">
        <f>M121-AA121</f>
        <v>23833333</v>
      </c>
      <c r="AC121" s="505">
        <v>189</v>
      </c>
      <c r="AD121" s="336" t="s">
        <v>245</v>
      </c>
      <c r="AE121" s="336" t="s">
        <v>246</v>
      </c>
      <c r="AF121" s="809">
        <v>142</v>
      </c>
      <c r="AG121" s="445">
        <v>55000000</v>
      </c>
      <c r="AH121" s="728">
        <f>AG121-M121</f>
        <v>0</v>
      </c>
    </row>
    <row r="122" spans="1:35" s="9" customFormat="1">
      <c r="A122" s="246" t="s">
        <v>98</v>
      </c>
      <c r="B122" s="258">
        <f>K122</f>
        <v>0</v>
      </c>
      <c r="C122" s="102" t="s">
        <v>45</v>
      </c>
      <c r="D122" s="102" t="s">
        <v>50</v>
      </c>
      <c r="E122" s="102" t="s">
        <v>93</v>
      </c>
      <c r="F122" s="102" t="s">
        <v>97</v>
      </c>
      <c r="G122" s="102" t="s">
        <v>95</v>
      </c>
      <c r="H122" s="274">
        <v>0</v>
      </c>
      <c r="I122" s="395"/>
      <c r="J122" s="58"/>
      <c r="K122" s="58"/>
      <c r="L122" s="389"/>
      <c r="M122" s="348"/>
      <c r="N122" s="306"/>
      <c r="O122" s="359"/>
      <c r="P122" s="342"/>
      <c r="Q122" s="342"/>
      <c r="R122" s="342"/>
      <c r="S122" s="342"/>
      <c r="T122" s="342"/>
      <c r="U122" s="342"/>
      <c r="V122" s="342"/>
      <c r="W122" s="342"/>
      <c r="X122" s="342"/>
      <c r="Y122" s="342"/>
      <c r="Z122" s="342"/>
      <c r="AA122" s="194">
        <f>SUM(O122:Z122)</f>
        <v>0</v>
      </c>
      <c r="AB122" s="237">
        <f>M122-AA122</f>
        <v>0</v>
      </c>
      <c r="AC122" s="505"/>
      <c r="AD122" s="336"/>
      <c r="AE122" s="336"/>
      <c r="AF122" s="809"/>
      <c r="AG122" s="445"/>
      <c r="AH122" s="728">
        <f>AG122-M122</f>
        <v>0</v>
      </c>
    </row>
    <row r="123" spans="1:35" s="9" customFormat="1">
      <c r="A123" s="268" t="s">
        <v>32</v>
      </c>
      <c r="B123" s="216">
        <f>B120-SUM(B121:B122)</f>
        <v>0</v>
      </c>
      <c r="C123" s="108"/>
      <c r="D123" s="108"/>
      <c r="E123" s="108"/>
      <c r="F123" s="108"/>
      <c r="G123" s="109"/>
      <c r="H123" s="277"/>
      <c r="I123" s="399"/>
      <c r="J123" s="66"/>
      <c r="K123" s="15">
        <f>SUM(K121:K122)</f>
        <v>55000000</v>
      </c>
      <c r="L123" s="136"/>
      <c r="M123" s="15">
        <f>SUM(M121:M122)</f>
        <v>55000000</v>
      </c>
      <c r="N123" s="315"/>
      <c r="O123" s="323">
        <f t="shared" ref="O123:AB123" si="21">SUM(O121:O122)</f>
        <v>0</v>
      </c>
      <c r="P123" s="15">
        <f t="shared" si="21"/>
        <v>1166667</v>
      </c>
      <c r="Q123" s="15">
        <f t="shared" si="21"/>
        <v>5000000</v>
      </c>
      <c r="R123" s="15">
        <f t="shared" si="21"/>
        <v>5000000</v>
      </c>
      <c r="S123" s="15">
        <f t="shared" si="21"/>
        <v>5000000</v>
      </c>
      <c r="T123" s="15">
        <f t="shared" si="21"/>
        <v>5000000</v>
      </c>
      <c r="U123" s="15">
        <f t="shared" si="21"/>
        <v>5000000</v>
      </c>
      <c r="V123" s="15">
        <f t="shared" si="21"/>
        <v>5000000</v>
      </c>
      <c r="W123" s="15">
        <f t="shared" si="21"/>
        <v>0</v>
      </c>
      <c r="X123" s="15">
        <f t="shared" si="21"/>
        <v>0</v>
      </c>
      <c r="Y123" s="15">
        <f t="shared" si="21"/>
        <v>0</v>
      </c>
      <c r="Z123" s="15">
        <f t="shared" si="21"/>
        <v>0</v>
      </c>
      <c r="AA123" s="15">
        <f t="shared" si="21"/>
        <v>31166667</v>
      </c>
      <c r="AB123" s="236">
        <f t="shared" si="21"/>
        <v>23833333</v>
      </c>
      <c r="AC123" s="458"/>
      <c r="AD123" s="442"/>
      <c r="AE123" s="442"/>
      <c r="AF123" s="827"/>
      <c r="AG123" s="15">
        <f>SUM(AG121:AG122)</f>
        <v>55000000</v>
      </c>
      <c r="AH123" s="15">
        <f>SUM(AH121:AH122)</f>
        <v>0</v>
      </c>
    </row>
    <row r="124" spans="1:35" s="7" customFormat="1">
      <c r="A124" s="346" t="s">
        <v>100</v>
      </c>
      <c r="B124" s="201">
        <f>98820000-6600000</f>
        <v>92220000</v>
      </c>
      <c r="C124" s="127" t="s">
        <v>45</v>
      </c>
      <c r="D124" s="127" t="s">
        <v>50</v>
      </c>
      <c r="E124" s="127" t="s">
        <v>93</v>
      </c>
      <c r="F124" s="127" t="s">
        <v>99</v>
      </c>
      <c r="G124" s="127" t="s">
        <v>95</v>
      </c>
      <c r="H124" s="127">
        <v>0</v>
      </c>
      <c r="I124" s="796"/>
      <c r="J124" s="127"/>
      <c r="K124" s="127"/>
      <c r="L124" s="815"/>
      <c r="M124" s="127"/>
      <c r="N124" s="837"/>
      <c r="O124" s="127"/>
      <c r="P124" s="127"/>
      <c r="Q124" s="127"/>
      <c r="R124" s="127"/>
      <c r="S124" s="127"/>
      <c r="T124" s="127"/>
      <c r="U124" s="127"/>
      <c r="V124" s="796"/>
      <c r="W124" s="796"/>
      <c r="X124" s="796"/>
      <c r="Y124" s="796"/>
      <c r="Z124" s="796"/>
      <c r="AA124" s="796"/>
      <c r="AB124" s="796"/>
      <c r="AC124" s="127"/>
      <c r="AD124" s="127"/>
      <c r="AE124" s="127"/>
      <c r="AF124" s="815"/>
      <c r="AG124" s="127"/>
      <c r="AH124" s="127"/>
    </row>
    <row r="125" spans="1:35" s="9" customFormat="1">
      <c r="A125" s="347" t="s">
        <v>100</v>
      </c>
      <c r="B125" s="258">
        <f>K125</f>
        <v>42000000</v>
      </c>
      <c r="C125" s="127" t="s">
        <v>45</v>
      </c>
      <c r="D125" s="127" t="s">
        <v>50</v>
      </c>
      <c r="E125" s="127" t="s">
        <v>93</v>
      </c>
      <c r="F125" s="127" t="s">
        <v>99</v>
      </c>
      <c r="G125" s="127" t="s">
        <v>95</v>
      </c>
      <c r="H125" s="274">
        <v>202</v>
      </c>
      <c r="I125" s="395"/>
      <c r="J125" s="260">
        <v>218</v>
      </c>
      <c r="K125" s="262">
        <v>42000000</v>
      </c>
      <c r="L125" s="390">
        <v>244</v>
      </c>
      <c r="M125" s="348">
        <v>42000000</v>
      </c>
      <c r="N125" s="306">
        <v>205</v>
      </c>
      <c r="O125" s="359"/>
      <c r="P125" s="342">
        <v>1000000</v>
      </c>
      <c r="Q125" s="342">
        <v>6000000</v>
      </c>
      <c r="R125" s="342">
        <v>6000000</v>
      </c>
      <c r="S125" s="342">
        <v>0</v>
      </c>
      <c r="T125" s="524">
        <v>0</v>
      </c>
      <c r="U125" s="342">
        <v>5800000</v>
      </c>
      <c r="V125" s="342">
        <f>6000000+6200000</f>
        <v>12200000</v>
      </c>
      <c r="W125" s="342"/>
      <c r="X125" s="342"/>
      <c r="Y125" s="342"/>
      <c r="Z125" s="342"/>
      <c r="AA125" s="194">
        <f>SUM(O125:Z125)</f>
        <v>31000000</v>
      </c>
      <c r="AB125" s="237">
        <f>M125-AA125</f>
        <v>11000000</v>
      </c>
      <c r="AC125" s="505">
        <v>218</v>
      </c>
      <c r="AD125" s="336" t="s">
        <v>247</v>
      </c>
      <c r="AE125" s="336" t="s">
        <v>250</v>
      </c>
      <c r="AF125" s="809">
        <f>N125</f>
        <v>205</v>
      </c>
      <c r="AG125" s="444">
        <v>42000000</v>
      </c>
      <c r="AH125" s="728">
        <f>AG125-M125</f>
        <v>0</v>
      </c>
    </row>
    <row r="126" spans="1:35" s="9" customFormat="1">
      <c r="A126" s="347" t="s">
        <v>100</v>
      </c>
      <c r="B126" s="258">
        <f>K126</f>
        <v>14720000</v>
      </c>
      <c r="C126" s="127" t="s">
        <v>45</v>
      </c>
      <c r="D126" s="127" t="s">
        <v>50</v>
      </c>
      <c r="E126" s="127" t="s">
        <v>93</v>
      </c>
      <c r="F126" s="127" t="s">
        <v>99</v>
      </c>
      <c r="G126" s="127" t="s">
        <v>95</v>
      </c>
      <c r="H126" s="274">
        <v>257</v>
      </c>
      <c r="I126" s="395"/>
      <c r="J126" s="260">
        <v>309</v>
      </c>
      <c r="K126" s="262">
        <v>14720000</v>
      </c>
      <c r="L126" s="390">
        <v>283</v>
      </c>
      <c r="M126" s="348">
        <v>14720000</v>
      </c>
      <c r="N126" s="306">
        <v>242</v>
      </c>
      <c r="O126" s="359"/>
      <c r="P126" s="342">
        <v>1025556</v>
      </c>
      <c r="Q126" s="342">
        <v>3076666</v>
      </c>
      <c r="R126" s="342">
        <v>0</v>
      </c>
      <c r="S126" s="342">
        <v>4393564</v>
      </c>
      <c r="T126" s="342">
        <v>2196782</v>
      </c>
      <c r="U126" s="342">
        <v>2196782</v>
      </c>
      <c r="V126" s="342">
        <f>VLOOKUP(L126,[3]Hoja1!N$1:T$53,7,0)</f>
        <v>1830650</v>
      </c>
      <c r="W126" s="342"/>
      <c r="X126" s="342"/>
      <c r="Y126" s="342"/>
      <c r="Z126" s="342"/>
      <c r="AA126" s="194">
        <f>SUM(O126:Z126)</f>
        <v>14720000</v>
      </c>
      <c r="AB126" s="237">
        <f>M126-AA126</f>
        <v>0</v>
      </c>
      <c r="AC126" s="505">
        <v>222</v>
      </c>
      <c r="AD126" s="336" t="s">
        <v>248</v>
      </c>
      <c r="AE126" s="336" t="s">
        <v>251</v>
      </c>
      <c r="AF126" s="809">
        <f>N126</f>
        <v>242</v>
      </c>
      <c r="AG126" s="444">
        <v>14720000</v>
      </c>
      <c r="AH126" s="728">
        <f>AG126-M126</f>
        <v>0</v>
      </c>
    </row>
    <row r="127" spans="1:35" s="9" customFormat="1">
      <c r="A127" s="347" t="s">
        <v>100</v>
      </c>
      <c r="B127" s="258">
        <f>K127</f>
        <v>28000000</v>
      </c>
      <c r="C127" s="127" t="s">
        <v>45</v>
      </c>
      <c r="D127" s="127" t="s">
        <v>50</v>
      </c>
      <c r="E127" s="127" t="s">
        <v>93</v>
      </c>
      <c r="F127" s="127" t="s">
        <v>99</v>
      </c>
      <c r="G127" s="127" t="s">
        <v>95</v>
      </c>
      <c r="H127" s="274">
        <v>203</v>
      </c>
      <c r="I127" s="395"/>
      <c r="J127" s="260">
        <v>227</v>
      </c>
      <c r="K127" s="262">
        <v>28000000</v>
      </c>
      <c r="L127" s="390">
        <v>220</v>
      </c>
      <c r="M127" s="348">
        <v>28000000</v>
      </c>
      <c r="N127" s="306">
        <v>203</v>
      </c>
      <c r="O127" s="359"/>
      <c r="P127" s="342"/>
      <c r="Q127" s="342">
        <v>4666667</v>
      </c>
      <c r="R127" s="342">
        <v>4000000</v>
      </c>
      <c r="S127" s="342">
        <v>4000000</v>
      </c>
      <c r="T127" s="524">
        <v>0</v>
      </c>
      <c r="U127" s="342">
        <v>4000000</v>
      </c>
      <c r="V127" s="342">
        <f>VLOOKUP(L127,[2]Hoja2!N$2:T$40,7,0)</f>
        <v>4000000</v>
      </c>
      <c r="W127" s="342"/>
      <c r="X127" s="342"/>
      <c r="Y127" s="342"/>
      <c r="Z127" s="342"/>
      <c r="AA127" s="194">
        <f>SUM(O127:Z127)</f>
        <v>20666667</v>
      </c>
      <c r="AB127" s="237">
        <f>M127-AA127</f>
        <v>7333333</v>
      </c>
      <c r="AC127" s="505">
        <v>228</v>
      </c>
      <c r="AD127" s="336" t="s">
        <v>249</v>
      </c>
      <c r="AE127" s="336" t="s">
        <v>252</v>
      </c>
      <c r="AF127" s="809">
        <f>N127</f>
        <v>203</v>
      </c>
      <c r="AG127" s="444">
        <v>28000000</v>
      </c>
      <c r="AH127" s="728">
        <f>AG127-M127</f>
        <v>0</v>
      </c>
    </row>
    <row r="128" spans="1:35" s="9" customFormat="1">
      <c r="A128" s="347" t="s">
        <v>100</v>
      </c>
      <c r="B128" s="258">
        <f>K128</f>
        <v>0</v>
      </c>
      <c r="C128" s="127" t="s">
        <v>45</v>
      </c>
      <c r="D128" s="127" t="s">
        <v>50</v>
      </c>
      <c r="E128" s="127" t="s">
        <v>93</v>
      </c>
      <c r="F128" s="127" t="s">
        <v>99</v>
      </c>
      <c r="G128" s="127" t="s">
        <v>95</v>
      </c>
      <c r="H128" s="274">
        <v>0</v>
      </c>
      <c r="I128" s="395"/>
      <c r="J128" s="260"/>
      <c r="K128" s="262"/>
      <c r="L128" s="390"/>
      <c r="M128" s="348"/>
      <c r="N128" s="306"/>
      <c r="O128" s="359"/>
      <c r="P128" s="342"/>
      <c r="Q128" s="342"/>
      <c r="R128" s="342"/>
      <c r="S128" s="342"/>
      <c r="T128" s="342"/>
      <c r="U128" s="342"/>
      <c r="V128" s="342"/>
      <c r="W128" s="342"/>
      <c r="X128" s="342"/>
      <c r="Y128" s="342"/>
      <c r="Z128" s="342"/>
      <c r="AA128" s="194"/>
      <c r="AB128" s="237"/>
      <c r="AC128" s="505">
        <v>202</v>
      </c>
      <c r="AD128" s="336" t="s">
        <v>270</v>
      </c>
      <c r="AE128" s="336"/>
      <c r="AF128" s="809">
        <f>N128</f>
        <v>0</v>
      </c>
      <c r="AG128" s="444">
        <v>7500000</v>
      </c>
      <c r="AH128" s="728">
        <f>AG128-M128</f>
        <v>7500000</v>
      </c>
    </row>
    <row r="129" spans="1:35" s="9" customFormat="1">
      <c r="A129" s="347" t="s">
        <v>100</v>
      </c>
      <c r="B129" s="258">
        <f>K129</f>
        <v>0</v>
      </c>
      <c r="C129" s="127" t="s">
        <v>45</v>
      </c>
      <c r="D129" s="127" t="s">
        <v>50</v>
      </c>
      <c r="E129" s="127" t="s">
        <v>93</v>
      </c>
      <c r="F129" s="127" t="s">
        <v>99</v>
      </c>
      <c r="G129" s="127" t="s">
        <v>95</v>
      </c>
      <c r="H129" s="274">
        <v>0</v>
      </c>
      <c r="I129" s="395"/>
      <c r="J129" s="58"/>
      <c r="K129" s="58"/>
      <c r="L129" s="389"/>
      <c r="M129" s="348"/>
      <c r="N129" s="306"/>
      <c r="O129" s="359"/>
      <c r="P129" s="342"/>
      <c r="Q129" s="342"/>
      <c r="R129" s="342"/>
      <c r="S129" s="342"/>
      <c r="T129" s="342"/>
      <c r="U129" s="342"/>
      <c r="V129" s="342"/>
      <c r="W129" s="342"/>
      <c r="X129" s="342"/>
      <c r="Y129" s="342"/>
      <c r="Z129" s="342"/>
      <c r="AA129" s="194">
        <f>SUM(O129:Z129)</f>
        <v>0</v>
      </c>
      <c r="AB129" s="237">
        <f>M129-AA129</f>
        <v>0</v>
      </c>
      <c r="AC129" s="505">
        <v>223</v>
      </c>
      <c r="AD129" s="336" t="s">
        <v>271</v>
      </c>
      <c r="AE129" s="336"/>
      <c r="AF129" s="809">
        <f>N129</f>
        <v>0</v>
      </c>
      <c r="AG129" s="444">
        <f>6600000-6600000</f>
        <v>0</v>
      </c>
      <c r="AH129" s="728">
        <f>AG129-M129</f>
        <v>0</v>
      </c>
    </row>
    <row r="130" spans="1:35">
      <c r="A130" s="350" t="s">
        <v>32</v>
      </c>
      <c r="B130" s="59">
        <f>B124-SUM(B125:B129)</f>
        <v>7500000</v>
      </c>
      <c r="C130" s="67"/>
      <c r="D130" s="67"/>
      <c r="E130" s="67"/>
      <c r="F130" s="67"/>
      <c r="G130" s="68"/>
      <c r="H130" s="275"/>
      <c r="I130" s="756"/>
      <c r="J130" s="63"/>
      <c r="K130" s="64">
        <f>SUM(K125:K129)</f>
        <v>84720000</v>
      </c>
      <c r="L130" s="513"/>
      <c r="M130" s="64">
        <f>SUM(M125:M129)</f>
        <v>84720000</v>
      </c>
      <c r="N130" s="314"/>
      <c r="O130" s="360">
        <f t="shared" ref="O130:AB130" si="22">SUM(O125:O129)</f>
        <v>0</v>
      </c>
      <c r="P130" s="64">
        <f t="shared" si="22"/>
        <v>2025556</v>
      </c>
      <c r="Q130" s="64">
        <f t="shared" si="22"/>
        <v>13743333</v>
      </c>
      <c r="R130" s="64">
        <f t="shared" si="22"/>
        <v>10000000</v>
      </c>
      <c r="S130" s="64">
        <f t="shared" si="22"/>
        <v>8393564</v>
      </c>
      <c r="T130" s="64">
        <f t="shared" si="22"/>
        <v>2196782</v>
      </c>
      <c r="U130" s="64">
        <f t="shared" si="22"/>
        <v>11996782</v>
      </c>
      <c r="V130" s="64">
        <f t="shared" si="22"/>
        <v>18030650</v>
      </c>
      <c r="W130" s="64">
        <f t="shared" si="22"/>
        <v>0</v>
      </c>
      <c r="X130" s="64">
        <f t="shared" si="22"/>
        <v>0</v>
      </c>
      <c r="Y130" s="64">
        <f t="shared" si="22"/>
        <v>0</v>
      </c>
      <c r="Z130" s="64">
        <f t="shared" si="22"/>
        <v>0</v>
      </c>
      <c r="AA130" s="64">
        <f t="shared" si="22"/>
        <v>66386667</v>
      </c>
      <c r="AB130" s="235">
        <f t="shared" si="22"/>
        <v>18333333</v>
      </c>
      <c r="AC130" s="448"/>
      <c r="AD130" s="449"/>
      <c r="AE130" s="449"/>
      <c r="AF130" s="829"/>
      <c r="AG130" s="64">
        <f>SUM(AG125:AG129)</f>
        <v>92220000</v>
      </c>
      <c r="AH130" s="64">
        <f>SUM(AH125:AH129)</f>
        <v>7500000</v>
      </c>
      <c r="AI130" s="31">
        <f>B124-AG130</f>
        <v>0</v>
      </c>
    </row>
    <row r="131" spans="1:35" s="9" customFormat="1">
      <c r="A131" s="351"/>
      <c r="B131" s="226"/>
      <c r="C131" s="352"/>
      <c r="D131" s="353"/>
      <c r="E131" s="352"/>
      <c r="F131" s="352"/>
      <c r="G131" s="354"/>
      <c r="H131" s="355"/>
      <c r="I131" s="775"/>
      <c r="J131" s="228"/>
      <c r="K131" s="190"/>
      <c r="L131" s="514"/>
      <c r="M131" s="356"/>
      <c r="N131" s="318"/>
      <c r="O131" s="361"/>
      <c r="P131" s="357"/>
      <c r="Q131" s="357"/>
      <c r="R131" s="357"/>
      <c r="S131" s="357"/>
      <c r="T131" s="357"/>
      <c r="U131" s="357"/>
      <c r="V131" s="357"/>
      <c r="W131" s="357"/>
      <c r="X131" s="357"/>
      <c r="Y131" s="357"/>
      <c r="Z131" s="357"/>
      <c r="AA131" s="357"/>
      <c r="AB131" s="508"/>
      <c r="AC131" s="440"/>
      <c r="AF131" s="830"/>
      <c r="AG131" s="444"/>
    </row>
    <row r="132" spans="1:35">
      <c r="A132" s="247" t="s">
        <v>53</v>
      </c>
      <c r="B132" s="95">
        <f>B16+B120+B124</f>
        <v>2196538000</v>
      </c>
      <c r="C132" s="16"/>
      <c r="D132" s="17"/>
      <c r="E132" s="16"/>
      <c r="F132" s="16"/>
      <c r="G132" s="18"/>
      <c r="H132" s="337"/>
      <c r="I132" s="784"/>
      <c r="J132" s="16"/>
      <c r="K132" s="19">
        <f>K119+K123+K130</f>
        <v>2161180369</v>
      </c>
      <c r="L132" s="515"/>
      <c r="M132" s="19">
        <f>M119+M123+M130</f>
        <v>2107831000</v>
      </c>
      <c r="N132" s="838"/>
      <c r="O132" s="362">
        <f t="shared" ref="O132:AB132" si="23">O119+O123+O130</f>
        <v>0</v>
      </c>
      <c r="P132" s="19">
        <f t="shared" si="23"/>
        <v>69396526</v>
      </c>
      <c r="Q132" s="19">
        <f t="shared" si="23"/>
        <v>296450333</v>
      </c>
      <c r="R132" s="19">
        <f t="shared" si="23"/>
        <v>284207000</v>
      </c>
      <c r="S132" s="19">
        <f t="shared" si="23"/>
        <v>301433897</v>
      </c>
      <c r="T132" s="145">
        <f t="shared" si="23"/>
        <v>274037115</v>
      </c>
      <c r="U132" s="145">
        <f t="shared" si="23"/>
        <v>281825449</v>
      </c>
      <c r="V132" s="145">
        <f t="shared" si="23"/>
        <v>240264513</v>
      </c>
      <c r="W132" s="145">
        <f t="shared" si="23"/>
        <v>0</v>
      </c>
      <c r="X132" s="145">
        <f t="shared" si="23"/>
        <v>0</v>
      </c>
      <c r="Y132" s="145">
        <f t="shared" si="23"/>
        <v>0</v>
      </c>
      <c r="Z132" s="145">
        <f t="shared" si="23"/>
        <v>0</v>
      </c>
      <c r="AA132" s="145">
        <f t="shared" si="23"/>
        <v>1747614833</v>
      </c>
      <c r="AB132" s="523">
        <f t="shared" si="23"/>
        <v>352216167</v>
      </c>
      <c r="AC132" s="739"/>
      <c r="AD132" s="727"/>
      <c r="AE132" s="727"/>
      <c r="AF132" s="831"/>
      <c r="AG132" s="19">
        <f>AG119+AG123+AG130</f>
        <v>2287358000</v>
      </c>
      <c r="AH132" s="19">
        <f>AH119+AH123+AH130</f>
        <v>179527000</v>
      </c>
      <c r="AI132" s="707">
        <f>AH132/AG132</f>
        <v>7.8486620808810859E-2</v>
      </c>
    </row>
    <row r="133" spans="1:35" hidden="1">
      <c r="A133" s="20"/>
      <c r="B133" s="96"/>
      <c r="C133" s="22"/>
      <c r="D133" s="22"/>
      <c r="E133" s="22"/>
      <c r="F133" s="22"/>
      <c r="G133" s="22"/>
      <c r="H133" s="281"/>
      <c r="I133" s="161"/>
      <c r="J133" s="22"/>
      <c r="K133" s="23"/>
      <c r="L133" s="138"/>
    </row>
    <row r="134" spans="1:35" hidden="1">
      <c r="A134" s="20"/>
      <c r="B134" s="96"/>
      <c r="C134" s="22"/>
      <c r="D134" s="22"/>
      <c r="E134" s="22"/>
      <c r="F134" s="22"/>
      <c r="G134" s="22"/>
      <c r="H134" s="281"/>
      <c r="I134" s="161"/>
      <c r="J134" s="22"/>
      <c r="K134" s="23"/>
      <c r="L134" s="138"/>
    </row>
    <row r="135" spans="1:35">
      <c r="A135" s="20"/>
      <c r="B135" s="96"/>
      <c r="C135" s="22"/>
      <c r="D135" s="22"/>
      <c r="E135" s="22"/>
      <c r="F135" s="22"/>
      <c r="G135" s="22"/>
      <c r="H135" s="281"/>
      <c r="I135" s="161"/>
      <c r="J135" s="22"/>
      <c r="K135" s="23"/>
      <c r="L135" s="138"/>
    </row>
    <row r="136" spans="1:35">
      <c r="A136" s="20"/>
      <c r="B136" s="22"/>
      <c r="C136" s="22"/>
      <c r="D136" s="22"/>
      <c r="E136" s="22"/>
      <c r="F136" s="22"/>
      <c r="G136" s="22"/>
      <c r="H136" s="281"/>
      <c r="I136" s="161"/>
      <c r="J136" s="22"/>
      <c r="K136" s="23"/>
      <c r="L136" s="138"/>
      <c r="U136" s="341">
        <v>281825449</v>
      </c>
      <c r="V136" s="341">
        <v>240264513</v>
      </c>
    </row>
    <row r="137" spans="1:35" ht="31.5" customHeight="1">
      <c r="A137" s="24" t="s">
        <v>38</v>
      </c>
      <c r="B137" s="365" t="s">
        <v>19</v>
      </c>
      <c r="C137" s="22"/>
      <c r="D137" s="22"/>
      <c r="E137" s="22"/>
      <c r="F137" s="22"/>
      <c r="G137" s="196"/>
      <c r="H137" s="280"/>
      <c r="I137" s="769"/>
      <c r="J137" s="232"/>
      <c r="K137" s="147" t="s">
        <v>25</v>
      </c>
      <c r="L137" s="516" t="s">
        <v>26</v>
      </c>
      <c r="M137" s="26" t="s">
        <v>27</v>
      </c>
      <c r="U137" s="341">
        <f>U136-U132</f>
        <v>0</v>
      </c>
      <c r="V137" s="341">
        <f>V136-V132</f>
        <v>0</v>
      </c>
    </row>
    <row r="138" spans="1:35">
      <c r="A138" s="27" t="s">
        <v>39</v>
      </c>
      <c r="B138" s="358">
        <f>B16+B120+B124</f>
        <v>2196538000</v>
      </c>
      <c r="C138" s="708">
        <f>L138/B138</f>
        <v>0.95961508519315397</v>
      </c>
      <c r="D138" s="22"/>
      <c r="E138" s="22"/>
      <c r="F138" s="22"/>
      <c r="G138" s="198"/>
      <c r="H138" s="298"/>
      <c r="I138" s="297"/>
      <c r="J138" s="363"/>
      <c r="K138" s="148">
        <f>K132</f>
        <v>2161180369</v>
      </c>
      <c r="L138" s="751">
        <f>M132</f>
        <v>2107831000</v>
      </c>
      <c r="M138" s="169">
        <f>AA132</f>
        <v>1747614833</v>
      </c>
    </row>
    <row r="139" spans="1:35" s="535" customFormat="1" ht="15">
      <c r="A139" s="525"/>
      <c r="B139" s="526"/>
      <c r="C139" s="526"/>
      <c r="D139" s="526"/>
      <c r="E139" s="526"/>
      <c r="F139" s="526"/>
      <c r="G139" s="527"/>
      <c r="H139" s="528"/>
      <c r="I139" s="797"/>
      <c r="J139" s="802" t="s">
        <v>287</v>
      </c>
      <c r="K139" s="529">
        <f>SUM(I19:I111)-I19-I87-I93</f>
        <v>137206333</v>
      </c>
      <c r="L139" s="530" t="s">
        <v>39</v>
      </c>
      <c r="M139" s="531">
        <f>M132</f>
        <v>2107831000</v>
      </c>
      <c r="N139" s="532"/>
      <c r="O139" s="533">
        <f t="shared" ref="O139:Z139" si="24">O119+O123+O130</f>
        <v>0</v>
      </c>
      <c r="P139" s="533">
        <f t="shared" si="24"/>
        <v>69396526</v>
      </c>
      <c r="Q139" s="533">
        <f t="shared" si="24"/>
        <v>296450333</v>
      </c>
      <c r="R139" s="533">
        <f t="shared" si="24"/>
        <v>284207000</v>
      </c>
      <c r="S139" s="533">
        <f t="shared" si="24"/>
        <v>301433897</v>
      </c>
      <c r="T139" s="533">
        <f t="shared" si="24"/>
        <v>274037115</v>
      </c>
      <c r="U139" s="533">
        <f t="shared" si="24"/>
        <v>281825449</v>
      </c>
      <c r="V139" s="533">
        <f t="shared" si="24"/>
        <v>240264513</v>
      </c>
      <c r="W139" s="533">
        <f t="shared" si="24"/>
        <v>0</v>
      </c>
      <c r="X139" s="533">
        <f t="shared" si="24"/>
        <v>0</v>
      </c>
      <c r="Y139" s="533">
        <f t="shared" si="24"/>
        <v>0</v>
      </c>
      <c r="Z139" s="533">
        <f t="shared" si="24"/>
        <v>0</v>
      </c>
      <c r="AA139" s="533">
        <f>SUM(O139:Z139)</f>
        <v>1747614833</v>
      </c>
      <c r="AB139" s="533">
        <f>M139-AA139</f>
        <v>360216167</v>
      </c>
      <c r="AC139" s="534"/>
      <c r="AF139" s="832"/>
      <c r="AG139" s="536"/>
    </row>
    <row r="140" spans="1:35">
      <c r="A140" s="71"/>
      <c r="B140" s="73"/>
      <c r="C140" s="73"/>
      <c r="D140" s="73"/>
      <c r="E140" s="73"/>
      <c r="F140" s="73"/>
      <c r="G140" s="73"/>
      <c r="H140" s="296"/>
      <c r="I140" s="778"/>
      <c r="J140" s="73"/>
      <c r="K140" s="73"/>
      <c r="L140" s="517"/>
    </row>
    <row r="141" spans="1:35">
      <c r="A141" s="71"/>
      <c r="B141" s="73"/>
      <c r="C141" s="73"/>
      <c r="D141" s="73"/>
      <c r="E141" s="73"/>
      <c r="F141" s="73"/>
      <c r="G141" s="73"/>
      <c r="H141" s="296"/>
      <c r="I141" s="778"/>
      <c r="J141" s="73"/>
      <c r="K141" s="73"/>
      <c r="L141" s="517"/>
      <c r="AA141" s="341">
        <v>1225524871</v>
      </c>
    </row>
    <row r="142" spans="1:35" ht="14.25" customHeight="1" thickBot="1">
      <c r="A142" s="30" t="s">
        <v>40</v>
      </c>
      <c r="B142" s="81"/>
      <c r="C142" s="77"/>
      <c r="D142" s="78"/>
      <c r="E142" s="79"/>
      <c r="F142" s="80"/>
      <c r="G142" s="80"/>
      <c r="H142" s="338"/>
      <c r="I142" s="798"/>
      <c r="J142" s="81"/>
      <c r="K142" s="81"/>
      <c r="L142" s="518"/>
    </row>
    <row r="143" spans="1:35">
      <c r="F143" s="32"/>
    </row>
    <row r="144" spans="1:35">
      <c r="K144" s="31">
        <v>2117523700</v>
      </c>
      <c r="L144" s="139">
        <v>2012983000</v>
      </c>
    </row>
    <row r="145" spans="1:12">
      <c r="K145" s="149">
        <f>K144-K138</f>
        <v>-43656669</v>
      </c>
      <c r="L145" s="139">
        <f>L144-L138</f>
        <v>-94848000</v>
      </c>
    </row>
    <row r="147" spans="1:12">
      <c r="A147" s="33"/>
      <c r="B147" s="97"/>
      <c r="C147" s="35"/>
      <c r="D147" s="36"/>
    </row>
    <row r="148" spans="1:12">
      <c r="A148" s="37"/>
      <c r="B148" s="98"/>
      <c r="C148" s="39"/>
      <c r="D148" s="40"/>
    </row>
    <row r="149" spans="1:12">
      <c r="A149" s="37"/>
      <c r="B149" s="98"/>
      <c r="C149" s="39"/>
      <c r="D149" s="40"/>
    </row>
    <row r="150" spans="1:12">
      <c r="A150" s="37"/>
      <c r="B150" s="98"/>
      <c r="C150" s="39"/>
      <c r="D150" s="40"/>
    </row>
    <row r="158" spans="1:12">
      <c r="A158" s="33"/>
      <c r="B158" s="97"/>
    </row>
    <row r="159" spans="1:12">
      <c r="A159" s="37"/>
      <c r="B159" s="98"/>
      <c r="F159" s="41"/>
    </row>
    <row r="160" spans="1:12">
      <c r="A160" s="37"/>
      <c r="B160" s="98"/>
      <c r="F160" s="41"/>
    </row>
    <row r="161" spans="1:6">
      <c r="A161" s="37"/>
      <c r="B161" s="98"/>
      <c r="F161" s="41"/>
    </row>
    <row r="162" spans="1:6">
      <c r="A162" s="37"/>
      <c r="B162" s="98"/>
      <c r="F162" s="41"/>
    </row>
    <row r="169" spans="1:6">
      <c r="A169" s="37"/>
      <c r="B169" s="98"/>
    </row>
    <row r="170" spans="1:6">
      <c r="A170" s="37"/>
      <c r="B170" s="98"/>
    </row>
    <row r="171" spans="1:6">
      <c r="A171" s="37"/>
      <c r="B171" s="98"/>
    </row>
    <row r="172" spans="1:6">
      <c r="A172" s="37"/>
      <c r="B172" s="98"/>
    </row>
    <row r="173" spans="1:6">
      <c r="A173" s="37"/>
      <c r="B173" s="98"/>
    </row>
    <row r="174" spans="1:6">
      <c r="A174" s="37"/>
      <c r="B174" s="98"/>
    </row>
    <row r="175" spans="1:6">
      <c r="A175" s="37"/>
      <c r="B175" s="98"/>
    </row>
    <row r="176" spans="1:6">
      <c r="A176" s="37"/>
      <c r="B176" s="98"/>
    </row>
    <row r="177" spans="1:2">
      <c r="A177" s="37"/>
      <c r="B177" s="98"/>
    </row>
    <row r="178" spans="1:2">
      <c r="A178" s="37"/>
      <c r="B178" s="98"/>
    </row>
    <row r="179" spans="1:2">
      <c r="A179" s="37"/>
      <c r="B179" s="98"/>
    </row>
    <row r="180" spans="1:2">
      <c r="A180" s="37"/>
      <c r="B180" s="98"/>
    </row>
    <row r="181" spans="1:2">
      <c r="A181" s="37"/>
      <c r="B181" s="98"/>
    </row>
    <row r="182" spans="1:2">
      <c r="A182" s="37"/>
      <c r="B182" s="98"/>
    </row>
    <row r="183" spans="1:2">
      <c r="A183" s="37"/>
      <c r="B183" s="98"/>
    </row>
    <row r="184" spans="1:2">
      <c r="A184" s="37"/>
      <c r="B184" s="98"/>
    </row>
    <row r="185" spans="1:2">
      <c r="A185" s="37"/>
      <c r="B185" s="98"/>
    </row>
    <row r="186" spans="1:2">
      <c r="A186" s="37"/>
      <c r="B186" s="98"/>
    </row>
    <row r="187" spans="1:2">
      <c r="A187" s="37"/>
      <c r="B187" s="98"/>
    </row>
  </sheetData>
  <autoFilter ref="A15:AG130"/>
  <mergeCells count="16">
    <mergeCell ref="B9:D9"/>
    <mergeCell ref="B10:G10"/>
    <mergeCell ref="B11:G11"/>
    <mergeCell ref="A3:G3"/>
    <mergeCell ref="A4:G4"/>
    <mergeCell ref="A5:G5"/>
    <mergeCell ref="A6:G6"/>
    <mergeCell ref="A7:G7"/>
    <mergeCell ref="A8:G8"/>
    <mergeCell ref="A1:A2"/>
    <mergeCell ref="Y1:Z1"/>
    <mergeCell ref="AA1:AB1"/>
    <mergeCell ref="Y2:Z2"/>
    <mergeCell ref="AA2:AB2"/>
    <mergeCell ref="C1:X1"/>
    <mergeCell ref="C2:X2"/>
  </mergeCells>
  <conditionalFormatting sqref="AB120:AB1048576 AB1:AB118">
    <cfRule type="cellIs" dxfId="0" priority="1" operator="lessThan">
      <formula>0</formula>
    </cfRule>
  </conditionalFormatting>
  <printOptions horizontalCentered="1" verticalCentered="1"/>
  <pageMargins left="1.0236220472440944" right="0.39370078740157483" top="0" bottom="0" header="0" footer="0"/>
  <pageSetup scale="57" orientation="landscape" r:id="rId1"/>
  <headerFooter alignWithMargins="0"/>
  <ignoredErrors>
    <ignoredError sqref="AA95:AA100 AA121:AB122 AA129:AB129 AA125:AB127 AA19 AA27:AA48 AA52:AA53 AA55:AA56 AA72:AA87 AA90:AA93 AA17 AA50 AA60:AA66 AA68 AA70"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1024</vt:lpstr>
      <vt:lpstr>1107</vt:lpstr>
      <vt:lpstr>1110</vt:lpstr>
      <vt:lpstr>1112</vt:lpstr>
      <vt:lpstr>1112_</vt:lpstr>
      <vt:lpstr>1114</vt:lpstr>
      <vt:lpstr>1112_1</vt:lpstr>
      <vt:lpstr>'1024'!Área_de_impresión</vt:lpstr>
      <vt:lpstr>'1107'!Área_de_impresión</vt:lpstr>
      <vt:lpstr>'1110'!Área_de_impresión</vt:lpstr>
      <vt:lpstr>'1112'!Área_de_impresión</vt:lpstr>
      <vt:lpstr>'1112_'!Área_de_impresión</vt:lpstr>
      <vt:lpstr>'1112_1'!Área_de_impresión</vt:lpstr>
      <vt:lpstr>'1114'!Área_de_impresión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Orlando Arias</dc:creator>
  <cp:lastModifiedBy>Cindy Orjuela</cp:lastModifiedBy>
  <cp:lastPrinted>2018-11-07T17:07:49Z</cp:lastPrinted>
  <dcterms:created xsi:type="dcterms:W3CDTF">2018-05-03T21:24:38Z</dcterms:created>
  <dcterms:modified xsi:type="dcterms:W3CDTF">2019-01-31T21:52:50Z</dcterms:modified>
</cp:coreProperties>
</file>