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BOGOTA  MEJOR PARA TODOS\VIGENCIA 2019\Rendición de cuentas\Documentos subidos a la WEB\POAI\"/>
    </mc:Choice>
  </mc:AlternateContent>
  <bookViews>
    <workbookView xWindow="0" yWindow="0" windowWidth="20490" windowHeight="7065"/>
  </bookViews>
  <sheets>
    <sheet name="1024" sheetId="1" r:id="rId1"/>
    <sheet name="1107" sheetId="17" r:id="rId2"/>
    <sheet name="1110" sheetId="19" r:id="rId3"/>
    <sheet name="1112" sheetId="22" r:id="rId4"/>
    <sheet name="1114" sheetId="18" r:id="rId5"/>
    <sheet name="TABLERO" sheetId="23" r:id="rId6"/>
  </sheets>
  <externalReferences>
    <externalReference r:id="rId7"/>
    <externalReference r:id="rId8"/>
    <externalReference r:id="rId9"/>
    <externalReference r:id="rId10"/>
    <externalReference r:id="rId11"/>
    <externalReference r:id="rId12"/>
  </externalReferences>
  <definedNames>
    <definedName name="_xlnm._FilterDatabase" localSheetId="0" hidden="1">'1024'!$A$15:$AJ$47</definedName>
    <definedName name="_xlnm._FilterDatabase" localSheetId="1" hidden="1">'1107'!$A$15:$AK$154</definedName>
    <definedName name="_xlnm._FilterDatabase" localSheetId="2" hidden="1">'1110'!$A$15:$AK$156</definedName>
    <definedName name="_xlnm._FilterDatabase" localSheetId="3" hidden="1">'1112'!$A$15:$AC$87</definedName>
    <definedName name="_xlnm._FilterDatabase" localSheetId="4" hidden="1">'1114'!$A$15:$AK$229</definedName>
    <definedName name="_xlnm.Print_Area" localSheetId="0">'1024'!$A$1:$AC$56</definedName>
    <definedName name="_xlnm.Print_Area" localSheetId="1">'1107'!$A$1:$AC$166</definedName>
    <definedName name="_xlnm.Print_Area" localSheetId="2">'1110'!$A$1:$AC$166</definedName>
    <definedName name="_xlnm.Print_Area" localSheetId="3">'1112'!$A$1:$AC$99</definedName>
    <definedName name="_xlnm.Print_Area" localSheetId="4">'1114'!$A$1:$AC$243</definedName>
    <definedName name="fuentes">[1]Listas!$I$85:$I$91</definedName>
    <definedName name="modalidad_desc">[1]Listas!$A$60:$A$73</definedName>
    <definedName name="proyecto_inv">[1]Listas!$A$108:$A$114</definedName>
    <definedName name="Responsable">[1]Listas!$A$77:$A$80</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22" l="1"/>
  <c r="C108" i="22"/>
  <c r="C107" i="22"/>
  <c r="C106" i="22"/>
  <c r="B109" i="22"/>
  <c r="B108" i="22"/>
  <c r="B107" i="22"/>
  <c r="B106" i="22"/>
  <c r="N85" i="19" l="1"/>
  <c r="N22" i="17" l="1"/>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70" i="17"/>
  <c r="B71" i="17"/>
  <c r="B72" i="17"/>
  <c r="B73" i="17"/>
  <c r="B74" i="17"/>
  <c r="B75" i="17"/>
  <c r="B76" i="17"/>
  <c r="B77" i="17"/>
  <c r="B79" i="17"/>
  <c r="B80" i="17"/>
  <c r="B81" i="17"/>
  <c r="B82" i="17"/>
  <c r="B83" i="17"/>
  <c r="B84" i="17"/>
  <c r="B85" i="17"/>
  <c r="B86" i="17"/>
  <c r="B87" i="17"/>
  <c r="B88" i="17"/>
  <c r="B89" i="17"/>
  <c r="B90" i="17"/>
  <c r="B91" i="17"/>
  <c r="B92" i="17"/>
  <c r="B93" i="17"/>
  <c r="B94" i="17"/>
  <c r="B95" i="17"/>
  <c r="B96" i="17"/>
  <c r="B99" i="17"/>
  <c r="B98" i="17" s="1"/>
  <c r="B100" i="17"/>
  <c r="B150" i="17" s="1"/>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2" i="17"/>
  <c r="B153" i="17"/>
  <c r="B18" i="17"/>
  <c r="L210" i="18"/>
  <c r="L85" i="19"/>
  <c r="AH52" i="17"/>
  <c r="B17" i="17"/>
  <c r="B16" i="17" s="1"/>
  <c r="B97" i="17" l="1"/>
  <c r="B69" i="17"/>
  <c r="C94" i="23"/>
  <c r="D94" i="23" s="1"/>
  <c r="B94" i="23"/>
  <c r="D93" i="23"/>
  <c r="D92" i="23"/>
  <c r="D84" i="23"/>
  <c r="C84" i="23"/>
  <c r="B84" i="23"/>
  <c r="D81" i="23"/>
  <c r="C81" i="23"/>
  <c r="B81" i="23"/>
  <c r="A73" i="23"/>
  <c r="B69" i="23"/>
  <c r="B68" i="23"/>
  <c r="B67" i="23"/>
  <c r="B66" i="23" s="1"/>
  <c r="B65" i="23"/>
  <c r="B64" i="23"/>
  <c r="B63" i="23"/>
  <c r="B62" i="23"/>
  <c r="B61" i="23"/>
  <c r="A60" i="23"/>
  <c r="B59" i="23"/>
  <c r="N58" i="23"/>
  <c r="M58" i="23"/>
  <c r="L58" i="23"/>
  <c r="K58" i="23"/>
  <c r="J58" i="23"/>
  <c r="I58" i="23"/>
  <c r="H58" i="23"/>
  <c r="G58" i="23"/>
  <c r="F58" i="23"/>
  <c r="N57" i="23"/>
  <c r="M57" i="23"/>
  <c r="L57" i="23"/>
  <c r="K57" i="23"/>
  <c r="J57" i="23"/>
  <c r="I57" i="23"/>
  <c r="H57" i="23"/>
  <c r="G57" i="23"/>
  <c r="F57" i="23"/>
  <c r="B56" i="23"/>
  <c r="B55" i="23"/>
  <c r="B54" i="23"/>
  <c r="B53" i="23"/>
  <c r="B52" i="23"/>
  <c r="B50" i="23"/>
  <c r="A49" i="23"/>
  <c r="N44" i="23"/>
  <c r="M44" i="23"/>
  <c r="L44" i="23"/>
  <c r="K44" i="23"/>
  <c r="J44" i="23"/>
  <c r="I44" i="23"/>
  <c r="H44" i="23"/>
  <c r="G44" i="23"/>
  <c r="F44" i="23"/>
  <c r="E44" i="23"/>
  <c r="D44" i="23"/>
  <c r="C44" i="23"/>
  <c r="B44" i="23"/>
  <c r="A44" i="23"/>
  <c r="N42" i="23"/>
  <c r="M42" i="23"/>
  <c r="L42" i="23"/>
  <c r="K42" i="23"/>
  <c r="J42" i="23"/>
  <c r="I42" i="23"/>
  <c r="H42" i="23"/>
  <c r="G42" i="23"/>
  <c r="F42" i="23"/>
  <c r="E42" i="23"/>
  <c r="D42" i="23"/>
  <c r="C42" i="23"/>
  <c r="B42" i="23"/>
  <c r="N41" i="23"/>
  <c r="M41" i="23"/>
  <c r="L41" i="23"/>
  <c r="K41" i="23"/>
  <c r="J41" i="23"/>
  <c r="I41" i="23"/>
  <c r="H41" i="23"/>
  <c r="G41" i="23"/>
  <c r="F41" i="23"/>
  <c r="E41" i="23"/>
  <c r="D41" i="23"/>
  <c r="C41" i="23"/>
  <c r="B41" i="23"/>
  <c r="N40" i="23"/>
  <c r="M40" i="23"/>
  <c r="L40" i="23"/>
  <c r="K40" i="23"/>
  <c r="J40" i="23"/>
  <c r="I40" i="23"/>
  <c r="H40" i="23"/>
  <c r="G40" i="23"/>
  <c r="F40" i="23"/>
  <c r="E40" i="23"/>
  <c r="D40" i="23"/>
  <c r="C40" i="23"/>
  <c r="B40" i="23"/>
  <c r="N39" i="23"/>
  <c r="M39" i="23"/>
  <c r="L39" i="23"/>
  <c r="K39" i="23"/>
  <c r="J39" i="23"/>
  <c r="I39" i="23"/>
  <c r="H39" i="23"/>
  <c r="G39" i="23"/>
  <c r="F39" i="23"/>
  <c r="E39" i="23"/>
  <c r="D39" i="23"/>
  <c r="C39" i="23"/>
  <c r="B39" i="23"/>
  <c r="A34" i="23"/>
  <c r="B18" i="23"/>
  <c r="K11" i="23"/>
  <c r="J11" i="23"/>
  <c r="I11" i="23"/>
  <c r="H11" i="23"/>
  <c r="G11" i="23"/>
  <c r="F11" i="23"/>
  <c r="D11" i="23"/>
  <c r="C11" i="23"/>
  <c r="B11" i="23"/>
  <c r="K9" i="23"/>
  <c r="J9" i="23"/>
  <c r="I9" i="23"/>
  <c r="H9" i="23"/>
  <c r="G9" i="23"/>
  <c r="F9" i="23"/>
  <c r="D9" i="23"/>
  <c r="C9" i="23"/>
  <c r="B9" i="23"/>
  <c r="N8" i="23"/>
  <c r="M8" i="23"/>
  <c r="L8" i="23"/>
  <c r="K8" i="23"/>
  <c r="J8" i="23"/>
  <c r="I8" i="23"/>
  <c r="H8" i="23"/>
  <c r="G8" i="23"/>
  <c r="F8" i="23"/>
  <c r="E8" i="23"/>
  <c r="D8" i="23"/>
  <c r="C8" i="23"/>
  <c r="B8" i="23"/>
  <c r="K7" i="23"/>
  <c r="J7" i="23"/>
  <c r="I7" i="23"/>
  <c r="H7" i="23"/>
  <c r="G7" i="23"/>
  <c r="F7" i="23"/>
  <c r="D7" i="23"/>
  <c r="C7" i="23"/>
  <c r="B7" i="23"/>
  <c r="K6" i="23"/>
  <c r="J6" i="23"/>
  <c r="I6" i="23"/>
  <c r="H6" i="23"/>
  <c r="G6" i="23"/>
  <c r="F6" i="23"/>
  <c r="D6" i="23"/>
  <c r="C6" i="23"/>
  <c r="B6" i="23"/>
  <c r="B236" i="18"/>
  <c r="B73" i="23" s="1"/>
  <c r="AB235" i="18"/>
  <c r="AI229" i="18"/>
  <c r="AK229" i="18" s="1"/>
  <c r="AA229" i="18"/>
  <c r="Z229" i="18"/>
  <c r="Y229" i="18"/>
  <c r="X229" i="18"/>
  <c r="W229" i="18"/>
  <c r="V229" i="18"/>
  <c r="U229" i="18"/>
  <c r="T229" i="18"/>
  <c r="S229" i="18"/>
  <c r="R229" i="18"/>
  <c r="Q229" i="18"/>
  <c r="P229" i="18"/>
  <c r="N229" i="18"/>
  <c r="D69" i="23" s="1"/>
  <c r="L229" i="18"/>
  <c r="C69" i="23" s="1"/>
  <c r="F69" i="23" s="1"/>
  <c r="B229" i="18"/>
  <c r="AJ228" i="18"/>
  <c r="AJ229" i="18" s="1"/>
  <c r="AH228" i="18"/>
  <c r="AB228" i="18"/>
  <c r="AB227" i="18"/>
  <c r="AC227" i="18" s="1"/>
  <c r="AI226" i="18"/>
  <c r="AK226" i="18" s="1"/>
  <c r="AA226" i="18"/>
  <c r="Z226" i="18"/>
  <c r="Y226" i="18"/>
  <c r="X226" i="18"/>
  <c r="W226" i="18"/>
  <c r="V226" i="18"/>
  <c r="U226" i="18"/>
  <c r="T226" i="18"/>
  <c r="S226" i="18"/>
  <c r="Q226" i="18"/>
  <c r="P226" i="18"/>
  <c r="L226" i="18"/>
  <c r="AJ225" i="18"/>
  <c r="AH225" i="18"/>
  <c r="AB225" i="18"/>
  <c r="AC225" i="18" s="1"/>
  <c r="B225" i="18"/>
  <c r="AH224" i="18"/>
  <c r="AB224" i="18"/>
  <c r="N224" i="18"/>
  <c r="AJ224" i="18" s="1"/>
  <c r="L224" i="18"/>
  <c r="B224" i="18"/>
  <c r="AJ223" i="18"/>
  <c r="AH223" i="18"/>
  <c r="R223" i="18"/>
  <c r="R226" i="18" s="1"/>
  <c r="B223" i="18"/>
  <c r="AJ222" i="18"/>
  <c r="AH222" i="18"/>
  <c r="AB222" i="18"/>
  <c r="B222" i="18"/>
  <c r="AA220" i="18"/>
  <c r="Z220" i="18"/>
  <c r="Y220" i="18"/>
  <c r="X220" i="18"/>
  <c r="W220" i="18"/>
  <c r="V220" i="18"/>
  <c r="U220" i="18"/>
  <c r="T220" i="18"/>
  <c r="S220" i="18"/>
  <c r="Q220" i="18"/>
  <c r="P220" i="18"/>
  <c r="N220" i="18"/>
  <c r="L220" i="18"/>
  <c r="AJ219" i="18"/>
  <c r="AH219" i="18"/>
  <c r="AB219" i="18"/>
  <c r="AC219" i="18" s="1"/>
  <c r="B219" i="18"/>
  <c r="AJ218" i="18"/>
  <c r="AH218" i="18"/>
  <c r="AB218" i="18"/>
  <c r="AC218" i="18" s="1"/>
  <c r="B218" i="18"/>
  <c r="AJ217" i="18"/>
  <c r="AI217" i="18"/>
  <c r="AH217" i="18"/>
  <c r="AB217" i="18"/>
  <c r="AC217" i="18" s="1"/>
  <c r="B217" i="18"/>
  <c r="AJ216" i="18"/>
  <c r="AH216" i="18"/>
  <c r="R216" i="18"/>
  <c r="AB216" i="18" s="1"/>
  <c r="AC216" i="18" s="1"/>
  <c r="B216" i="18"/>
  <c r="AJ215" i="18"/>
  <c r="AH215" i="18"/>
  <c r="R215" i="18"/>
  <c r="AB215" i="18" s="1"/>
  <c r="AC215" i="18" s="1"/>
  <c r="B215" i="18"/>
  <c r="AJ214" i="18"/>
  <c r="AH214" i="18"/>
  <c r="R214" i="18"/>
  <c r="AB214" i="18" s="1"/>
  <c r="AC214" i="18" s="1"/>
  <c r="B214" i="18"/>
  <c r="AI213" i="18"/>
  <c r="AJ213" i="18" s="1"/>
  <c r="AH213" i="18"/>
  <c r="AB213" i="18"/>
  <c r="AC213" i="18" s="1"/>
  <c r="B213" i="18"/>
  <c r="AJ212" i="18"/>
  <c r="AH212" i="18"/>
  <c r="AC212" i="18"/>
  <c r="AB212" i="18"/>
  <c r="B212" i="18"/>
  <c r="AJ211" i="18"/>
  <c r="AH211" i="18"/>
  <c r="AB211" i="18"/>
  <c r="AC211" i="18" s="1"/>
  <c r="B211" i="18"/>
  <c r="AJ210" i="18"/>
  <c r="AI210" i="18"/>
  <c r="AH210" i="18"/>
  <c r="AB210" i="18"/>
  <c r="AC210" i="18" s="1"/>
  <c r="B210" i="18"/>
  <c r="AJ209" i="18"/>
  <c r="AI209" i="18"/>
  <c r="AH209" i="18"/>
  <c r="AB209" i="18"/>
  <c r="AC209" i="18" s="1"/>
  <c r="B209" i="18"/>
  <c r="AJ208" i="18"/>
  <c r="AH208" i="18"/>
  <c r="R208" i="18"/>
  <c r="AB208" i="18" s="1"/>
  <c r="AC208" i="18" s="1"/>
  <c r="B208" i="18"/>
  <c r="AJ207" i="18"/>
  <c r="AH207" i="18"/>
  <c r="R207" i="18"/>
  <c r="AB207" i="18" s="1"/>
  <c r="AC207" i="18" s="1"/>
  <c r="B207" i="18"/>
  <c r="AJ206" i="18"/>
  <c r="AH206" i="18"/>
  <c r="R206" i="18"/>
  <c r="AB206" i="18" s="1"/>
  <c r="AC206" i="18" s="1"/>
  <c r="B206" i="18"/>
  <c r="AJ205" i="18"/>
  <c r="AH205" i="18"/>
  <c r="R205" i="18"/>
  <c r="AB205" i="18" s="1"/>
  <c r="AC205" i="18" s="1"/>
  <c r="B205" i="18"/>
  <c r="AJ204" i="18"/>
  <c r="AH204" i="18"/>
  <c r="R204" i="18"/>
  <c r="AB204" i="18" s="1"/>
  <c r="AC204" i="18" s="1"/>
  <c r="B204" i="18"/>
  <c r="AJ203" i="18"/>
  <c r="AH203" i="18"/>
  <c r="R203" i="18"/>
  <c r="AB203" i="18" s="1"/>
  <c r="AC203" i="18" s="1"/>
  <c r="B203" i="18"/>
  <c r="AJ202" i="18"/>
  <c r="AH202" i="18"/>
  <c r="R202" i="18"/>
  <c r="AB202" i="18" s="1"/>
  <c r="AC202" i="18" s="1"/>
  <c r="B202" i="18"/>
  <c r="AJ201" i="18"/>
  <c r="AH201" i="18"/>
  <c r="R201" i="18"/>
  <c r="AB201" i="18" s="1"/>
  <c r="AC201" i="18" s="1"/>
  <c r="B201" i="18"/>
  <c r="AJ200" i="18"/>
  <c r="AH200" i="18"/>
  <c r="R200" i="18"/>
  <c r="AB200" i="18" s="1"/>
  <c r="AC200" i="18" s="1"/>
  <c r="B200" i="18"/>
  <c r="AJ199" i="18"/>
  <c r="AH199" i="18"/>
  <c r="R199" i="18"/>
  <c r="AB199" i="18" s="1"/>
  <c r="AC199" i="18" s="1"/>
  <c r="B199" i="18"/>
  <c r="AJ198" i="18"/>
  <c r="AH198" i="18"/>
  <c r="R198" i="18"/>
  <c r="AB198" i="18" s="1"/>
  <c r="AC198" i="18" s="1"/>
  <c r="B198" i="18"/>
  <c r="AJ197" i="18"/>
  <c r="AI197" i="18"/>
  <c r="AH197" i="18"/>
  <c r="AB197" i="18"/>
  <c r="AC197" i="18" s="1"/>
  <c r="B197" i="18"/>
  <c r="AJ196" i="18"/>
  <c r="AH196" i="18"/>
  <c r="AB196" i="18"/>
  <c r="AC196" i="18" s="1"/>
  <c r="B196" i="18"/>
  <c r="AJ195" i="18"/>
  <c r="AH195" i="18"/>
  <c r="R195" i="18"/>
  <c r="AB195" i="18" s="1"/>
  <c r="AC195" i="18" s="1"/>
  <c r="B195" i="18"/>
  <c r="AJ194" i="18"/>
  <c r="AH194" i="18"/>
  <c r="R194" i="18"/>
  <c r="AB194" i="18" s="1"/>
  <c r="AC194" i="18" s="1"/>
  <c r="B194" i="18"/>
  <c r="AJ193" i="18"/>
  <c r="AH193" i="18"/>
  <c r="R193" i="18"/>
  <c r="AB193" i="18" s="1"/>
  <c r="AC193" i="18" s="1"/>
  <c r="B193" i="18"/>
  <c r="AJ192" i="18"/>
  <c r="AH192" i="18"/>
  <c r="R192" i="18"/>
  <c r="AB192" i="18" s="1"/>
  <c r="AC192" i="18" s="1"/>
  <c r="B192" i="18"/>
  <c r="AJ191" i="18"/>
  <c r="AH191" i="18"/>
  <c r="R191" i="18"/>
  <c r="AB191" i="18" s="1"/>
  <c r="AC191" i="18" s="1"/>
  <c r="B191" i="18"/>
  <c r="AJ190" i="18"/>
  <c r="AH190" i="18"/>
  <c r="R190" i="18"/>
  <c r="AB190" i="18" s="1"/>
  <c r="AC190" i="18" s="1"/>
  <c r="B190" i="18"/>
  <c r="AJ189" i="18"/>
  <c r="AH189" i="18"/>
  <c r="AB189" i="18"/>
  <c r="AC189" i="18" s="1"/>
  <c r="B189" i="18"/>
  <c r="AJ188" i="18"/>
  <c r="AH188" i="18"/>
  <c r="R188" i="18"/>
  <c r="AB188" i="18" s="1"/>
  <c r="AC188" i="18" s="1"/>
  <c r="B188" i="18"/>
  <c r="AJ187" i="18"/>
  <c r="AH187" i="18"/>
  <c r="R187" i="18"/>
  <c r="AB187" i="18" s="1"/>
  <c r="AC187" i="18" s="1"/>
  <c r="B187" i="18"/>
  <c r="AJ186" i="18"/>
  <c r="AH186" i="18"/>
  <c r="R186" i="18"/>
  <c r="AB186" i="18" s="1"/>
  <c r="AC186" i="18" s="1"/>
  <c r="B186" i="18"/>
  <c r="AI185" i="18"/>
  <c r="AI220" i="18" s="1"/>
  <c r="AK220" i="18" s="1"/>
  <c r="AH185" i="18"/>
  <c r="AB185" i="18"/>
  <c r="AC185" i="18" s="1"/>
  <c r="B185" i="18"/>
  <c r="AJ184" i="18"/>
  <c r="AH184" i="18"/>
  <c r="AB184" i="18"/>
  <c r="AC184" i="18" s="1"/>
  <c r="B184" i="18"/>
  <c r="AJ183" i="18"/>
  <c r="AH183" i="18"/>
  <c r="R183" i="18"/>
  <c r="AB183" i="18" s="1"/>
  <c r="AC183" i="18" s="1"/>
  <c r="B183" i="18"/>
  <c r="AJ182" i="18"/>
  <c r="AH182" i="18"/>
  <c r="AB182" i="18"/>
  <c r="AC182" i="18" s="1"/>
  <c r="B182" i="18"/>
  <c r="AJ181" i="18"/>
  <c r="AH181" i="18"/>
  <c r="R181" i="18"/>
  <c r="AB181" i="18" s="1"/>
  <c r="AC181" i="18" s="1"/>
  <c r="B181" i="18"/>
  <c r="AJ180" i="18"/>
  <c r="AH180" i="18"/>
  <c r="R180" i="18"/>
  <c r="AB180" i="18" s="1"/>
  <c r="AC180" i="18" s="1"/>
  <c r="B180" i="18"/>
  <c r="AJ179" i="18"/>
  <c r="AH179" i="18"/>
  <c r="R179" i="18"/>
  <c r="AB179" i="18" s="1"/>
  <c r="AC179" i="18" s="1"/>
  <c r="B179" i="18"/>
  <c r="B177" i="18"/>
  <c r="B70" i="23" s="1"/>
  <c r="AI176" i="18"/>
  <c r="AK176" i="18" s="1"/>
  <c r="AG176" i="18"/>
  <c r="AF176" i="18"/>
  <c r="AE176" i="18"/>
  <c r="AA176" i="18"/>
  <c r="Z176" i="18"/>
  <c r="Y176" i="18"/>
  <c r="X176" i="18"/>
  <c r="W176" i="18"/>
  <c r="V176" i="18"/>
  <c r="U176" i="18"/>
  <c r="T176" i="18"/>
  <c r="S176" i="18"/>
  <c r="R176" i="18"/>
  <c r="Q176" i="18"/>
  <c r="P176" i="18"/>
  <c r="N176" i="18"/>
  <c r="D65" i="23" s="1"/>
  <c r="L176" i="18"/>
  <c r="C65" i="23" s="1"/>
  <c r="AJ175" i="18"/>
  <c r="AJ176" i="18" s="1"/>
  <c r="AH175" i="18"/>
  <c r="AH176" i="18" s="1"/>
  <c r="AB175" i="18"/>
  <c r="B175" i="18"/>
  <c r="B176" i="18" s="1"/>
  <c r="AI173" i="18"/>
  <c r="AK173" i="18" s="1"/>
  <c r="AG173" i="18"/>
  <c r="AF173" i="18"/>
  <c r="AE173" i="18"/>
  <c r="AA173" i="18"/>
  <c r="Z173" i="18"/>
  <c r="Y173" i="18"/>
  <c r="X173" i="18"/>
  <c r="W173" i="18"/>
  <c r="V173" i="18"/>
  <c r="U173" i="18"/>
  <c r="T173" i="18"/>
  <c r="S173" i="18"/>
  <c r="R173" i="18"/>
  <c r="Q173" i="18"/>
  <c r="P173" i="18"/>
  <c r="N173" i="18"/>
  <c r="D64" i="23" s="1"/>
  <c r="L173" i="18"/>
  <c r="C64" i="23" s="1"/>
  <c r="AJ172" i="18"/>
  <c r="AJ173" i="18" s="1"/>
  <c r="AH172" i="18"/>
  <c r="AH173" i="18" s="1"/>
  <c r="AB172" i="18"/>
  <c r="AC172" i="18" s="1"/>
  <c r="AC173" i="18" s="1"/>
  <c r="B172" i="18"/>
  <c r="B173" i="18" s="1"/>
  <c r="AI170" i="18"/>
  <c r="AK170" i="18" s="1"/>
  <c r="AG170" i="18"/>
  <c r="AF170" i="18"/>
  <c r="AE170" i="18"/>
  <c r="AA170" i="18"/>
  <c r="Z170" i="18"/>
  <c r="Y170" i="18"/>
  <c r="X170" i="18"/>
  <c r="W170" i="18"/>
  <c r="V170" i="18"/>
  <c r="U170" i="18"/>
  <c r="T170" i="18"/>
  <c r="S170" i="18"/>
  <c r="R170" i="18"/>
  <c r="Q170" i="18"/>
  <c r="P170" i="18"/>
  <c r="N170" i="18"/>
  <c r="D63" i="23" s="1"/>
  <c r="L170" i="18"/>
  <c r="C63" i="23" s="1"/>
  <c r="AJ169" i="18"/>
  <c r="AJ170" i="18" s="1"/>
  <c r="AH169" i="18"/>
  <c r="AH170" i="18" s="1"/>
  <c r="AB169" i="18"/>
  <c r="AB170" i="18" s="1"/>
  <c r="E63" i="23" s="1"/>
  <c r="B169" i="18"/>
  <c r="B170" i="18" s="1"/>
  <c r="AG167" i="18"/>
  <c r="AF167" i="18"/>
  <c r="AE167" i="18"/>
  <c r="AA167" i="18"/>
  <c r="Z167" i="18"/>
  <c r="Y167" i="18"/>
  <c r="X167" i="18"/>
  <c r="W167" i="18"/>
  <c r="V167" i="18"/>
  <c r="U167" i="18"/>
  <c r="T167" i="18"/>
  <c r="S167" i="18"/>
  <c r="Q167" i="18"/>
  <c r="P167" i="18"/>
  <c r="L167" i="18"/>
  <c r="C62" i="23" s="1"/>
  <c r="AJ166" i="18"/>
  <c r="AH166" i="18"/>
  <c r="AB166" i="18"/>
  <c r="AC166" i="18" s="1"/>
  <c r="B166" i="18"/>
  <c r="AJ165" i="18"/>
  <c r="AH165" i="18"/>
  <c r="AB165" i="18"/>
  <c r="AC165" i="18" s="1"/>
  <c r="B165" i="18"/>
  <c r="AJ164" i="18"/>
  <c r="AH164" i="18"/>
  <c r="AB164" i="18"/>
  <c r="AC164" i="18" s="1"/>
  <c r="B164" i="18"/>
  <c r="AH163" i="18"/>
  <c r="AB163" i="18"/>
  <c r="AC163" i="18" s="1"/>
  <c r="N163" i="18"/>
  <c r="AJ163" i="18" s="1"/>
  <c r="L163" i="18"/>
  <c r="B163" i="18" s="1"/>
  <c r="AJ162" i="18"/>
  <c r="AH162" i="18"/>
  <c r="AB162" i="18"/>
  <c r="AC162" i="18" s="1"/>
  <c r="B162" i="18"/>
  <c r="AJ161" i="18"/>
  <c r="AH161" i="18"/>
  <c r="R161" i="18"/>
  <c r="AB161" i="18" s="1"/>
  <c r="AC161" i="18" s="1"/>
  <c r="B161" i="18"/>
  <c r="AJ160" i="18"/>
  <c r="AH160" i="18"/>
  <c r="R160" i="18"/>
  <c r="AB160" i="18" s="1"/>
  <c r="AC160" i="18" s="1"/>
  <c r="B160" i="18"/>
  <c r="AJ159" i="18"/>
  <c r="AI159" i="18"/>
  <c r="AH159" i="18"/>
  <c r="R159" i="18"/>
  <c r="AB159" i="18" s="1"/>
  <c r="AC159" i="18" s="1"/>
  <c r="B159" i="18"/>
  <c r="AJ158" i="18"/>
  <c r="AH158" i="18"/>
  <c r="AB158" i="18"/>
  <c r="AC158" i="18" s="1"/>
  <c r="B158" i="18"/>
  <c r="AJ157" i="18"/>
  <c r="AH157" i="18"/>
  <c r="R157" i="18"/>
  <c r="AB157" i="18" s="1"/>
  <c r="AC157" i="18" s="1"/>
  <c r="B157" i="18"/>
  <c r="AJ156" i="18"/>
  <c r="AI156" i="18"/>
  <c r="AH156" i="18"/>
  <c r="AC156" i="18"/>
  <c r="AB156" i="18"/>
  <c r="B156" i="18"/>
  <c r="AJ155" i="18"/>
  <c r="AH155" i="18"/>
  <c r="R155" i="18"/>
  <c r="AB155" i="18" s="1"/>
  <c r="AC155" i="18" s="1"/>
  <c r="B155" i="18"/>
  <c r="AJ154" i="18"/>
  <c r="AH154" i="18"/>
  <c r="R154" i="18"/>
  <c r="AB154" i="18" s="1"/>
  <c r="AC154" i="18" s="1"/>
  <c r="B154" i="18"/>
  <c r="AI153" i="18"/>
  <c r="AI167" i="18" s="1"/>
  <c r="AK167" i="18" s="1"/>
  <c r="AH153" i="18"/>
  <c r="AC153" i="18"/>
  <c r="AB153" i="18"/>
  <c r="B153" i="18"/>
  <c r="AJ152" i="18"/>
  <c r="AH152" i="18"/>
  <c r="R152" i="18"/>
  <c r="AB152" i="18" s="1"/>
  <c r="AC152" i="18" s="1"/>
  <c r="B152" i="18"/>
  <c r="AJ151" i="18"/>
  <c r="AH151" i="18"/>
  <c r="R151" i="18"/>
  <c r="AB151" i="18" s="1"/>
  <c r="AC151" i="18" s="1"/>
  <c r="B151" i="18"/>
  <c r="AJ150" i="18"/>
  <c r="AH150" i="18"/>
  <c r="R150" i="18"/>
  <c r="AB150" i="18" s="1"/>
  <c r="AC150" i="18" s="1"/>
  <c r="B150" i="18"/>
  <c r="AJ149" i="18"/>
  <c r="AH149" i="18"/>
  <c r="R149" i="18"/>
  <c r="AB149" i="18" s="1"/>
  <c r="AC149" i="18" s="1"/>
  <c r="B149" i="18"/>
  <c r="AJ148" i="18"/>
  <c r="AH148" i="18"/>
  <c r="R148" i="18"/>
  <c r="AB148" i="18" s="1"/>
  <c r="AC148" i="18" s="1"/>
  <c r="B148" i="18"/>
  <c r="AJ147" i="18"/>
  <c r="AH147" i="18"/>
  <c r="R147" i="18"/>
  <c r="AB147" i="18" s="1"/>
  <c r="AC147" i="18" s="1"/>
  <c r="B147" i="18"/>
  <c r="AJ146" i="18"/>
  <c r="AH146" i="18"/>
  <c r="AB146" i="18"/>
  <c r="AC146" i="18" s="1"/>
  <c r="B146" i="18"/>
  <c r="AJ145" i="18"/>
  <c r="AH145" i="18"/>
  <c r="AB145" i="18"/>
  <c r="AC145" i="18" s="1"/>
  <c r="B145" i="18"/>
  <c r="AI143" i="18"/>
  <c r="AK143" i="18" s="1"/>
  <c r="AG143" i="18"/>
  <c r="AF143" i="18"/>
  <c r="AE143" i="18"/>
  <c r="AA143" i="18"/>
  <c r="Z143" i="18"/>
  <c r="Y143" i="18"/>
  <c r="X143" i="18"/>
  <c r="W143" i="18"/>
  <c r="V143" i="18"/>
  <c r="U143" i="18"/>
  <c r="T143" i="18"/>
  <c r="S143" i="18"/>
  <c r="R143" i="18"/>
  <c r="Q143" i="18"/>
  <c r="P143" i="18"/>
  <c r="N143" i="18"/>
  <c r="L143" i="18"/>
  <c r="C61" i="23" s="1"/>
  <c r="AJ142" i="18"/>
  <c r="AJ143" i="18" s="1"/>
  <c r="AH142" i="18"/>
  <c r="AH143" i="18" s="1"/>
  <c r="AB142" i="18"/>
  <c r="AB143" i="18" s="1"/>
  <c r="B142" i="18"/>
  <c r="B143" i="18" s="1"/>
  <c r="B140" i="18"/>
  <c r="AI139" i="18"/>
  <c r="AK139" i="18" s="1"/>
  <c r="AA139" i="18"/>
  <c r="Z139" i="18"/>
  <c r="Y139" i="18"/>
  <c r="X139" i="18"/>
  <c r="W139" i="18"/>
  <c r="V139" i="18"/>
  <c r="U139" i="18"/>
  <c r="T139" i="18"/>
  <c r="S139" i="18"/>
  <c r="R139" i="18"/>
  <c r="Q139" i="18"/>
  <c r="P139" i="18"/>
  <c r="N139" i="18"/>
  <c r="D68" i="23" s="1"/>
  <c r="L139" i="18"/>
  <c r="C68" i="23" s="1"/>
  <c r="AJ138" i="18"/>
  <c r="AH138" i="18"/>
  <c r="AB138" i="18"/>
  <c r="AC138" i="18" s="1"/>
  <c r="B138" i="18"/>
  <c r="AJ137" i="18"/>
  <c r="AJ139" i="18" s="1"/>
  <c r="AH137" i="18"/>
  <c r="AC137" i="18"/>
  <c r="AC139" i="18" s="1"/>
  <c r="AB137" i="18"/>
  <c r="B137" i="18"/>
  <c r="B139" i="18" s="1"/>
  <c r="AI135" i="18"/>
  <c r="AK135" i="18" s="1"/>
  <c r="AA135" i="18"/>
  <c r="Z135" i="18"/>
  <c r="Y135" i="18"/>
  <c r="X135" i="18"/>
  <c r="W135" i="18"/>
  <c r="V135" i="18"/>
  <c r="U135" i="18"/>
  <c r="T135" i="18"/>
  <c r="S135" i="18"/>
  <c r="Q135" i="18"/>
  <c r="P135" i="18"/>
  <c r="N135" i="18"/>
  <c r="D67" i="23" s="1"/>
  <c r="L135" i="18"/>
  <c r="C67" i="23" s="1"/>
  <c r="AJ134" i="18"/>
  <c r="AH134" i="18"/>
  <c r="AB134" i="18"/>
  <c r="AC134" i="18" s="1"/>
  <c r="B134" i="18"/>
  <c r="AH133" i="18"/>
  <c r="AB133" i="18"/>
  <c r="AC133" i="18" s="1"/>
  <c r="N133" i="18"/>
  <c r="AJ133" i="18" s="1"/>
  <c r="L133" i="18"/>
  <c r="B133" i="18"/>
  <c r="AJ132" i="18"/>
  <c r="AH132" i="18"/>
  <c r="R132" i="18"/>
  <c r="AB132" i="18" s="1"/>
  <c r="AC132" i="18" s="1"/>
  <c r="B132" i="18"/>
  <c r="AJ131" i="18"/>
  <c r="AH131" i="18"/>
  <c r="R131" i="18"/>
  <c r="AB131" i="18" s="1"/>
  <c r="AC131" i="18" s="1"/>
  <c r="B131" i="18"/>
  <c r="AJ130" i="18"/>
  <c r="AH130" i="18"/>
  <c r="R130" i="18"/>
  <c r="AB130" i="18" s="1"/>
  <c r="AC130" i="18" s="1"/>
  <c r="B130" i="18"/>
  <c r="AJ129" i="18"/>
  <c r="AH129" i="18"/>
  <c r="R129" i="18"/>
  <c r="AB129" i="18" s="1"/>
  <c r="AC129" i="18" s="1"/>
  <c r="B129" i="18"/>
  <c r="AJ128" i="18"/>
  <c r="AH128" i="18"/>
  <c r="R128" i="18"/>
  <c r="AB128" i="18" s="1"/>
  <c r="AC128" i="18" s="1"/>
  <c r="B128" i="18"/>
  <c r="AJ127" i="18"/>
  <c r="AH127" i="18"/>
  <c r="R127" i="18"/>
  <c r="AB127" i="18" s="1"/>
  <c r="AC127" i="18" s="1"/>
  <c r="B127" i="18"/>
  <c r="AJ126" i="18"/>
  <c r="AH126" i="18"/>
  <c r="R126" i="18"/>
  <c r="AB126" i="18" s="1"/>
  <c r="AC126" i="18" s="1"/>
  <c r="B126" i="18"/>
  <c r="AJ125" i="18"/>
  <c r="AH125" i="18"/>
  <c r="AB125" i="18"/>
  <c r="AC125" i="18" s="1"/>
  <c r="B125" i="18"/>
  <c r="AJ124" i="18"/>
  <c r="AH124" i="18"/>
  <c r="AB124" i="18"/>
  <c r="AC124" i="18" s="1"/>
  <c r="B124" i="18"/>
  <c r="AJ123" i="18"/>
  <c r="AH123" i="18"/>
  <c r="R123" i="18"/>
  <c r="AB123" i="18" s="1"/>
  <c r="AC123" i="18" s="1"/>
  <c r="B123" i="18"/>
  <c r="AJ122" i="18"/>
  <c r="AH122" i="18"/>
  <c r="R122" i="18"/>
  <c r="AB122" i="18" s="1"/>
  <c r="AC122" i="18" s="1"/>
  <c r="B122" i="18"/>
  <c r="AJ121" i="18"/>
  <c r="AH121" i="18"/>
  <c r="R121" i="18"/>
  <c r="AB121" i="18" s="1"/>
  <c r="AC121" i="18" s="1"/>
  <c r="B121" i="18"/>
  <c r="AJ120" i="18"/>
  <c r="AH120" i="18"/>
  <c r="R120" i="18"/>
  <c r="AB120" i="18" s="1"/>
  <c r="AC120" i="18" s="1"/>
  <c r="B120" i="18"/>
  <c r="AJ119" i="18"/>
  <c r="AH119" i="18"/>
  <c r="R119" i="18"/>
  <c r="AB119" i="18" s="1"/>
  <c r="AC119" i="18" s="1"/>
  <c r="B119" i="18"/>
  <c r="AJ118" i="18"/>
  <c r="AH118" i="18"/>
  <c r="R118" i="18"/>
  <c r="AB118" i="18" s="1"/>
  <c r="AC118" i="18" s="1"/>
  <c r="B118" i="18"/>
  <c r="AJ117" i="18"/>
  <c r="AH117" i="18"/>
  <c r="R117" i="18"/>
  <c r="AB117" i="18" s="1"/>
  <c r="AC117" i="18" s="1"/>
  <c r="B117" i="18"/>
  <c r="AJ116" i="18"/>
  <c r="AH116" i="18"/>
  <c r="R116" i="18"/>
  <c r="AB116" i="18" s="1"/>
  <c r="AC116" i="18" s="1"/>
  <c r="B116" i="18"/>
  <c r="AJ115" i="18"/>
  <c r="AH115" i="18"/>
  <c r="R115" i="18"/>
  <c r="AB115" i="18" s="1"/>
  <c r="AC115" i="18" s="1"/>
  <c r="B115" i="18"/>
  <c r="AJ114" i="18"/>
  <c r="AH114" i="18"/>
  <c r="R114" i="18"/>
  <c r="B114" i="18"/>
  <c r="AJ113" i="18"/>
  <c r="AH113" i="18"/>
  <c r="AB113" i="18"/>
  <c r="AC113" i="18" s="1"/>
  <c r="B113" i="18"/>
  <c r="AJ112" i="18"/>
  <c r="AH112" i="18"/>
  <c r="AC112" i="18"/>
  <c r="AB112" i="18"/>
  <c r="B112" i="18"/>
  <c r="B135" i="18" s="1"/>
  <c r="B110" i="18"/>
  <c r="AA109" i="18"/>
  <c r="Z109" i="18"/>
  <c r="Y109" i="18"/>
  <c r="X109" i="18"/>
  <c r="W109" i="18"/>
  <c r="V109" i="18"/>
  <c r="U109" i="18"/>
  <c r="T109" i="18"/>
  <c r="S109" i="18"/>
  <c r="Q109" i="18"/>
  <c r="P109" i="18"/>
  <c r="N109" i="18"/>
  <c r="L109" i="18"/>
  <c r="AJ108" i="18"/>
  <c r="AH108" i="18"/>
  <c r="AC108" i="18"/>
  <c r="AB108" i="18"/>
  <c r="B108" i="18"/>
  <c r="AJ107" i="18"/>
  <c r="AH107" i="18"/>
  <c r="AB107" i="18"/>
  <c r="AC107" i="18" s="1"/>
  <c r="B107" i="18"/>
  <c r="AJ106" i="18"/>
  <c r="AH106" i="18"/>
  <c r="AB106" i="18"/>
  <c r="AC106" i="18" s="1"/>
  <c r="B106" i="18"/>
  <c r="AJ105" i="18"/>
  <c r="AH105" i="18"/>
  <c r="R105" i="18"/>
  <c r="AB105" i="18" s="1"/>
  <c r="AC105" i="18" s="1"/>
  <c r="B105" i="18"/>
  <c r="AJ104" i="18"/>
  <c r="AH104" i="18"/>
  <c r="R104" i="18"/>
  <c r="AB104" i="18" s="1"/>
  <c r="AC104" i="18" s="1"/>
  <c r="B104" i="18"/>
  <c r="AI103" i="18"/>
  <c r="AJ103" i="18" s="1"/>
  <c r="AH103" i="18"/>
  <c r="AB103" i="18"/>
  <c r="AC103" i="18" s="1"/>
  <c r="B103" i="18"/>
  <c r="AJ102" i="18"/>
  <c r="AH102" i="18"/>
  <c r="R102" i="18"/>
  <c r="AB102" i="18" s="1"/>
  <c r="AC102" i="18" s="1"/>
  <c r="B102" i="18"/>
  <c r="AJ101" i="18"/>
  <c r="AI101" i="18"/>
  <c r="AH101" i="18"/>
  <c r="AB101" i="18"/>
  <c r="AC101" i="18" s="1"/>
  <c r="B101" i="18"/>
  <c r="AJ100" i="18"/>
  <c r="AH100" i="18"/>
  <c r="R100" i="18"/>
  <c r="AB100" i="18" s="1"/>
  <c r="AC100" i="18" s="1"/>
  <c r="B100" i="18"/>
  <c r="AJ99" i="18"/>
  <c r="AH99" i="18"/>
  <c r="R99" i="18"/>
  <c r="AB99" i="18" s="1"/>
  <c r="AC99" i="18" s="1"/>
  <c r="B99" i="18"/>
  <c r="AJ98" i="18"/>
  <c r="AH98" i="18"/>
  <c r="AB98" i="18"/>
  <c r="AC98" i="18" s="1"/>
  <c r="B98" i="18"/>
  <c r="AJ97" i="18"/>
  <c r="AH97" i="18"/>
  <c r="R97" i="18"/>
  <c r="AB97" i="18" s="1"/>
  <c r="AC97" i="18" s="1"/>
  <c r="B97" i="18"/>
  <c r="AJ96" i="18"/>
  <c r="AH96" i="18"/>
  <c r="R96" i="18"/>
  <c r="AB96" i="18" s="1"/>
  <c r="AC96" i="18" s="1"/>
  <c r="B96" i="18"/>
  <c r="AJ95" i="18"/>
  <c r="AH95" i="18"/>
  <c r="R95" i="18"/>
  <c r="AB95" i="18" s="1"/>
  <c r="AC95" i="18" s="1"/>
  <c r="B95" i="18"/>
  <c r="AJ94" i="18"/>
  <c r="AH94" i="18"/>
  <c r="AB94" i="18"/>
  <c r="AC94" i="18" s="1"/>
  <c r="B94" i="18"/>
  <c r="AJ93" i="18"/>
  <c r="AH93" i="18"/>
  <c r="R93" i="18"/>
  <c r="AB93" i="18" s="1"/>
  <c r="AC93" i="18" s="1"/>
  <c r="B93" i="18"/>
  <c r="AJ92" i="18"/>
  <c r="AH92" i="18"/>
  <c r="R92" i="18"/>
  <c r="AB92" i="18" s="1"/>
  <c r="AC92" i="18" s="1"/>
  <c r="B92" i="18"/>
  <c r="AJ91" i="18"/>
  <c r="AH91" i="18"/>
  <c r="AB91" i="18"/>
  <c r="AC91" i="18" s="1"/>
  <c r="B91" i="18"/>
  <c r="AJ90" i="18"/>
  <c r="AH90" i="18"/>
  <c r="R90" i="18"/>
  <c r="AB90" i="18" s="1"/>
  <c r="AC90" i="18" s="1"/>
  <c r="B90" i="18"/>
  <c r="AJ89" i="18"/>
  <c r="AH89" i="18"/>
  <c r="R89" i="18"/>
  <c r="AB89" i="18" s="1"/>
  <c r="AC89" i="18" s="1"/>
  <c r="B89" i="18"/>
  <c r="AJ88" i="18"/>
  <c r="AI88" i="18"/>
  <c r="AH88" i="18"/>
  <c r="AB88" i="18"/>
  <c r="AC88" i="18" s="1"/>
  <c r="B88" i="18"/>
  <c r="AJ87" i="18"/>
  <c r="AH87" i="18"/>
  <c r="R87" i="18"/>
  <c r="AB87" i="18" s="1"/>
  <c r="AC87" i="18" s="1"/>
  <c r="B87" i="18"/>
  <c r="AJ86" i="18"/>
  <c r="AH86" i="18"/>
  <c r="AB86" i="18"/>
  <c r="AC86" i="18" s="1"/>
  <c r="B86" i="18"/>
  <c r="AJ85" i="18"/>
  <c r="AH85" i="18"/>
  <c r="R85" i="18"/>
  <c r="AB85" i="18" s="1"/>
  <c r="AC85" i="18" s="1"/>
  <c r="B85" i="18"/>
  <c r="AJ84" i="18"/>
  <c r="AH84" i="18"/>
  <c r="R84" i="18"/>
  <c r="AB84" i="18" s="1"/>
  <c r="AC84" i="18" s="1"/>
  <c r="B84" i="18"/>
  <c r="AI83" i="18"/>
  <c r="AJ83" i="18" s="1"/>
  <c r="AH83" i="18"/>
  <c r="AB83" i="18"/>
  <c r="AC83" i="18" s="1"/>
  <c r="B83" i="18"/>
  <c r="AJ82" i="18"/>
  <c r="AH82" i="18"/>
  <c r="R82" i="18"/>
  <c r="AB82" i="18" s="1"/>
  <c r="AC82" i="18" s="1"/>
  <c r="B82" i="18"/>
  <c r="AI80" i="18"/>
  <c r="AK80" i="18" s="1"/>
  <c r="AG80" i="18"/>
  <c r="AF80" i="18"/>
  <c r="AE80" i="18"/>
  <c r="AA80" i="18"/>
  <c r="Z80" i="18"/>
  <c r="Y80" i="18"/>
  <c r="X80" i="18"/>
  <c r="W80" i="18"/>
  <c r="V80" i="18"/>
  <c r="U80" i="18"/>
  <c r="T80" i="18"/>
  <c r="S80" i="18"/>
  <c r="R80" i="18"/>
  <c r="Q80" i="18"/>
  <c r="P80" i="18"/>
  <c r="N80" i="18"/>
  <c r="D59" i="23" s="1"/>
  <c r="AJ79" i="18"/>
  <c r="AJ80" i="18" s="1"/>
  <c r="AH79" i="18"/>
  <c r="AH80" i="18" s="1"/>
  <c r="AB79" i="18"/>
  <c r="AB80" i="18" s="1"/>
  <c r="N79" i="18"/>
  <c r="L79" i="18"/>
  <c r="B79" i="18" s="1"/>
  <c r="B80" i="18" s="1"/>
  <c r="AI77" i="18"/>
  <c r="AK77" i="18" s="1"/>
  <c r="AG77" i="18"/>
  <c r="AF77" i="18"/>
  <c r="AE77" i="18"/>
  <c r="AA77" i="18"/>
  <c r="Z77" i="18"/>
  <c r="Y77" i="18"/>
  <c r="X77" i="18"/>
  <c r="W77" i="18"/>
  <c r="V77" i="18"/>
  <c r="U77" i="18"/>
  <c r="T77" i="18"/>
  <c r="S77" i="18"/>
  <c r="R77" i="18"/>
  <c r="Q77" i="18"/>
  <c r="P77" i="18"/>
  <c r="N77" i="18"/>
  <c r="D56" i="23" s="1"/>
  <c r="L77" i="18"/>
  <c r="C56" i="23" s="1"/>
  <c r="AJ76" i="18"/>
  <c r="AJ77" i="18" s="1"/>
  <c r="AH76" i="18"/>
  <c r="AH77" i="18" s="1"/>
  <c r="AC76" i="18"/>
  <c r="AC77" i="18" s="1"/>
  <c r="AB76" i="18"/>
  <c r="AB77" i="18" s="1"/>
  <c r="E56" i="23" s="1"/>
  <c r="B76" i="18"/>
  <c r="B77" i="18" s="1"/>
  <c r="AI74" i="18"/>
  <c r="AK74" i="18" s="1"/>
  <c r="AG74" i="18"/>
  <c r="AF74" i="18"/>
  <c r="AE74" i="18"/>
  <c r="AA74" i="18"/>
  <c r="Z74" i="18"/>
  <c r="Y74" i="18"/>
  <c r="X74" i="18"/>
  <c r="W74" i="18"/>
  <c r="V74" i="18"/>
  <c r="U74" i="18"/>
  <c r="T74" i="18"/>
  <c r="S74" i="18"/>
  <c r="Q74" i="18"/>
  <c r="P74" i="18"/>
  <c r="N74" i="18"/>
  <c r="D55" i="23" s="1"/>
  <c r="L74" i="18"/>
  <c r="C55" i="23" s="1"/>
  <c r="AJ73" i="18"/>
  <c r="AH73" i="18"/>
  <c r="AB73" i="18"/>
  <c r="AC73" i="18" s="1"/>
  <c r="B73" i="18"/>
  <c r="AJ72" i="18"/>
  <c r="AH72" i="18"/>
  <c r="AC72" i="18"/>
  <c r="AB72" i="18"/>
  <c r="B72" i="18"/>
  <c r="AJ71" i="18"/>
  <c r="AH71" i="18"/>
  <c r="AB71" i="18"/>
  <c r="AC71" i="18" s="1"/>
  <c r="B71" i="18"/>
  <c r="AJ70" i="18"/>
  <c r="AH70" i="18"/>
  <c r="AB70" i="18"/>
  <c r="AC70" i="18" s="1"/>
  <c r="B70" i="18"/>
  <c r="AJ69" i="18"/>
  <c r="AH69" i="18"/>
  <c r="R69" i="18"/>
  <c r="R74" i="18" s="1"/>
  <c r="B69" i="18"/>
  <c r="AJ68" i="18"/>
  <c r="AH68" i="18"/>
  <c r="AB68" i="18"/>
  <c r="B68" i="18"/>
  <c r="AI66" i="18"/>
  <c r="AK66" i="18" s="1"/>
  <c r="AG66" i="18"/>
  <c r="AF66" i="18"/>
  <c r="AE66" i="18"/>
  <c r="AA66" i="18"/>
  <c r="Z66" i="18"/>
  <c r="Y66" i="18"/>
  <c r="X66" i="18"/>
  <c r="W66" i="18"/>
  <c r="V66" i="18"/>
  <c r="U66" i="18"/>
  <c r="T66" i="18"/>
  <c r="S66" i="18"/>
  <c r="R66" i="18"/>
  <c r="Q66" i="18"/>
  <c r="P66" i="18"/>
  <c r="N66" i="18"/>
  <c r="D54" i="23" s="1"/>
  <c r="L66" i="18"/>
  <c r="C54" i="23" s="1"/>
  <c r="G54" i="23" s="1"/>
  <c r="AJ65" i="18"/>
  <c r="AH65" i="18"/>
  <c r="AB65" i="18"/>
  <c r="AC65" i="18" s="1"/>
  <c r="B65" i="18"/>
  <c r="AJ64" i="18"/>
  <c r="AH64" i="18"/>
  <c r="AB64" i="18"/>
  <c r="AC64" i="18" s="1"/>
  <c r="B64" i="18"/>
  <c r="AJ63" i="18"/>
  <c r="AH63" i="18"/>
  <c r="AB63" i="18"/>
  <c r="AC63" i="18" s="1"/>
  <c r="B63" i="18"/>
  <c r="AJ62" i="18"/>
  <c r="AH62" i="18"/>
  <c r="AB62" i="18"/>
  <c r="AC62" i="18" s="1"/>
  <c r="B62" i="18"/>
  <c r="AJ61" i="18"/>
  <c r="AH61" i="18"/>
  <c r="AB61" i="18"/>
  <c r="AC61" i="18" s="1"/>
  <c r="B61" i="18"/>
  <c r="AI59" i="18"/>
  <c r="AK59" i="18" s="1"/>
  <c r="AA59" i="18"/>
  <c r="Z59" i="18"/>
  <c r="Y59" i="18"/>
  <c r="X59" i="18"/>
  <c r="W59" i="18"/>
  <c r="V59" i="18"/>
  <c r="U59" i="18"/>
  <c r="T59" i="18"/>
  <c r="S59" i="18"/>
  <c r="R59" i="18"/>
  <c r="Q59" i="18"/>
  <c r="P59" i="18"/>
  <c r="N59" i="18"/>
  <c r="D53" i="23" s="1"/>
  <c r="L59" i="18"/>
  <c r="C53" i="23" s="1"/>
  <c r="AJ58" i="18"/>
  <c r="AH58" i="18"/>
  <c r="AB58" i="18"/>
  <c r="AC58" i="18" s="1"/>
  <c r="B58" i="18"/>
  <c r="AJ57" i="18"/>
  <c r="AH57" i="18"/>
  <c r="AB57" i="18"/>
  <c r="AC57" i="18" s="1"/>
  <c r="B57" i="18"/>
  <c r="AJ56" i="18"/>
  <c r="AH56" i="18"/>
  <c r="AB56" i="18"/>
  <c r="AC56" i="18" s="1"/>
  <c r="B56" i="18"/>
  <c r="AJ55" i="18"/>
  <c r="AJ59" i="18" s="1"/>
  <c r="AH55" i="18"/>
  <c r="AB55" i="18"/>
  <c r="AC55" i="18" s="1"/>
  <c r="B55" i="18"/>
  <c r="AI53" i="18"/>
  <c r="AK53" i="18" s="1"/>
  <c r="AG53" i="18"/>
  <c r="AF53" i="18"/>
  <c r="AE53" i="18"/>
  <c r="AA53" i="18"/>
  <c r="Z53" i="18"/>
  <c r="Y53" i="18"/>
  <c r="X53" i="18"/>
  <c r="W53" i="18"/>
  <c r="V53" i="18"/>
  <c r="U53" i="18"/>
  <c r="T53" i="18"/>
  <c r="S53" i="18"/>
  <c r="R53" i="18"/>
  <c r="Q53" i="18"/>
  <c r="P53" i="18"/>
  <c r="N53" i="18"/>
  <c r="D52" i="23" s="1"/>
  <c r="L53" i="18"/>
  <c r="C52" i="23" s="1"/>
  <c r="AJ52" i="18"/>
  <c r="AJ53" i="18" s="1"/>
  <c r="AH52" i="18"/>
  <c r="AH53" i="18" s="1"/>
  <c r="AB52" i="18"/>
  <c r="AB53" i="18" s="1"/>
  <c r="E52" i="23" s="1"/>
  <c r="B52" i="18"/>
  <c r="B53" i="18" s="1"/>
  <c r="AI50" i="18"/>
  <c r="AK50" i="18" s="1"/>
  <c r="AG50" i="18"/>
  <c r="AF50" i="18"/>
  <c r="AE50" i="18"/>
  <c r="AA50" i="18"/>
  <c r="Z50" i="18"/>
  <c r="Y50" i="18"/>
  <c r="X50" i="18"/>
  <c r="W50" i="18"/>
  <c r="V50" i="18"/>
  <c r="U50" i="18"/>
  <c r="T50" i="18"/>
  <c r="S50" i="18"/>
  <c r="R50" i="18"/>
  <c r="Q50" i="18"/>
  <c r="P50" i="18"/>
  <c r="N50" i="18"/>
  <c r="L50" i="18"/>
  <c r="AJ49" i="18"/>
  <c r="AJ50" i="18" s="1"/>
  <c r="AH49" i="18"/>
  <c r="AH50" i="18" s="1"/>
  <c r="AC49" i="18"/>
  <c r="AC50" i="18" s="1"/>
  <c r="AB49" i="18"/>
  <c r="AB50" i="18" s="1"/>
  <c r="B49" i="18"/>
  <c r="B50" i="18" s="1"/>
  <c r="AI47" i="18"/>
  <c r="AK47" i="18" s="1"/>
  <c r="AG47" i="18"/>
  <c r="AF47" i="18"/>
  <c r="AE47" i="18"/>
  <c r="AA47" i="18"/>
  <c r="Z47" i="18"/>
  <c r="Y47" i="18"/>
  <c r="X47" i="18"/>
  <c r="W47" i="18"/>
  <c r="V47" i="18"/>
  <c r="U47" i="18"/>
  <c r="T47" i="18"/>
  <c r="S47" i="18"/>
  <c r="R47" i="18"/>
  <c r="Q47" i="18"/>
  <c r="P47" i="18"/>
  <c r="N47" i="18"/>
  <c r="L47" i="18"/>
  <c r="AJ46" i="18"/>
  <c r="AJ47" i="18" s="1"/>
  <c r="AH46" i="18"/>
  <c r="AH47" i="18" s="1"/>
  <c r="AB46" i="18"/>
  <c r="AB47" i="18" s="1"/>
  <c r="B46" i="18"/>
  <c r="B47" i="18" s="1"/>
  <c r="AI44" i="18"/>
  <c r="AK44" i="18" s="1"/>
  <c r="AG44" i="18"/>
  <c r="AF44" i="18"/>
  <c r="AE44" i="18"/>
  <c r="AA44" i="18"/>
  <c r="Z44" i="18"/>
  <c r="Y44" i="18"/>
  <c r="X44" i="18"/>
  <c r="W44" i="18"/>
  <c r="V44" i="18"/>
  <c r="U44" i="18"/>
  <c r="T44" i="18"/>
  <c r="S44" i="18"/>
  <c r="R44" i="18"/>
  <c r="Q44" i="18"/>
  <c r="P44" i="18"/>
  <c r="N44" i="18"/>
  <c r="L44" i="18"/>
  <c r="AJ43" i="18"/>
  <c r="AJ44" i="18" s="1"/>
  <c r="AH43" i="18"/>
  <c r="AH44" i="18" s="1"/>
  <c r="AB43" i="18"/>
  <c r="AB44" i="18" s="1"/>
  <c r="B43" i="18"/>
  <c r="B44" i="18" s="1"/>
  <c r="AI41" i="18"/>
  <c r="AK41" i="18" s="1"/>
  <c r="AG41" i="18"/>
  <c r="AF41" i="18"/>
  <c r="AE41" i="18"/>
  <c r="AA41" i="18"/>
  <c r="Z41" i="18"/>
  <c r="Y41" i="18"/>
  <c r="X41" i="18"/>
  <c r="W41" i="18"/>
  <c r="V41" i="18"/>
  <c r="U41" i="18"/>
  <c r="T41" i="18"/>
  <c r="S41" i="18"/>
  <c r="R41" i="18"/>
  <c r="Q41" i="18"/>
  <c r="P41" i="18"/>
  <c r="N41" i="18"/>
  <c r="L41" i="18"/>
  <c r="AJ40" i="18"/>
  <c r="AJ41" i="18" s="1"/>
  <c r="AH40" i="18"/>
  <c r="AH41" i="18" s="1"/>
  <c r="AB40" i="18"/>
  <c r="AB41" i="18" s="1"/>
  <c r="B40" i="18"/>
  <c r="B41" i="18" s="1"/>
  <c r="AI38" i="18"/>
  <c r="AK38" i="18" s="1"/>
  <c r="AG38" i="18"/>
  <c r="AF38" i="18"/>
  <c r="AE38" i="18"/>
  <c r="AA38" i="18"/>
  <c r="Z38" i="18"/>
  <c r="Y38" i="18"/>
  <c r="X38" i="18"/>
  <c r="W38" i="18"/>
  <c r="V38" i="18"/>
  <c r="U38" i="18"/>
  <c r="T38" i="18"/>
  <c r="S38" i="18"/>
  <c r="R38" i="18"/>
  <c r="Q38" i="18"/>
  <c r="P38" i="18"/>
  <c r="N38" i="18"/>
  <c r="L38" i="18"/>
  <c r="AJ37" i="18"/>
  <c r="AJ38" i="18" s="1"/>
  <c r="AH37" i="18"/>
  <c r="AH38" i="18" s="1"/>
  <c r="AC37" i="18"/>
  <c r="AC38" i="18" s="1"/>
  <c r="AB37" i="18"/>
  <c r="AB38" i="18" s="1"/>
  <c r="B37" i="18"/>
  <c r="B38" i="18" s="1"/>
  <c r="AI35" i="18"/>
  <c r="AK35" i="18" s="1"/>
  <c r="AG35" i="18"/>
  <c r="AF35" i="18"/>
  <c r="AE35" i="18"/>
  <c r="AA35" i="18"/>
  <c r="Z35" i="18"/>
  <c r="Y35" i="18"/>
  <c r="X35" i="18"/>
  <c r="W35" i="18"/>
  <c r="V35" i="18"/>
  <c r="U35" i="18"/>
  <c r="T35" i="18"/>
  <c r="S35" i="18"/>
  <c r="R35" i="18"/>
  <c r="Q35" i="18"/>
  <c r="P35" i="18"/>
  <c r="N35" i="18"/>
  <c r="L35" i="18"/>
  <c r="AJ34" i="18"/>
  <c r="AJ35" i="18" s="1"/>
  <c r="AH34" i="18"/>
  <c r="AH35" i="18" s="1"/>
  <c r="AB34" i="18"/>
  <c r="AB35" i="18" s="1"/>
  <c r="B34" i="18"/>
  <c r="B35" i="18" s="1"/>
  <c r="AI32" i="18"/>
  <c r="AK32" i="18" s="1"/>
  <c r="AG32" i="18"/>
  <c r="AF32" i="18"/>
  <c r="AE32" i="18"/>
  <c r="AA32" i="18"/>
  <c r="Z32" i="18"/>
  <c r="Y32" i="18"/>
  <c r="X32" i="18"/>
  <c r="W32" i="18"/>
  <c r="V32" i="18"/>
  <c r="U32" i="18"/>
  <c r="T32" i="18"/>
  <c r="S32" i="18"/>
  <c r="Q32" i="18"/>
  <c r="P32" i="18"/>
  <c r="N32" i="18"/>
  <c r="L32" i="18"/>
  <c r="AJ31" i="18"/>
  <c r="AH31" i="18"/>
  <c r="AH32" i="18" s="1"/>
  <c r="AB31" i="18"/>
  <c r="AC31" i="18" s="1"/>
  <c r="B31" i="18"/>
  <c r="AJ30" i="18"/>
  <c r="AH30" i="18"/>
  <c r="AB30" i="18"/>
  <c r="AC30" i="18" s="1"/>
  <c r="B30" i="18"/>
  <c r="AJ29" i="18"/>
  <c r="AH29" i="18"/>
  <c r="AC29" i="18"/>
  <c r="AB29" i="18"/>
  <c r="B29" i="18"/>
  <c r="AJ28" i="18"/>
  <c r="AH28" i="18"/>
  <c r="R28" i="18"/>
  <c r="AB28" i="18" s="1"/>
  <c r="AC28" i="18" s="1"/>
  <c r="B28" i="18"/>
  <c r="AJ27" i="18"/>
  <c r="AH27" i="18"/>
  <c r="AB27" i="18"/>
  <c r="AC27" i="18" s="1"/>
  <c r="B27" i="18"/>
  <c r="AJ26" i="18"/>
  <c r="AH26" i="18"/>
  <c r="AB26" i="18"/>
  <c r="AC26" i="18" s="1"/>
  <c r="B26" i="18"/>
  <c r="B24" i="18"/>
  <c r="B51" i="23" s="1"/>
  <c r="AI23" i="18"/>
  <c r="AA23" i="18"/>
  <c r="Z23" i="18"/>
  <c r="Y23" i="18"/>
  <c r="X23" i="18"/>
  <c r="W23" i="18"/>
  <c r="V23" i="18"/>
  <c r="U23" i="18"/>
  <c r="T23" i="18"/>
  <c r="S23" i="18"/>
  <c r="R23" i="18"/>
  <c r="Q23" i="18"/>
  <c r="P23" i="18"/>
  <c r="N23" i="18"/>
  <c r="L23" i="18"/>
  <c r="AJ22" i="18"/>
  <c r="AB22" i="18"/>
  <c r="AC22" i="18" s="1"/>
  <c r="B22" i="18"/>
  <c r="AJ21" i="18"/>
  <c r="AH21" i="18"/>
  <c r="AB21" i="18"/>
  <c r="AC21" i="18" s="1"/>
  <c r="B21" i="18"/>
  <c r="AJ20" i="18"/>
  <c r="AH20" i="18"/>
  <c r="AB20" i="18"/>
  <c r="AC20" i="18" s="1"/>
  <c r="B20" i="18"/>
  <c r="AJ19" i="18"/>
  <c r="AH19" i="18"/>
  <c r="AB19" i="18"/>
  <c r="AC19" i="18" s="1"/>
  <c r="B19" i="18"/>
  <c r="AJ18" i="18"/>
  <c r="AJ23" i="18" s="1"/>
  <c r="AH18" i="18"/>
  <c r="AB18" i="18"/>
  <c r="AC18" i="18" s="1"/>
  <c r="B18" i="18"/>
  <c r="B14" i="18"/>
  <c r="B13" i="18"/>
  <c r="N101" i="22"/>
  <c r="M101" i="22"/>
  <c r="L101" i="22"/>
  <c r="N100" i="22"/>
  <c r="W97" i="22"/>
  <c r="R97" i="22"/>
  <c r="AC96" i="22"/>
  <c r="AB96" i="22"/>
  <c r="AA96" i="22"/>
  <c r="Z96" i="22"/>
  <c r="Y96" i="22"/>
  <c r="X96" i="22"/>
  <c r="W96" i="22"/>
  <c r="V96" i="22"/>
  <c r="U96" i="22"/>
  <c r="T96" i="22"/>
  <c r="S96" i="22"/>
  <c r="R96" i="22"/>
  <c r="Q96" i="22"/>
  <c r="P96" i="22"/>
  <c r="N96" i="22"/>
  <c r="N95" i="22"/>
  <c r="M95" i="22"/>
  <c r="L95" i="22"/>
  <c r="B95" i="22"/>
  <c r="AC94" i="22"/>
  <c r="AB94" i="22"/>
  <c r="AK89" i="22"/>
  <c r="AJ89" i="22"/>
  <c r="AI89" i="22"/>
  <c r="AC89" i="22"/>
  <c r="AB89" i="22"/>
  <c r="AA89" i="22"/>
  <c r="Z89" i="22"/>
  <c r="Y89" i="22"/>
  <c r="X89" i="22"/>
  <c r="W89" i="22"/>
  <c r="V89" i="22"/>
  <c r="U89" i="22"/>
  <c r="T89" i="22"/>
  <c r="S89" i="22"/>
  <c r="R89" i="22"/>
  <c r="Q89" i="22"/>
  <c r="P89" i="22"/>
  <c r="N89" i="22"/>
  <c r="L89" i="22"/>
  <c r="B89" i="22"/>
  <c r="AK87" i="22"/>
  <c r="AJ87" i="22"/>
  <c r="AI87" i="22"/>
  <c r="AC87" i="22"/>
  <c r="AB87" i="22"/>
  <c r="AA87" i="22"/>
  <c r="Z87" i="22"/>
  <c r="Y87" i="22"/>
  <c r="X87" i="22"/>
  <c r="W87" i="22"/>
  <c r="V87" i="22"/>
  <c r="U87" i="22"/>
  <c r="T87" i="22"/>
  <c r="S87" i="22"/>
  <c r="R87" i="22"/>
  <c r="Q87" i="22"/>
  <c r="P87" i="22"/>
  <c r="N87" i="22"/>
  <c r="L87" i="22"/>
  <c r="B87" i="22"/>
  <c r="AJ86" i="22"/>
  <c r="AH86" i="22"/>
  <c r="AC86" i="22"/>
  <c r="AB86" i="22"/>
  <c r="B86" i="22"/>
  <c r="AJ85" i="22"/>
  <c r="AH85" i="22"/>
  <c r="AC85" i="22"/>
  <c r="AB85" i="22"/>
  <c r="B85" i="22"/>
  <c r="AJ84" i="22"/>
  <c r="AH84" i="22"/>
  <c r="AC84" i="22"/>
  <c r="AB84" i="22"/>
  <c r="B84" i="22"/>
  <c r="AJ83" i="22"/>
  <c r="AH83" i="22"/>
  <c r="AC83" i="22"/>
  <c r="AB83" i="22"/>
  <c r="B83" i="22"/>
  <c r="AK81" i="22"/>
  <c r="AJ81" i="22"/>
  <c r="AI81" i="22"/>
  <c r="AC81" i="22"/>
  <c r="AB81" i="22"/>
  <c r="AA81" i="22"/>
  <c r="Z81" i="22"/>
  <c r="Y81" i="22"/>
  <c r="X81" i="22"/>
  <c r="W81" i="22"/>
  <c r="V81" i="22"/>
  <c r="U81" i="22"/>
  <c r="T81" i="22"/>
  <c r="S81" i="22"/>
  <c r="R81" i="22"/>
  <c r="Q81" i="22"/>
  <c r="P81" i="22"/>
  <c r="N81" i="22"/>
  <c r="L81" i="22"/>
  <c r="B81" i="22"/>
  <c r="AJ80" i="22"/>
  <c r="AH80" i="22"/>
  <c r="AC80" i="22"/>
  <c r="AB80" i="22"/>
  <c r="B80" i="22"/>
  <c r="AJ79" i="22"/>
  <c r="AH79" i="22"/>
  <c r="AC79" i="22"/>
  <c r="AB79" i="22"/>
  <c r="B79" i="22"/>
  <c r="AJ78" i="22"/>
  <c r="AH78" i="22"/>
  <c r="AC78" i="22"/>
  <c r="AB78" i="22"/>
  <c r="B78" i="22"/>
  <c r="AJ77" i="22"/>
  <c r="AH77" i="22"/>
  <c r="AC77" i="22"/>
  <c r="AB77" i="22"/>
  <c r="B77" i="22"/>
  <c r="AJ76" i="22"/>
  <c r="AH76" i="22"/>
  <c r="AG76" i="22"/>
  <c r="AC76" i="22"/>
  <c r="AB76" i="22"/>
  <c r="B76" i="22"/>
  <c r="AJ75" i="22"/>
  <c r="AH75" i="22"/>
  <c r="AG75" i="22"/>
  <c r="AC75" i="22"/>
  <c r="AB75" i="22"/>
  <c r="B75" i="22"/>
  <c r="AJ74" i="22"/>
  <c r="AH74" i="22"/>
  <c r="AC74" i="22"/>
  <c r="AB74" i="22"/>
  <c r="B74" i="22"/>
  <c r="AJ73" i="22"/>
  <c r="AH73" i="22"/>
  <c r="AG73" i="22"/>
  <c r="AC73" i="22"/>
  <c r="AB73" i="22"/>
  <c r="B73" i="22"/>
  <c r="AJ72" i="22"/>
  <c r="AI72" i="22"/>
  <c r="AH72" i="22"/>
  <c r="AC72" i="22"/>
  <c r="AB72" i="22"/>
  <c r="B72" i="22"/>
  <c r="AJ71" i="22"/>
  <c r="AH71" i="22"/>
  <c r="AC71" i="22"/>
  <c r="AB71" i="22"/>
  <c r="B71" i="22"/>
  <c r="AJ70" i="22"/>
  <c r="AI70" i="22"/>
  <c r="AH70" i="22"/>
  <c r="AC70" i="22"/>
  <c r="AB70" i="22"/>
  <c r="B70" i="22"/>
  <c r="AJ69" i="22"/>
  <c r="AI69" i="22"/>
  <c r="AH69" i="22"/>
  <c r="AC69" i="22"/>
  <c r="AB69" i="22"/>
  <c r="B69" i="22"/>
  <c r="AJ68" i="22"/>
  <c r="AI68" i="22"/>
  <c r="AH68" i="22"/>
  <c r="AC68" i="22"/>
  <c r="AB68" i="22"/>
  <c r="B68" i="22"/>
  <c r="AJ67" i="22"/>
  <c r="AH67" i="22"/>
  <c r="AC67" i="22"/>
  <c r="AB67" i="22"/>
  <c r="B67" i="22"/>
  <c r="B66" i="22"/>
  <c r="AK65" i="22"/>
  <c r="AJ65" i="22"/>
  <c r="AI65" i="22"/>
  <c r="AC65" i="22"/>
  <c r="AB65" i="22"/>
  <c r="AA65" i="22"/>
  <c r="Z65" i="22"/>
  <c r="Y65" i="22"/>
  <c r="X65" i="22"/>
  <c r="W65" i="22"/>
  <c r="V65" i="22"/>
  <c r="U65" i="22"/>
  <c r="T65" i="22"/>
  <c r="S65" i="22"/>
  <c r="R65" i="22"/>
  <c r="Q65" i="22"/>
  <c r="P65" i="22"/>
  <c r="N65" i="22"/>
  <c r="L65" i="22"/>
  <c r="B65" i="22"/>
  <c r="AJ64" i="22"/>
  <c r="AH64" i="22"/>
  <c r="AC64" i="22"/>
  <c r="AB64" i="22"/>
  <c r="B64" i="22"/>
  <c r="AJ63" i="22"/>
  <c r="AH63" i="22"/>
  <c r="AC63" i="22"/>
  <c r="AB63" i="22"/>
  <c r="B63" i="22"/>
  <c r="AJ62" i="22"/>
  <c r="AH62" i="22"/>
  <c r="AC62" i="22"/>
  <c r="AB62" i="22"/>
  <c r="B62" i="22"/>
  <c r="AJ61" i="22"/>
  <c r="AH61" i="22"/>
  <c r="AC61" i="22"/>
  <c r="AB61" i="22"/>
  <c r="B61" i="22"/>
  <c r="AJ60" i="22"/>
  <c r="AH60" i="22"/>
  <c r="AC60" i="22"/>
  <c r="AB60" i="22"/>
  <c r="B60" i="22"/>
  <c r="AJ59" i="22"/>
  <c r="AH59" i="22"/>
  <c r="AC59" i="22"/>
  <c r="AB59" i="22"/>
  <c r="B59" i="22"/>
  <c r="AJ58" i="22"/>
  <c r="AI58" i="22"/>
  <c r="AH58" i="22"/>
  <c r="AC58" i="22"/>
  <c r="AB58" i="22"/>
  <c r="B58" i="22"/>
  <c r="AJ57" i="22"/>
  <c r="AH57" i="22"/>
  <c r="AG57" i="22"/>
  <c r="AC57" i="22"/>
  <c r="AB57" i="22"/>
  <c r="B57" i="22"/>
  <c r="AJ56" i="22"/>
  <c r="AH56" i="22"/>
  <c r="AG56" i="22"/>
  <c r="AC56" i="22"/>
  <c r="AB56" i="22"/>
  <c r="R56" i="22"/>
  <c r="B56" i="22"/>
  <c r="AJ55" i="22"/>
  <c r="AH55" i="22"/>
  <c r="AC55" i="22"/>
  <c r="AB55" i="22"/>
  <c r="B55" i="22"/>
  <c r="AJ54" i="22"/>
  <c r="AH54" i="22"/>
  <c r="AC54" i="22"/>
  <c r="AB54" i="22"/>
  <c r="B54" i="22"/>
  <c r="AJ53" i="22"/>
  <c r="AH53" i="22"/>
  <c r="AG53" i="22"/>
  <c r="AC53" i="22"/>
  <c r="AB53" i="22"/>
  <c r="B53" i="22"/>
  <c r="AJ52" i="22"/>
  <c r="AH52" i="22"/>
  <c r="AC52" i="22"/>
  <c r="AB52" i="22"/>
  <c r="B52" i="22"/>
  <c r="AJ51" i="22"/>
  <c r="AH51" i="22"/>
  <c r="AG51" i="22"/>
  <c r="AC51" i="22"/>
  <c r="AB51" i="22"/>
  <c r="B51" i="22"/>
  <c r="AJ50" i="22"/>
  <c r="AH50" i="22"/>
  <c r="AG50" i="22"/>
  <c r="AC50" i="22"/>
  <c r="AB50" i="22"/>
  <c r="B50" i="22"/>
  <c r="AJ49" i="22"/>
  <c r="AH49" i="22"/>
  <c r="AG49" i="22"/>
  <c r="AC49" i="22"/>
  <c r="AB49" i="22"/>
  <c r="B49" i="22"/>
  <c r="AJ48" i="22"/>
  <c r="AH48" i="22"/>
  <c r="AG48" i="22"/>
  <c r="AC48" i="22"/>
  <c r="AB48" i="22"/>
  <c r="B48" i="22"/>
  <c r="AJ47" i="22"/>
  <c r="AH47" i="22"/>
  <c r="AG47" i="22"/>
  <c r="AC47" i="22"/>
  <c r="AB47" i="22"/>
  <c r="B47" i="22"/>
  <c r="AJ46" i="22"/>
  <c r="AI46" i="22"/>
  <c r="AH46" i="22"/>
  <c r="AC46" i="22"/>
  <c r="AB46" i="22"/>
  <c r="B46" i="22"/>
  <c r="AJ45" i="22"/>
  <c r="AH45" i="22"/>
  <c r="AG45" i="22"/>
  <c r="AC45" i="22"/>
  <c r="AB45" i="22"/>
  <c r="B45" i="22"/>
  <c r="AJ44" i="22"/>
  <c r="AH44" i="22"/>
  <c r="AG44" i="22"/>
  <c r="AC44" i="22"/>
  <c r="AB44" i="22"/>
  <c r="B44" i="22"/>
  <c r="AJ43" i="22"/>
  <c r="AH43" i="22"/>
  <c r="AG43" i="22"/>
  <c r="AC43" i="22"/>
  <c r="AB43" i="22"/>
  <c r="B43" i="22"/>
  <c r="AJ42" i="22"/>
  <c r="AH42" i="22"/>
  <c r="AG42" i="22"/>
  <c r="AC42" i="22"/>
  <c r="AB42" i="22"/>
  <c r="B42" i="22"/>
  <c r="AJ41" i="22"/>
  <c r="AH41" i="22"/>
  <c r="AC41" i="22"/>
  <c r="AB41" i="22"/>
  <c r="B41" i="22"/>
  <c r="AJ40" i="22"/>
  <c r="AI40" i="22"/>
  <c r="AH40" i="22"/>
  <c r="AC40" i="22"/>
  <c r="AB40" i="22"/>
  <c r="B40" i="22"/>
  <c r="AJ39" i="22"/>
  <c r="AI39" i="22"/>
  <c r="AH39" i="22"/>
  <c r="AC39" i="22"/>
  <c r="AB39" i="22"/>
  <c r="B39" i="22"/>
  <c r="AJ38" i="22"/>
  <c r="AH38" i="22"/>
  <c r="AC38" i="22"/>
  <c r="AB38" i="22"/>
  <c r="B38" i="22"/>
  <c r="AJ37" i="22"/>
  <c r="AH37" i="22"/>
  <c r="AC37" i="22"/>
  <c r="AB37" i="22"/>
  <c r="B37" i="22"/>
  <c r="AJ36" i="22"/>
  <c r="AH36" i="22"/>
  <c r="AG36" i="22"/>
  <c r="AC36" i="22"/>
  <c r="AB36" i="22"/>
  <c r="B36" i="22"/>
  <c r="AJ35" i="22"/>
  <c r="AH35" i="22"/>
  <c r="AC35" i="22"/>
  <c r="AB35" i="22"/>
  <c r="B35" i="22"/>
  <c r="AJ34" i="22"/>
  <c r="AI34" i="22"/>
  <c r="AH34" i="22"/>
  <c r="AC34" i="22"/>
  <c r="AB34" i="22"/>
  <c r="B34" i="22"/>
  <c r="AJ33" i="22"/>
  <c r="AH33" i="22"/>
  <c r="AG33" i="22"/>
  <c r="AC33" i="22"/>
  <c r="AB33" i="22"/>
  <c r="B33" i="22"/>
  <c r="AJ32" i="22"/>
  <c r="AH32" i="22"/>
  <c r="AG32" i="22"/>
  <c r="AC32" i="22"/>
  <c r="AB32" i="22"/>
  <c r="B32" i="22"/>
  <c r="AJ31" i="22"/>
  <c r="AH31" i="22"/>
  <c r="AG31" i="22"/>
  <c r="AC31" i="22"/>
  <c r="AB31" i="22"/>
  <c r="B31" i="22"/>
  <c r="AJ30" i="22"/>
  <c r="AI30" i="22"/>
  <c r="AH30" i="22"/>
  <c r="AC30" i="22"/>
  <c r="AB30" i="22"/>
  <c r="B30" i="22"/>
  <c r="AJ29" i="22"/>
  <c r="AI29" i="22"/>
  <c r="AH29" i="22"/>
  <c r="AC29" i="22"/>
  <c r="AB29" i="22"/>
  <c r="B29" i="22"/>
  <c r="AJ28" i="22"/>
  <c r="AH28" i="22"/>
  <c r="AC28" i="22"/>
  <c r="AB28" i="22"/>
  <c r="B28" i="22"/>
  <c r="AJ27" i="22"/>
  <c r="AH27" i="22"/>
  <c r="AC27" i="22"/>
  <c r="AB27" i="22"/>
  <c r="B27" i="22"/>
  <c r="AJ26" i="22"/>
  <c r="AH26" i="22"/>
  <c r="AC26" i="22"/>
  <c r="AB26" i="22"/>
  <c r="B26" i="22"/>
  <c r="AJ25" i="22"/>
  <c r="AH25" i="22"/>
  <c r="AC25" i="22"/>
  <c r="AB25" i="22"/>
  <c r="B25" i="22"/>
  <c r="AJ24" i="22"/>
  <c r="AH24" i="22"/>
  <c r="AG24" i="22"/>
  <c r="AC24" i="22"/>
  <c r="AB24" i="22"/>
  <c r="B24" i="22"/>
  <c r="AJ23" i="22"/>
  <c r="AI23" i="22"/>
  <c r="AH23" i="22"/>
  <c r="AC23" i="22"/>
  <c r="AB23" i="22"/>
  <c r="B23" i="22"/>
  <c r="AJ22" i="22"/>
  <c r="AI22" i="22"/>
  <c r="AH22" i="22"/>
  <c r="AC22" i="22"/>
  <c r="AB22" i="22"/>
  <c r="B22" i="22"/>
  <c r="AJ21" i="22"/>
  <c r="AI21" i="22"/>
  <c r="AH21" i="22"/>
  <c r="AC21" i="22"/>
  <c r="AB21" i="22"/>
  <c r="B21" i="22"/>
  <c r="AJ20" i="22"/>
  <c r="AH20" i="22"/>
  <c r="AG20" i="22"/>
  <c r="AC20" i="22"/>
  <c r="AB20" i="22"/>
  <c r="B20" i="22"/>
  <c r="AJ19" i="22"/>
  <c r="AH19" i="22"/>
  <c r="AC19" i="22"/>
  <c r="AB19" i="22"/>
  <c r="B19" i="22"/>
  <c r="AJ18" i="22"/>
  <c r="AH18" i="22"/>
  <c r="AG18" i="22"/>
  <c r="AC18" i="22"/>
  <c r="AB18" i="22"/>
  <c r="B18" i="22"/>
  <c r="AJ17" i="22"/>
  <c r="AI17" i="22"/>
  <c r="AH17" i="22"/>
  <c r="AC17" i="22"/>
  <c r="AB17" i="22"/>
  <c r="B17" i="22"/>
  <c r="B16" i="22"/>
  <c r="B14" i="22"/>
  <c r="B13" i="22"/>
  <c r="AB163" i="19"/>
  <c r="AA156" i="19"/>
  <c r="Z156" i="19"/>
  <c r="Y156" i="19"/>
  <c r="X156" i="19"/>
  <c r="W156" i="19"/>
  <c r="V156" i="19"/>
  <c r="U156" i="19"/>
  <c r="T156" i="19"/>
  <c r="S156" i="19"/>
  <c r="R156" i="19"/>
  <c r="Q156" i="19"/>
  <c r="P156" i="19"/>
  <c r="N156" i="19"/>
  <c r="D28" i="23" s="1"/>
  <c r="L156" i="19"/>
  <c r="C28" i="23" s="1"/>
  <c r="AJ155" i="19"/>
  <c r="AH155" i="19"/>
  <c r="AC155" i="19"/>
  <c r="AB155" i="19"/>
  <c r="B155" i="19"/>
  <c r="AJ154" i="19"/>
  <c r="AH154" i="19"/>
  <c r="AB154" i="19"/>
  <c r="AC154" i="19" s="1"/>
  <c r="B154" i="19"/>
  <c r="AJ153" i="19"/>
  <c r="AH153" i="19"/>
  <c r="AB153" i="19"/>
  <c r="AC153" i="19" s="1"/>
  <c r="B153" i="19"/>
  <c r="AJ152" i="19"/>
  <c r="AH152" i="19"/>
  <c r="AB152" i="19"/>
  <c r="AC152" i="19" s="1"/>
  <c r="B152" i="19"/>
  <c r="AJ151" i="19"/>
  <c r="AH151" i="19"/>
  <c r="AC151" i="19"/>
  <c r="AB151" i="19"/>
  <c r="B151" i="19"/>
  <c r="AJ150" i="19"/>
  <c r="AI150" i="19"/>
  <c r="AI156" i="19" s="1"/>
  <c r="AH150" i="19"/>
  <c r="AB150" i="19"/>
  <c r="AC150" i="19" s="1"/>
  <c r="M150" i="19"/>
  <c r="B150" i="19"/>
  <c r="AJ149" i="19"/>
  <c r="AH149" i="19"/>
  <c r="AC149" i="19"/>
  <c r="AB149" i="19"/>
  <c r="B149" i="19"/>
  <c r="B148" i="19"/>
  <c r="AK156" i="19" s="1"/>
  <c r="AI147" i="19"/>
  <c r="AK147" i="19" s="1"/>
  <c r="AD147" i="19"/>
  <c r="AA147" i="19"/>
  <c r="Z147" i="19"/>
  <c r="Y147" i="19"/>
  <c r="X147" i="19"/>
  <c r="W147" i="19"/>
  <c r="V147" i="19"/>
  <c r="U147" i="19"/>
  <c r="T147" i="19"/>
  <c r="S147" i="19"/>
  <c r="R147" i="19"/>
  <c r="Q147" i="19"/>
  <c r="P147" i="19"/>
  <c r="N147" i="19"/>
  <c r="L147" i="19"/>
  <c r="AJ146" i="19"/>
  <c r="AJ147" i="19" s="1"/>
  <c r="AH146" i="19"/>
  <c r="AB146" i="19"/>
  <c r="B146" i="19"/>
  <c r="B147" i="19" s="1"/>
  <c r="AB145" i="19"/>
  <c r="AC145" i="19" s="1"/>
  <c r="AD144" i="19"/>
  <c r="AA144" i="19"/>
  <c r="Z144" i="19"/>
  <c r="Y144" i="19"/>
  <c r="X144" i="19"/>
  <c r="W144" i="19"/>
  <c r="V144" i="19"/>
  <c r="U144" i="19"/>
  <c r="T144" i="19"/>
  <c r="S144" i="19"/>
  <c r="Q144" i="19"/>
  <c r="P144" i="19"/>
  <c r="N144" i="19"/>
  <c r="L144" i="19"/>
  <c r="AJ143" i="19"/>
  <c r="AH143" i="19"/>
  <c r="AB143" i="19"/>
  <c r="AC143" i="19" s="1"/>
  <c r="B143" i="19"/>
  <c r="AJ142" i="19"/>
  <c r="AH142" i="19"/>
  <c r="AC142" i="19"/>
  <c r="AB142" i="19"/>
  <c r="B142" i="19"/>
  <c r="AJ141" i="19"/>
  <c r="AH141" i="19"/>
  <c r="AB141" i="19"/>
  <c r="AC141" i="19" s="1"/>
  <c r="B141" i="19"/>
  <c r="AJ140" i="19"/>
  <c r="AH140" i="19"/>
  <c r="AB140" i="19"/>
  <c r="AC140" i="19" s="1"/>
  <c r="B140" i="19"/>
  <c r="AJ139" i="19"/>
  <c r="AH139" i="19"/>
  <c r="AB139" i="19"/>
  <c r="AC139" i="19" s="1"/>
  <c r="B139" i="19"/>
  <c r="AJ138" i="19"/>
  <c r="AH138" i="19"/>
  <c r="AC138" i="19"/>
  <c r="AB138" i="19"/>
  <c r="B138" i="19"/>
  <c r="AJ137" i="19"/>
  <c r="AH137" i="19"/>
  <c r="AB137" i="19"/>
  <c r="AC137" i="19" s="1"/>
  <c r="M137" i="19"/>
  <c r="B137" i="19"/>
  <c r="AJ136" i="19"/>
  <c r="AH136" i="19"/>
  <c r="AB136" i="19"/>
  <c r="AC136" i="19" s="1"/>
  <c r="B136" i="19"/>
  <c r="AJ135" i="19"/>
  <c r="AH135" i="19"/>
  <c r="AB135" i="19"/>
  <c r="AC135" i="19" s="1"/>
  <c r="B135" i="19"/>
  <c r="AJ134" i="19"/>
  <c r="AH134" i="19"/>
  <c r="AB134" i="19"/>
  <c r="AC134" i="19" s="1"/>
  <c r="B134" i="19"/>
  <c r="AJ133" i="19"/>
  <c r="AH133" i="19"/>
  <c r="AB133" i="19"/>
  <c r="AC133" i="19" s="1"/>
  <c r="B133" i="19"/>
  <c r="AH132" i="19"/>
  <c r="AB132" i="19"/>
  <c r="AC132" i="19" s="1"/>
  <c r="B132" i="19"/>
  <c r="AJ131" i="19"/>
  <c r="AH131" i="19"/>
  <c r="AB131" i="19"/>
  <c r="AC131" i="19" s="1"/>
  <c r="B131" i="19"/>
  <c r="AJ130" i="19"/>
  <c r="AH130" i="19"/>
  <c r="AB130" i="19"/>
  <c r="AC130" i="19" s="1"/>
  <c r="B130" i="19"/>
  <c r="AJ129" i="19"/>
  <c r="AH129" i="19"/>
  <c r="AB129" i="19"/>
  <c r="AC129" i="19" s="1"/>
  <c r="B129" i="19"/>
  <c r="AJ128" i="19"/>
  <c r="AH128" i="19"/>
  <c r="AB128" i="19"/>
  <c r="AC128" i="19" s="1"/>
  <c r="B128" i="19"/>
  <c r="AI127" i="19"/>
  <c r="AJ127" i="19" s="1"/>
  <c r="AH127" i="19"/>
  <c r="AB127" i="19"/>
  <c r="AC127" i="19" s="1"/>
  <c r="B127" i="19"/>
  <c r="AI126" i="19"/>
  <c r="AJ126" i="19" s="1"/>
  <c r="AH126" i="19"/>
  <c r="AB126" i="19"/>
  <c r="AC126" i="19" s="1"/>
  <c r="B126" i="19"/>
  <c r="AJ125" i="19"/>
  <c r="AH125" i="19"/>
  <c r="AB125" i="19"/>
  <c r="AC125" i="19" s="1"/>
  <c r="M125" i="19"/>
  <c r="B125" i="19"/>
  <c r="AJ124" i="19"/>
  <c r="AH124" i="19"/>
  <c r="AB124" i="19"/>
  <c r="AC124" i="19" s="1"/>
  <c r="B124" i="19"/>
  <c r="AJ123" i="19"/>
  <c r="AH123" i="19"/>
  <c r="AB123" i="19"/>
  <c r="AC123" i="19" s="1"/>
  <c r="B123" i="19"/>
  <c r="AJ122" i="19"/>
  <c r="AH122" i="19"/>
  <c r="AB122" i="19"/>
  <c r="AC122" i="19" s="1"/>
  <c r="B122" i="19"/>
  <c r="AJ121" i="19"/>
  <c r="AH121" i="19"/>
  <c r="AB121" i="19"/>
  <c r="AC121" i="19" s="1"/>
  <c r="B121" i="19"/>
  <c r="AJ120" i="19"/>
  <c r="AH120" i="19"/>
  <c r="AB120" i="19"/>
  <c r="AC120" i="19" s="1"/>
  <c r="B120" i="19"/>
  <c r="AJ119" i="19"/>
  <c r="AH119" i="19"/>
  <c r="AB119" i="19"/>
  <c r="AC119" i="19" s="1"/>
  <c r="B119" i="19"/>
  <c r="AJ118" i="19"/>
  <c r="AH118" i="19"/>
  <c r="AB118" i="19"/>
  <c r="AC118" i="19" s="1"/>
  <c r="B118" i="19"/>
  <c r="AI117" i="19"/>
  <c r="AJ117" i="19" s="1"/>
  <c r="AH117" i="19"/>
  <c r="AB117" i="19"/>
  <c r="AC117" i="19" s="1"/>
  <c r="B117" i="19"/>
  <c r="AJ116" i="19"/>
  <c r="AH116" i="19"/>
  <c r="AB116" i="19"/>
  <c r="AC116" i="19" s="1"/>
  <c r="B116" i="19"/>
  <c r="AJ115" i="19"/>
  <c r="AH115" i="19"/>
  <c r="AB115" i="19"/>
  <c r="AC115" i="19" s="1"/>
  <c r="M115" i="19"/>
  <c r="B115" i="19"/>
  <c r="AJ114" i="19"/>
  <c r="AH114" i="19"/>
  <c r="AB114" i="19"/>
  <c r="AC114" i="19" s="1"/>
  <c r="B114" i="19"/>
  <c r="AJ113" i="19"/>
  <c r="AI113" i="19"/>
  <c r="AH113" i="19"/>
  <c r="AB113" i="19"/>
  <c r="AC113" i="19" s="1"/>
  <c r="B113" i="19"/>
  <c r="AJ112" i="19"/>
  <c r="AH112" i="19"/>
  <c r="AB112" i="19"/>
  <c r="AC112" i="19" s="1"/>
  <c r="B112" i="19"/>
  <c r="AI111" i="19"/>
  <c r="AJ111" i="19" s="1"/>
  <c r="AH111" i="19"/>
  <c r="AC111" i="19"/>
  <c r="AB111" i="19"/>
  <c r="B111" i="19"/>
  <c r="AJ110" i="19"/>
  <c r="AH110" i="19"/>
  <c r="AB110" i="19"/>
  <c r="AC110" i="19" s="1"/>
  <c r="B110" i="19"/>
  <c r="AJ109" i="19"/>
  <c r="AH109" i="19"/>
  <c r="AB109" i="19"/>
  <c r="AC109" i="19" s="1"/>
  <c r="B109" i="19"/>
  <c r="AJ108" i="19"/>
  <c r="AH108" i="19"/>
  <c r="AB108" i="19"/>
  <c r="AC108" i="19" s="1"/>
  <c r="B108" i="19"/>
  <c r="AJ107" i="19"/>
  <c r="AH107" i="19"/>
  <c r="AB107" i="19"/>
  <c r="AC107" i="19" s="1"/>
  <c r="B107" i="19"/>
  <c r="AJ106" i="19"/>
  <c r="AI106" i="19"/>
  <c r="AH106" i="19"/>
  <c r="AC106" i="19"/>
  <c r="AB106" i="19"/>
  <c r="B106" i="19"/>
  <c r="AJ105" i="19"/>
  <c r="AH105" i="19"/>
  <c r="AB105" i="19"/>
  <c r="AC105" i="19" s="1"/>
  <c r="B105" i="19"/>
  <c r="AJ104" i="19"/>
  <c r="AH104" i="19"/>
  <c r="AB104" i="19"/>
  <c r="AC104" i="19" s="1"/>
  <c r="B104" i="19"/>
  <c r="AI103" i="19"/>
  <c r="AJ103" i="19" s="1"/>
  <c r="AH103" i="19"/>
  <c r="AB103" i="19"/>
  <c r="AC103" i="19" s="1"/>
  <c r="M103" i="19"/>
  <c r="B103" i="19"/>
  <c r="AJ102" i="19"/>
  <c r="AI102" i="19"/>
  <c r="AH102" i="19"/>
  <c r="AB102" i="19"/>
  <c r="AC102" i="19" s="1"/>
  <c r="M102" i="19"/>
  <c r="B102" i="19"/>
  <c r="AJ101" i="19"/>
  <c r="AH101" i="19"/>
  <c r="AB101" i="19"/>
  <c r="AC101" i="19" s="1"/>
  <c r="B101" i="19"/>
  <c r="AJ100" i="19"/>
  <c r="AH100" i="19"/>
  <c r="AB100" i="19"/>
  <c r="AC100" i="19" s="1"/>
  <c r="B100" i="19"/>
  <c r="AJ99" i="19"/>
  <c r="AH99" i="19"/>
  <c r="AB99" i="19"/>
  <c r="AC99" i="19" s="1"/>
  <c r="B99" i="19"/>
  <c r="AJ98" i="19"/>
  <c r="AH98" i="19"/>
  <c r="AC98" i="19"/>
  <c r="AB98" i="19"/>
  <c r="M98" i="19"/>
  <c r="B98" i="19"/>
  <c r="AJ97" i="19"/>
  <c r="AH97" i="19"/>
  <c r="AB97" i="19"/>
  <c r="AC97" i="19" s="1"/>
  <c r="B97" i="19"/>
  <c r="AJ96" i="19"/>
  <c r="AH96" i="19"/>
  <c r="AB96" i="19"/>
  <c r="AC96" i="19" s="1"/>
  <c r="R96" i="19"/>
  <c r="R144" i="19" s="1"/>
  <c r="B96" i="19"/>
  <c r="AJ95" i="19"/>
  <c r="AH95" i="19"/>
  <c r="AB95" i="19"/>
  <c r="AC95" i="19" s="1"/>
  <c r="B95" i="19"/>
  <c r="AJ94" i="19"/>
  <c r="AH94" i="19"/>
  <c r="AC94" i="19"/>
  <c r="AB94" i="19"/>
  <c r="B94" i="19"/>
  <c r="AJ93" i="19"/>
  <c r="AH93" i="19"/>
  <c r="AB93" i="19"/>
  <c r="AC93" i="19" s="1"/>
  <c r="B93" i="19"/>
  <c r="AJ92" i="19"/>
  <c r="AH92" i="19"/>
  <c r="AB92" i="19"/>
  <c r="AC92" i="19" s="1"/>
  <c r="B92" i="19"/>
  <c r="AJ91" i="19"/>
  <c r="AH91" i="19"/>
  <c r="AB91" i="19"/>
  <c r="AC91" i="19" s="1"/>
  <c r="B91" i="19"/>
  <c r="AJ90" i="19"/>
  <c r="AI90" i="19"/>
  <c r="AH90" i="19"/>
  <c r="AB90" i="19"/>
  <c r="AC90" i="19" s="1"/>
  <c r="B90" i="19"/>
  <c r="AJ89" i="19"/>
  <c r="AH89" i="19"/>
  <c r="AB89" i="19"/>
  <c r="AC89" i="19" s="1"/>
  <c r="B89" i="19"/>
  <c r="AJ88" i="19"/>
  <c r="AH88" i="19"/>
  <c r="AB88" i="19"/>
  <c r="AC88" i="19" s="1"/>
  <c r="B88" i="19"/>
  <c r="AJ87" i="19"/>
  <c r="AH87" i="19"/>
  <c r="AB87" i="19"/>
  <c r="AC87" i="19" s="1"/>
  <c r="B87" i="19"/>
  <c r="AI86" i="19"/>
  <c r="AJ86" i="19" s="1"/>
  <c r="AH86" i="19"/>
  <c r="AC86" i="19"/>
  <c r="AB86" i="19"/>
  <c r="B86" i="19"/>
  <c r="AJ85" i="19"/>
  <c r="AI85" i="19"/>
  <c r="AI144" i="19" s="1"/>
  <c r="AK144" i="19" s="1"/>
  <c r="AH85" i="19"/>
  <c r="AB85" i="19"/>
  <c r="AC85" i="19" s="1"/>
  <c r="B85" i="19"/>
  <c r="AJ84" i="19"/>
  <c r="AH84" i="19"/>
  <c r="AB84" i="19"/>
  <c r="B84" i="19"/>
  <c r="AB83" i="19"/>
  <c r="AC83" i="19" s="1"/>
  <c r="B83" i="19"/>
  <c r="B82" i="19"/>
  <c r="B27" i="23" s="1"/>
  <c r="AA81" i="19"/>
  <c r="Z81" i="19"/>
  <c r="Y81" i="19"/>
  <c r="X81" i="19"/>
  <c r="W81" i="19"/>
  <c r="V81" i="19"/>
  <c r="U81" i="19"/>
  <c r="T81" i="19"/>
  <c r="S81" i="19"/>
  <c r="R81" i="19"/>
  <c r="Q81" i="19"/>
  <c r="P81" i="19"/>
  <c r="N81" i="19"/>
  <c r="D26" i="23" s="1"/>
  <c r="L81" i="19"/>
  <c r="C26" i="23" s="1"/>
  <c r="AJ80" i="19"/>
  <c r="AH80" i="19"/>
  <c r="AB80" i="19"/>
  <c r="AC80" i="19" s="1"/>
  <c r="B80" i="19"/>
  <c r="AJ79" i="19"/>
  <c r="AH79" i="19"/>
  <c r="AB79" i="19"/>
  <c r="AC79" i="19" s="1"/>
  <c r="B79" i="19"/>
  <c r="AJ78" i="19"/>
  <c r="AH78" i="19"/>
  <c r="AB78" i="19"/>
  <c r="AC78" i="19" s="1"/>
  <c r="B78" i="19"/>
  <c r="AJ77" i="19"/>
  <c r="AH77" i="19"/>
  <c r="AB77" i="19"/>
  <c r="AC77" i="19" s="1"/>
  <c r="B77" i="19"/>
  <c r="AJ76" i="19"/>
  <c r="AH76" i="19"/>
  <c r="AB76" i="19"/>
  <c r="AC76" i="19" s="1"/>
  <c r="B76" i="19"/>
  <c r="AJ75" i="19"/>
  <c r="AH75" i="19"/>
  <c r="AB75" i="19"/>
  <c r="AC75" i="19" s="1"/>
  <c r="B75" i="19"/>
  <c r="AJ74" i="19"/>
  <c r="AH74" i="19"/>
  <c r="AB74" i="19"/>
  <c r="AC74" i="19" s="1"/>
  <c r="B74" i="19"/>
  <c r="AJ73" i="19"/>
  <c r="AH73" i="19"/>
  <c r="AB73" i="19"/>
  <c r="AC73" i="19" s="1"/>
  <c r="B73" i="19"/>
  <c r="AJ72" i="19"/>
  <c r="AH72" i="19"/>
  <c r="AC72" i="19"/>
  <c r="AB72" i="19"/>
  <c r="B72" i="19"/>
  <c r="AJ71" i="19"/>
  <c r="AH71" i="19"/>
  <c r="AB71" i="19"/>
  <c r="AC71" i="19" s="1"/>
  <c r="B71" i="19"/>
  <c r="AJ70" i="19"/>
  <c r="AH70" i="19"/>
  <c r="AB70" i="19"/>
  <c r="AC70" i="19" s="1"/>
  <c r="B70" i="19"/>
  <c r="AI69" i="19"/>
  <c r="AJ69" i="19" s="1"/>
  <c r="AH69" i="19"/>
  <c r="AB69" i="19"/>
  <c r="AC69" i="19" s="1"/>
  <c r="B69" i="19"/>
  <c r="AJ68" i="19"/>
  <c r="AH68" i="19"/>
  <c r="AB68" i="19"/>
  <c r="AC68" i="19" s="1"/>
  <c r="B68" i="19"/>
  <c r="AJ67" i="19"/>
  <c r="AH67" i="19"/>
  <c r="AB67" i="19"/>
  <c r="AC67" i="19" s="1"/>
  <c r="B67" i="19"/>
  <c r="AJ66" i="19"/>
  <c r="AH66" i="19"/>
  <c r="AB66" i="19"/>
  <c r="AC66" i="19" s="1"/>
  <c r="B66" i="19"/>
  <c r="AJ65" i="19"/>
  <c r="AH65" i="19"/>
  <c r="AB65" i="19"/>
  <c r="AC65" i="19" s="1"/>
  <c r="B65" i="19"/>
  <c r="AJ64" i="19"/>
  <c r="AH64" i="19"/>
  <c r="AB64" i="19"/>
  <c r="AC64" i="19" s="1"/>
  <c r="B64" i="19"/>
  <c r="B63" i="19"/>
  <c r="B26" i="23" s="1"/>
  <c r="AA62" i="19"/>
  <c r="Z62" i="19"/>
  <c r="Y62" i="19"/>
  <c r="X62" i="19"/>
  <c r="W62" i="19"/>
  <c r="V62" i="19"/>
  <c r="U62" i="19"/>
  <c r="T62" i="19"/>
  <c r="S62" i="19"/>
  <c r="R62" i="19"/>
  <c r="Q62" i="19"/>
  <c r="P62" i="19"/>
  <c r="N62" i="19"/>
  <c r="D29" i="23" s="1"/>
  <c r="L62" i="19"/>
  <c r="C29" i="23" s="1"/>
  <c r="AJ61" i="19"/>
  <c r="AH61" i="19"/>
  <c r="AB61" i="19"/>
  <c r="AC61" i="19" s="1"/>
  <c r="B61" i="19"/>
  <c r="AJ60" i="19"/>
  <c r="AH60" i="19"/>
  <c r="AB60" i="19"/>
  <c r="AC60" i="19" s="1"/>
  <c r="B60" i="19"/>
  <c r="AJ59" i="19"/>
  <c r="AH59" i="19"/>
  <c r="AB59" i="19"/>
  <c r="AC59" i="19" s="1"/>
  <c r="B59" i="19"/>
  <c r="AJ58" i="19"/>
  <c r="AH58" i="19"/>
  <c r="AB58" i="19"/>
  <c r="AC58" i="19" s="1"/>
  <c r="B58" i="19"/>
  <c r="AJ57" i="19"/>
  <c r="AH57" i="19"/>
  <c r="AB57" i="19"/>
  <c r="AC57" i="19" s="1"/>
  <c r="B57" i="19"/>
  <c r="AJ56" i="19"/>
  <c r="AH56" i="19"/>
  <c r="AC56" i="19"/>
  <c r="AB56" i="19"/>
  <c r="B56" i="19"/>
  <c r="AI55" i="19"/>
  <c r="AJ55" i="19" s="1"/>
  <c r="AH55" i="19"/>
  <c r="AB55" i="19"/>
  <c r="AC55" i="19" s="1"/>
  <c r="B55" i="19"/>
  <c r="B62" i="19" s="1"/>
  <c r="B54" i="19"/>
  <c r="B29" i="23" s="1"/>
  <c r="AA53" i="19"/>
  <c r="Z53" i="19"/>
  <c r="Y53" i="19"/>
  <c r="X53" i="19"/>
  <c r="W53" i="19"/>
  <c r="V53" i="19"/>
  <c r="U53" i="19"/>
  <c r="T53" i="19"/>
  <c r="S53" i="19"/>
  <c r="R53" i="19"/>
  <c r="Q53" i="19"/>
  <c r="P53" i="19"/>
  <c r="N53" i="19"/>
  <c r="L53" i="19"/>
  <c r="AJ52" i="19"/>
  <c r="AH52" i="19"/>
  <c r="AB52" i="19"/>
  <c r="AC52" i="19" s="1"/>
  <c r="B52" i="19"/>
  <c r="AJ51" i="19"/>
  <c r="AH51" i="19"/>
  <c r="AB51" i="19"/>
  <c r="AC51" i="19" s="1"/>
  <c r="B51" i="19"/>
  <c r="AH50" i="19"/>
  <c r="B50" i="19"/>
  <c r="AJ49" i="19"/>
  <c r="AH49" i="19"/>
  <c r="AC49" i="19"/>
  <c r="AB49" i="19"/>
  <c r="B49" i="19"/>
  <c r="AJ48" i="19"/>
  <c r="AI48" i="19"/>
  <c r="AI53" i="19" s="1"/>
  <c r="AK53" i="19" s="1"/>
  <c r="AH48" i="19"/>
  <c r="AB48" i="19"/>
  <c r="AC48" i="19" s="1"/>
  <c r="B48" i="19"/>
  <c r="AJ47" i="19"/>
  <c r="AH47" i="19"/>
  <c r="AB47" i="19"/>
  <c r="AC47" i="19" s="1"/>
  <c r="B47" i="19"/>
  <c r="AA45" i="19"/>
  <c r="Z45" i="19"/>
  <c r="Y45" i="19"/>
  <c r="X45" i="19"/>
  <c r="W45" i="19"/>
  <c r="V45" i="19"/>
  <c r="U45" i="19"/>
  <c r="T45" i="19"/>
  <c r="S45" i="19"/>
  <c r="R45" i="19"/>
  <c r="Q45" i="19"/>
  <c r="P45" i="19"/>
  <c r="AJ44" i="19"/>
  <c r="AH44" i="19"/>
  <c r="AB44" i="19"/>
  <c r="AC44" i="19" s="1"/>
  <c r="B44" i="19"/>
  <c r="AJ43" i="19"/>
  <c r="AH43" i="19"/>
  <c r="AB43" i="19"/>
  <c r="AC43" i="19" s="1"/>
  <c r="B43" i="19"/>
  <c r="AI42" i="19"/>
  <c r="AJ42" i="19" s="1"/>
  <c r="AH42" i="19"/>
  <c r="AC42" i="19"/>
  <c r="AB42" i="19"/>
  <c r="N42" i="19"/>
  <c r="N45" i="19" s="1"/>
  <c r="L42" i="19"/>
  <c r="B42" i="19" s="1"/>
  <c r="AJ41" i="19"/>
  <c r="AH41" i="19"/>
  <c r="AB41" i="19"/>
  <c r="AC41" i="19" s="1"/>
  <c r="B41" i="19"/>
  <c r="AJ40" i="19"/>
  <c r="AH40" i="19"/>
  <c r="AB40" i="19"/>
  <c r="AC40" i="19" s="1"/>
  <c r="B40" i="19"/>
  <c r="AJ39" i="19"/>
  <c r="AH39" i="19"/>
  <c r="AB39" i="19"/>
  <c r="AC39" i="19" s="1"/>
  <c r="B39" i="19"/>
  <c r="AI38" i="19"/>
  <c r="AI45" i="19" s="1"/>
  <c r="AK45" i="19" s="1"/>
  <c r="AH38" i="19"/>
  <c r="AB38" i="19"/>
  <c r="AC38" i="19" s="1"/>
  <c r="B38" i="19"/>
  <c r="AJ37" i="19"/>
  <c r="AH37" i="19"/>
  <c r="AB37" i="19"/>
  <c r="AC37" i="19" s="1"/>
  <c r="B37" i="19"/>
  <c r="AJ36" i="19"/>
  <c r="AH36" i="19"/>
  <c r="AB36" i="19"/>
  <c r="AC36" i="19" s="1"/>
  <c r="B36" i="19"/>
  <c r="AJ35" i="19"/>
  <c r="AH35" i="19"/>
  <c r="AC35" i="19"/>
  <c r="AB35" i="19"/>
  <c r="B35" i="19"/>
  <c r="AB34" i="19"/>
  <c r="AC34" i="19" s="1"/>
  <c r="B34" i="19"/>
  <c r="B33" i="19" s="1"/>
  <c r="AI32" i="19"/>
  <c r="AK32" i="19" s="1"/>
  <c r="AA32" i="19"/>
  <c r="Z32" i="19"/>
  <c r="Y32" i="19"/>
  <c r="X32" i="19"/>
  <c r="W32" i="19"/>
  <c r="V32" i="19"/>
  <c r="U32" i="19"/>
  <c r="T32" i="19"/>
  <c r="S32" i="19"/>
  <c r="R32" i="19"/>
  <c r="Q32" i="19"/>
  <c r="P32" i="19"/>
  <c r="N32" i="19"/>
  <c r="L32" i="19"/>
  <c r="AJ31" i="19"/>
  <c r="AJ32" i="19" s="1"/>
  <c r="AH31" i="19"/>
  <c r="AB31" i="19"/>
  <c r="AC31" i="19" s="1"/>
  <c r="B31" i="19"/>
  <c r="B32" i="19" s="1"/>
  <c r="AB30" i="19"/>
  <c r="AI29" i="19"/>
  <c r="AK29" i="19" s="1"/>
  <c r="AA29" i="19"/>
  <c r="Z29" i="19"/>
  <c r="Y29" i="19"/>
  <c r="X29" i="19"/>
  <c r="W29" i="19"/>
  <c r="V29" i="19"/>
  <c r="U29" i="19"/>
  <c r="T29" i="19"/>
  <c r="S29" i="19"/>
  <c r="R29" i="19"/>
  <c r="Q29" i="19"/>
  <c r="P29" i="19"/>
  <c r="N29" i="19"/>
  <c r="L29" i="19"/>
  <c r="AJ28" i="19"/>
  <c r="AJ29" i="19" s="1"/>
  <c r="AH28" i="19"/>
  <c r="AB28" i="19"/>
  <c r="AC28" i="19" s="1"/>
  <c r="AC29" i="19" s="1"/>
  <c r="B28" i="19"/>
  <c r="B29" i="19" s="1"/>
  <c r="AA26" i="19"/>
  <c r="Z26" i="19"/>
  <c r="Y26" i="19"/>
  <c r="X26" i="19"/>
  <c r="W26" i="19"/>
  <c r="V26" i="19"/>
  <c r="U26" i="19"/>
  <c r="T26" i="19"/>
  <c r="S26" i="19"/>
  <c r="R26" i="19"/>
  <c r="Q26" i="19"/>
  <c r="P26" i="19"/>
  <c r="N26" i="19"/>
  <c r="L26" i="19"/>
  <c r="C31" i="23" s="1"/>
  <c r="AJ25" i="19"/>
  <c r="AH25" i="19"/>
  <c r="AB25" i="19"/>
  <c r="AC25" i="19" s="1"/>
  <c r="B25" i="19"/>
  <c r="AJ24" i="19"/>
  <c r="AH24" i="19"/>
  <c r="AC24" i="19"/>
  <c r="AB24" i="19"/>
  <c r="B24" i="19"/>
  <c r="AJ23" i="19"/>
  <c r="AH23" i="19"/>
  <c r="AB23" i="19"/>
  <c r="AC23" i="19" s="1"/>
  <c r="N23" i="19"/>
  <c r="B23" i="19"/>
  <c r="AJ22" i="19"/>
  <c r="AI22" i="19"/>
  <c r="AH22" i="19"/>
  <c r="AB22" i="19"/>
  <c r="AC22" i="19" s="1"/>
  <c r="B22" i="19"/>
  <c r="AJ21" i="19"/>
  <c r="AH21" i="19"/>
  <c r="AG21" i="19"/>
  <c r="AB21" i="19"/>
  <c r="AC21" i="19" s="1"/>
  <c r="B21" i="19"/>
  <c r="AJ20" i="19"/>
  <c r="AH20" i="19"/>
  <c r="AB20" i="19"/>
  <c r="AC20" i="19" s="1"/>
  <c r="B20" i="19"/>
  <c r="AJ19" i="19"/>
  <c r="AH19" i="19"/>
  <c r="AC19" i="19"/>
  <c r="AB19" i="19"/>
  <c r="B19" i="19"/>
  <c r="AI18" i="19"/>
  <c r="AI26" i="19" s="1"/>
  <c r="AH18" i="19"/>
  <c r="AB18" i="19"/>
  <c r="AC18" i="19" s="1"/>
  <c r="B18" i="19"/>
  <c r="B17" i="19"/>
  <c r="B163" i="19" s="1"/>
  <c r="B34" i="23" s="1"/>
  <c r="AB161" i="17"/>
  <c r="AH154" i="17"/>
  <c r="AJ154" i="17" s="1"/>
  <c r="AA154" i="17"/>
  <c r="Z154" i="17"/>
  <c r="Y154" i="17"/>
  <c r="X154" i="17"/>
  <c r="W154" i="17"/>
  <c r="V154" i="17"/>
  <c r="U154" i="17"/>
  <c r="T154" i="17"/>
  <c r="S154" i="17"/>
  <c r="R154" i="17"/>
  <c r="Q154" i="17"/>
  <c r="P154" i="17"/>
  <c r="N154" i="17"/>
  <c r="L154" i="17"/>
  <c r="AG153" i="17"/>
  <c r="AC153" i="17"/>
  <c r="AB153" i="17"/>
  <c r="AI152" i="17"/>
  <c r="AI154" i="17" s="1"/>
  <c r="AG152" i="17"/>
  <c r="AB152" i="17"/>
  <c r="AA150" i="17"/>
  <c r="Z150" i="17"/>
  <c r="Y150" i="17"/>
  <c r="X150" i="17"/>
  <c r="W150" i="17"/>
  <c r="V150" i="17"/>
  <c r="U150" i="17"/>
  <c r="T150" i="17"/>
  <c r="S150" i="17"/>
  <c r="R150" i="17"/>
  <c r="Q150" i="17"/>
  <c r="P150" i="17"/>
  <c r="L150" i="17"/>
  <c r="C17" i="23" s="1"/>
  <c r="AI149" i="17"/>
  <c r="AG149" i="17"/>
  <c r="AB149" i="17"/>
  <c r="AC149" i="17" s="1"/>
  <c r="AI148" i="17"/>
  <c r="AG148" i="17"/>
  <c r="AB148" i="17"/>
  <c r="AC148" i="17" s="1"/>
  <c r="AI147" i="17"/>
  <c r="AG147" i="17"/>
  <c r="AF147" i="17"/>
  <c r="AB147" i="17"/>
  <c r="AC147" i="17" s="1"/>
  <c r="AI146" i="17"/>
  <c r="AG146" i="17"/>
  <c r="AF146" i="17"/>
  <c r="AB146" i="17"/>
  <c r="AC146" i="17" s="1"/>
  <c r="AI145" i="17"/>
  <c r="AG145" i="17"/>
  <c r="AB145" i="17"/>
  <c r="AC145" i="17" s="1"/>
  <c r="M145" i="17"/>
  <c r="AI144" i="17"/>
  <c r="AG144" i="17"/>
  <c r="AB144" i="17"/>
  <c r="AC144" i="17" s="1"/>
  <c r="M144" i="17"/>
  <c r="AH143" i="17"/>
  <c r="AI143" i="17" s="1"/>
  <c r="AG143" i="17"/>
  <c r="AB143" i="17"/>
  <c r="AC143" i="17" s="1"/>
  <c r="AI142" i="17"/>
  <c r="AH142" i="17"/>
  <c r="AG142" i="17"/>
  <c r="AB142" i="17"/>
  <c r="AC142" i="17" s="1"/>
  <c r="AH141" i="17"/>
  <c r="AI141" i="17" s="1"/>
  <c r="AG141" i="17"/>
  <c r="AB141" i="17"/>
  <c r="AC141" i="17" s="1"/>
  <c r="AI140" i="17"/>
  <c r="AG140" i="17"/>
  <c r="AB140" i="17"/>
  <c r="AC140" i="17" s="1"/>
  <c r="M140" i="17"/>
  <c r="AI139" i="17"/>
  <c r="AG139" i="17"/>
  <c r="AB139" i="17"/>
  <c r="AC139" i="17" s="1"/>
  <c r="AH138" i="17"/>
  <c r="AI138" i="17" s="1"/>
  <c r="AG138" i="17"/>
  <c r="AB138" i="17"/>
  <c r="AC138" i="17" s="1"/>
  <c r="AI137" i="17"/>
  <c r="AG137" i="17"/>
  <c r="AB137" i="17"/>
  <c r="AC137" i="17" s="1"/>
  <c r="AI136" i="17"/>
  <c r="AG136" i="17"/>
  <c r="AB136" i="17"/>
  <c r="AC136" i="17" s="1"/>
  <c r="AI135" i="17"/>
  <c r="AG135" i="17"/>
  <c r="AB135" i="17"/>
  <c r="AC135" i="17" s="1"/>
  <c r="AI134" i="17"/>
  <c r="AG134" i="17"/>
  <c r="AB134" i="17"/>
  <c r="AC134" i="17" s="1"/>
  <c r="AI133" i="17"/>
  <c r="AG133" i="17"/>
  <c r="AB133" i="17"/>
  <c r="AC133" i="17" s="1"/>
  <c r="AI132" i="17"/>
  <c r="AG132" i="17"/>
  <c r="AB132" i="17"/>
  <c r="AC132" i="17" s="1"/>
  <c r="AI131" i="17"/>
  <c r="AG131" i="17"/>
  <c r="AB131" i="17"/>
  <c r="AC131" i="17" s="1"/>
  <c r="AI130" i="17"/>
  <c r="AG130" i="17"/>
  <c r="AF130" i="17"/>
  <c r="AB130" i="17"/>
  <c r="AC130" i="17" s="1"/>
  <c r="AI129" i="17"/>
  <c r="AG129" i="17"/>
  <c r="AB129" i="17"/>
  <c r="AC129" i="17" s="1"/>
  <c r="AI128" i="17"/>
  <c r="AG128" i="17"/>
  <c r="AF128" i="17"/>
  <c r="AB128" i="17"/>
  <c r="AC128" i="17" s="1"/>
  <c r="AI127" i="17"/>
  <c r="AG127" i="17"/>
  <c r="AB127" i="17"/>
  <c r="AC127" i="17" s="1"/>
  <c r="AI126" i="17"/>
  <c r="AG126" i="17"/>
  <c r="AB126" i="17"/>
  <c r="AC126" i="17" s="1"/>
  <c r="AI125" i="17"/>
  <c r="AG125" i="17"/>
  <c r="AB125" i="17"/>
  <c r="AC125" i="17" s="1"/>
  <c r="AI124" i="17"/>
  <c r="AG124" i="17"/>
  <c r="AF124" i="17"/>
  <c r="AB124" i="17"/>
  <c r="AC124" i="17" s="1"/>
  <c r="AH123" i="17"/>
  <c r="AG123" i="17"/>
  <c r="AF123" i="17"/>
  <c r="AB123" i="17"/>
  <c r="AC123" i="17" s="1"/>
  <c r="AI122" i="17"/>
  <c r="AG122" i="17"/>
  <c r="AF122" i="17"/>
  <c r="AB122" i="17"/>
  <c r="AC122" i="17" s="1"/>
  <c r="AI121" i="17"/>
  <c r="AG121" i="17"/>
  <c r="AB121" i="17"/>
  <c r="AC121" i="17" s="1"/>
  <c r="AI120" i="17"/>
  <c r="AG120" i="17"/>
  <c r="AF120" i="17"/>
  <c r="AB120" i="17"/>
  <c r="AC120" i="17" s="1"/>
  <c r="AI119" i="17"/>
  <c r="AG119" i="17"/>
  <c r="AF119" i="17"/>
  <c r="AB119" i="17"/>
  <c r="AC119" i="17" s="1"/>
  <c r="AI118" i="17"/>
  <c r="AG118" i="17"/>
  <c r="AC118" i="17"/>
  <c r="AB118" i="17"/>
  <c r="AI117" i="17"/>
  <c r="AG117" i="17"/>
  <c r="AB117" i="17"/>
  <c r="AC117" i="17" s="1"/>
  <c r="AI116" i="17"/>
  <c r="AG116" i="17"/>
  <c r="AB116" i="17"/>
  <c r="AC116" i="17" s="1"/>
  <c r="AI115" i="17"/>
  <c r="AG115" i="17"/>
  <c r="AB115" i="17"/>
  <c r="AC115" i="17" s="1"/>
  <c r="M115" i="17"/>
  <c r="AI114" i="17"/>
  <c r="AG114" i="17"/>
  <c r="AF114" i="17"/>
  <c r="AB114" i="17"/>
  <c r="AC114" i="17" s="1"/>
  <c r="AG113" i="17"/>
  <c r="AB113" i="17"/>
  <c r="N113" i="17"/>
  <c r="AI113" i="17" s="1"/>
  <c r="AI112" i="17"/>
  <c r="AG112" i="17"/>
  <c r="AB112" i="17"/>
  <c r="AC112" i="17" s="1"/>
  <c r="AI111" i="17"/>
  <c r="AG111" i="17"/>
  <c r="AF111" i="17"/>
  <c r="AB111" i="17"/>
  <c r="AC111" i="17" s="1"/>
  <c r="AI110" i="17"/>
  <c r="AG110" i="17"/>
  <c r="AF110" i="17"/>
  <c r="AB110" i="17"/>
  <c r="AC110" i="17" s="1"/>
  <c r="AI109" i="17"/>
  <c r="AG109" i="17"/>
  <c r="AF109" i="17"/>
  <c r="AB109" i="17"/>
  <c r="AC109" i="17" s="1"/>
  <c r="AI108" i="17"/>
  <c r="AG108" i="17"/>
  <c r="AB108" i="17"/>
  <c r="AC108" i="17" s="1"/>
  <c r="AG107" i="17"/>
  <c r="AB107" i="17"/>
  <c r="M107" i="17"/>
  <c r="N107" i="17" s="1"/>
  <c r="AI106" i="17"/>
  <c r="AG106" i="17"/>
  <c r="AF106" i="17"/>
  <c r="AB106" i="17"/>
  <c r="AC106" i="17" s="1"/>
  <c r="AI105" i="17"/>
  <c r="AG105" i="17"/>
  <c r="AF105" i="17"/>
  <c r="AB105" i="17"/>
  <c r="AC105" i="17" s="1"/>
  <c r="AI104" i="17"/>
  <c r="AG104" i="17"/>
  <c r="AF104" i="17"/>
  <c r="AB104" i="17"/>
  <c r="AC104" i="17" s="1"/>
  <c r="AI103" i="17"/>
  <c r="AG103" i="17"/>
  <c r="AB103" i="17"/>
  <c r="AC103" i="17" s="1"/>
  <c r="AI102" i="17"/>
  <c r="AG102" i="17"/>
  <c r="AB102" i="17"/>
  <c r="AC102" i="17" s="1"/>
  <c r="M102" i="17"/>
  <c r="AI101" i="17"/>
  <c r="AG101" i="17"/>
  <c r="AF101" i="17"/>
  <c r="AB101" i="17"/>
  <c r="AC101" i="17" s="1"/>
  <c r="AI100" i="17"/>
  <c r="AG100" i="17"/>
  <c r="AB100" i="17"/>
  <c r="AB99" i="17"/>
  <c r="AA97" i="17"/>
  <c r="Z97" i="17"/>
  <c r="Y97" i="17"/>
  <c r="X97" i="17"/>
  <c r="W97" i="17"/>
  <c r="V97" i="17"/>
  <c r="U97" i="17"/>
  <c r="T97" i="17"/>
  <c r="S97" i="17"/>
  <c r="R97" i="17"/>
  <c r="Q97" i="17"/>
  <c r="P97" i="17"/>
  <c r="N97" i="17"/>
  <c r="L97" i="17"/>
  <c r="AI93" i="17"/>
  <c r="AG93" i="17"/>
  <c r="AB93" i="17"/>
  <c r="AC93" i="17" s="1"/>
  <c r="AH92" i="17"/>
  <c r="AI92" i="17" s="1"/>
  <c r="AG92" i="17"/>
  <c r="AB92" i="17"/>
  <c r="AC92" i="17" s="1"/>
  <c r="AI91" i="17"/>
  <c r="AG91" i="17"/>
  <c r="AB91" i="17"/>
  <c r="AC91" i="17" s="1"/>
  <c r="AI90" i="17"/>
  <c r="AG90" i="17"/>
  <c r="AB90" i="17"/>
  <c r="AC90" i="17" s="1"/>
  <c r="AI89" i="17"/>
  <c r="AB89" i="17"/>
  <c r="AC89" i="17" s="1"/>
  <c r="AI88" i="17"/>
  <c r="AB88" i="17"/>
  <c r="AC88" i="17" s="1"/>
  <c r="AI87" i="17"/>
  <c r="AB87" i="17"/>
  <c r="AC87" i="17" s="1"/>
  <c r="AI86" i="17"/>
  <c r="AB86" i="17"/>
  <c r="AC86" i="17" s="1"/>
  <c r="AI85" i="17"/>
  <c r="AB85" i="17"/>
  <c r="AC85" i="17" s="1"/>
  <c r="AI84" i="17"/>
  <c r="AB84" i="17"/>
  <c r="AC84" i="17" s="1"/>
  <c r="AI83" i="17"/>
  <c r="AB83" i="17"/>
  <c r="AC83" i="17" s="1"/>
  <c r="AI82" i="17"/>
  <c r="AB82" i="17"/>
  <c r="AC82" i="17" s="1"/>
  <c r="AI81" i="17"/>
  <c r="AB81" i="17"/>
  <c r="AC81" i="17" s="1"/>
  <c r="AI80" i="17"/>
  <c r="AG80" i="17"/>
  <c r="AB80" i="17"/>
  <c r="AC80" i="17" s="1"/>
  <c r="AI79" i="17"/>
  <c r="AG79" i="17"/>
  <c r="AF79" i="17"/>
  <c r="AC79" i="17"/>
  <c r="AB79" i="17"/>
  <c r="AH77" i="17"/>
  <c r="AA77" i="17"/>
  <c r="Z77" i="17"/>
  <c r="Y77" i="17"/>
  <c r="X77" i="17"/>
  <c r="W77" i="17"/>
  <c r="V77" i="17"/>
  <c r="U77" i="17"/>
  <c r="T77" i="17"/>
  <c r="S77" i="17"/>
  <c r="R77" i="17"/>
  <c r="Q77" i="17"/>
  <c r="P77" i="17"/>
  <c r="N77" i="17"/>
  <c r="L77" i="17"/>
  <c r="AI76" i="17"/>
  <c r="AG76" i="17"/>
  <c r="AB76" i="17"/>
  <c r="AC76" i="17" s="1"/>
  <c r="AI75" i="17"/>
  <c r="AG75" i="17"/>
  <c r="AB75" i="17"/>
  <c r="AC75" i="17" s="1"/>
  <c r="AB74" i="17"/>
  <c r="AB77" i="17" s="1"/>
  <c r="AA73" i="17"/>
  <c r="Z73" i="17"/>
  <c r="Y73" i="17"/>
  <c r="X73" i="17"/>
  <c r="W73" i="17"/>
  <c r="V73" i="17"/>
  <c r="U73" i="17"/>
  <c r="T73" i="17"/>
  <c r="S73" i="17"/>
  <c r="R73" i="17"/>
  <c r="Q73" i="17"/>
  <c r="P73" i="17"/>
  <c r="N73" i="17"/>
  <c r="L73" i="17"/>
  <c r="AI72" i="17"/>
  <c r="AG72" i="17"/>
  <c r="AB72" i="17"/>
  <c r="AC72" i="17" s="1"/>
  <c r="AH71" i="17"/>
  <c r="AH73" i="17" s="1"/>
  <c r="AJ73" i="17" s="1"/>
  <c r="AG71" i="17"/>
  <c r="AB71" i="17"/>
  <c r="AA69" i="17"/>
  <c r="Z69" i="17"/>
  <c r="Y69" i="17"/>
  <c r="X69" i="17"/>
  <c r="W69" i="17"/>
  <c r="V69" i="17"/>
  <c r="U69" i="17"/>
  <c r="T69" i="17"/>
  <c r="S69" i="17"/>
  <c r="R69" i="17"/>
  <c r="Q69" i="17"/>
  <c r="P69" i="17"/>
  <c r="L69" i="17"/>
  <c r="AI68" i="17"/>
  <c r="AG68" i="17"/>
  <c r="AB68" i="17"/>
  <c r="AC68" i="17" s="1"/>
  <c r="AI67" i="17"/>
  <c r="AG67" i="17"/>
  <c r="AB67" i="17"/>
  <c r="AC67" i="17" s="1"/>
  <c r="AI66" i="17"/>
  <c r="AG66" i="17"/>
  <c r="AB66" i="17"/>
  <c r="AC66" i="17" s="1"/>
  <c r="AI65" i="17"/>
  <c r="AG65" i="17"/>
  <c r="AB65" i="17"/>
  <c r="AC65" i="17" s="1"/>
  <c r="AI64" i="17"/>
  <c r="AG64" i="17"/>
  <c r="AB64" i="17"/>
  <c r="AC64" i="17" s="1"/>
  <c r="AI63" i="17"/>
  <c r="AG63" i="17"/>
  <c r="AB63" i="17"/>
  <c r="AC63" i="17" s="1"/>
  <c r="AI62" i="17"/>
  <c r="AG62" i="17"/>
  <c r="AB62" i="17"/>
  <c r="AC62" i="17" s="1"/>
  <c r="AI61" i="17"/>
  <c r="AG61" i="17"/>
  <c r="AB61" i="17"/>
  <c r="AC61" i="17" s="1"/>
  <c r="AI60" i="17"/>
  <c r="AG60" i="17"/>
  <c r="AB60" i="17"/>
  <c r="AC60" i="17" s="1"/>
  <c r="AI59" i="17"/>
  <c r="AG59" i="17"/>
  <c r="AB59" i="17"/>
  <c r="AC59" i="17" s="1"/>
  <c r="AH58" i="17"/>
  <c r="AI58" i="17" s="1"/>
  <c r="AG58" i="17"/>
  <c r="AB58" i="17"/>
  <c r="AC58" i="17" s="1"/>
  <c r="AI57" i="17"/>
  <c r="AG57" i="17"/>
  <c r="AF57" i="17"/>
  <c r="AB57" i="17"/>
  <c r="AC57" i="17" s="1"/>
  <c r="AH56" i="17"/>
  <c r="AI56" i="17" s="1"/>
  <c r="AG56" i="17"/>
  <c r="AB56" i="17"/>
  <c r="AC56" i="17" s="1"/>
  <c r="AI55" i="17"/>
  <c r="AG55" i="17"/>
  <c r="AF55" i="17"/>
  <c r="AB55" i="17"/>
  <c r="AC55" i="17" s="1"/>
  <c r="AI54" i="17"/>
  <c r="AG54" i="17"/>
  <c r="AB54" i="17"/>
  <c r="AC54" i="17" s="1"/>
  <c r="AI53" i="17"/>
  <c r="AG53" i="17"/>
  <c r="AB53" i="17"/>
  <c r="AC53" i="17" s="1"/>
  <c r="AI52" i="17"/>
  <c r="AG52" i="17"/>
  <c r="AB52" i="17"/>
  <c r="AC52" i="17" s="1"/>
  <c r="AG51" i="17"/>
  <c r="AB51" i="17"/>
  <c r="N51" i="17"/>
  <c r="AI51" i="17" s="1"/>
  <c r="AI50" i="17"/>
  <c r="AG50" i="17"/>
  <c r="AB50" i="17"/>
  <c r="AC50" i="17" s="1"/>
  <c r="AI49" i="17"/>
  <c r="AG49" i="17"/>
  <c r="AB49" i="17"/>
  <c r="AC49" i="17" s="1"/>
  <c r="AH48" i="17"/>
  <c r="AI48" i="17" s="1"/>
  <c r="AG48" i="17"/>
  <c r="AB48" i="17"/>
  <c r="AC48" i="17" s="1"/>
  <c r="AG47" i="17"/>
  <c r="AB47" i="17"/>
  <c r="N47" i="17"/>
  <c r="AI47" i="17" s="1"/>
  <c r="AH46" i="17"/>
  <c r="AI46" i="17" s="1"/>
  <c r="AG46" i="17"/>
  <c r="AB46" i="17"/>
  <c r="AC46" i="17" s="1"/>
  <c r="AG45" i="17"/>
  <c r="AB45" i="17"/>
  <c r="N45" i="17"/>
  <c r="AI45" i="17" s="1"/>
  <c r="AG44" i="17"/>
  <c r="AB44" i="17"/>
  <c r="N44" i="17"/>
  <c r="AI44" i="17" s="1"/>
  <c r="AI43" i="17"/>
  <c r="AG43" i="17"/>
  <c r="AC43" i="17"/>
  <c r="AB43" i="17"/>
  <c r="AG42" i="17"/>
  <c r="AB42" i="17"/>
  <c r="N42" i="17"/>
  <c r="AI42" i="17" s="1"/>
  <c r="AI41" i="17"/>
  <c r="AG41" i="17"/>
  <c r="AF41" i="17"/>
  <c r="AC41" i="17"/>
  <c r="AB41" i="17"/>
  <c r="AG40" i="17"/>
  <c r="AB40" i="17"/>
  <c r="N40" i="17"/>
  <c r="AI40" i="17" s="1"/>
  <c r="AI39" i="17"/>
  <c r="AG39" i="17"/>
  <c r="AF39" i="17"/>
  <c r="AC39" i="17"/>
  <c r="AB39" i="17"/>
  <c r="AI38" i="17"/>
  <c r="AG38" i="17"/>
  <c r="AB38" i="17"/>
  <c r="AC38" i="17" s="1"/>
  <c r="AI37" i="17"/>
  <c r="AG37" i="17"/>
  <c r="AB37" i="17"/>
  <c r="AC37" i="17" s="1"/>
  <c r="AG36" i="17"/>
  <c r="AB36" i="17"/>
  <c r="M36" i="17"/>
  <c r="N36" i="17" s="1"/>
  <c r="AI35" i="17"/>
  <c r="AG35" i="17"/>
  <c r="AF35" i="17"/>
  <c r="AB35" i="17"/>
  <c r="AC35" i="17" s="1"/>
  <c r="AI34" i="17"/>
  <c r="AG34" i="17"/>
  <c r="AB34" i="17"/>
  <c r="AC34" i="17" s="1"/>
  <c r="AH33" i="17"/>
  <c r="AI33" i="17" s="1"/>
  <c r="AG33" i="17"/>
  <c r="AB33" i="17"/>
  <c r="AC33" i="17" s="1"/>
  <c r="M33" i="17"/>
  <c r="AI32" i="17"/>
  <c r="AG32" i="17"/>
  <c r="AB32" i="17"/>
  <c r="AC32" i="17" s="1"/>
  <c r="AI31" i="17"/>
  <c r="AG31" i="17"/>
  <c r="AF31" i="17"/>
  <c r="AB31" i="17"/>
  <c r="AC31" i="17" s="1"/>
  <c r="AG30" i="17"/>
  <c r="AB30" i="17"/>
  <c r="M30" i="17"/>
  <c r="N30" i="17" s="1"/>
  <c r="AH29" i="17"/>
  <c r="AI29" i="17" s="1"/>
  <c r="AG29" i="17"/>
  <c r="AB29" i="17"/>
  <c r="AC29" i="17" s="1"/>
  <c r="AI28" i="17"/>
  <c r="AG28" i="17"/>
  <c r="AB28" i="17"/>
  <c r="AC28" i="17" s="1"/>
  <c r="AI27" i="17"/>
  <c r="AG27" i="17"/>
  <c r="AB27" i="17"/>
  <c r="AC27" i="17" s="1"/>
  <c r="AI26" i="17"/>
  <c r="AG26" i="17"/>
  <c r="AC26" i="17"/>
  <c r="AB26" i="17"/>
  <c r="AH25" i="17"/>
  <c r="AI25" i="17" s="1"/>
  <c r="AG25" i="17"/>
  <c r="AF25" i="17"/>
  <c r="AB25" i="17"/>
  <c r="AC25" i="17" s="1"/>
  <c r="AI24" i="17"/>
  <c r="AG24" i="17"/>
  <c r="AF24" i="17"/>
  <c r="AB24" i="17"/>
  <c r="AC24" i="17" s="1"/>
  <c r="AG23" i="17"/>
  <c r="AH22" i="17"/>
  <c r="AI22" i="17" s="1"/>
  <c r="AG22" i="17"/>
  <c r="AB22" i="17"/>
  <c r="AC22" i="17" s="1"/>
  <c r="AH21" i="17"/>
  <c r="AI21" i="17" s="1"/>
  <c r="AG21" i="17"/>
  <c r="AB21" i="17"/>
  <c r="AC21" i="17" s="1"/>
  <c r="AH20" i="17"/>
  <c r="AI20" i="17" s="1"/>
  <c r="AG20" i="17"/>
  <c r="AB20" i="17"/>
  <c r="AC20" i="17" s="1"/>
  <c r="AH19" i="17"/>
  <c r="AI19" i="17" s="1"/>
  <c r="AG19" i="17"/>
  <c r="AB19" i="17"/>
  <c r="AC19" i="17" s="1"/>
  <c r="M19" i="17"/>
  <c r="AI18" i="17"/>
  <c r="AG18" i="17"/>
  <c r="AF18" i="17"/>
  <c r="AB18" i="17"/>
  <c r="AC18" i="17" s="1"/>
  <c r="M58" i="1"/>
  <c r="L58" i="1"/>
  <c r="AA55" i="1"/>
  <c r="Z55" i="1"/>
  <c r="Y55" i="1"/>
  <c r="X55" i="1"/>
  <c r="W55" i="1"/>
  <c r="V55" i="1"/>
  <c r="U55" i="1"/>
  <c r="T55" i="1"/>
  <c r="S55" i="1"/>
  <c r="Q55" i="1"/>
  <c r="N55" i="1"/>
  <c r="M54" i="1"/>
  <c r="L54" i="1"/>
  <c r="B54" i="1"/>
  <c r="AC53" i="1"/>
  <c r="AB53" i="1"/>
  <c r="AJ49" i="1"/>
  <c r="AI49" i="1"/>
  <c r="AH49" i="1"/>
  <c r="AA49" i="1"/>
  <c r="Z49" i="1"/>
  <c r="Y49" i="1"/>
  <c r="X49" i="1"/>
  <c r="W49" i="1"/>
  <c r="V49" i="1"/>
  <c r="U49" i="1"/>
  <c r="T49" i="1"/>
  <c r="S49" i="1"/>
  <c r="Q49" i="1"/>
  <c r="P49" i="1"/>
  <c r="N49" i="1"/>
  <c r="L49" i="1"/>
  <c r="B49" i="1"/>
  <c r="AJ47" i="1"/>
  <c r="AI47" i="1"/>
  <c r="AH47" i="1"/>
  <c r="AC47" i="1"/>
  <c r="AB47" i="1"/>
  <c r="AA47" i="1"/>
  <c r="Z47" i="1"/>
  <c r="Y47" i="1"/>
  <c r="X47" i="1"/>
  <c r="W47" i="1"/>
  <c r="V47" i="1"/>
  <c r="U47" i="1"/>
  <c r="T47" i="1"/>
  <c r="S47" i="1"/>
  <c r="R47" i="1"/>
  <c r="Q47" i="1"/>
  <c r="P47" i="1"/>
  <c r="N47" i="1"/>
  <c r="L47" i="1"/>
  <c r="B47" i="1"/>
  <c r="AI46" i="1"/>
  <c r="AC46" i="1"/>
  <c r="AB46" i="1"/>
  <c r="B46" i="1"/>
  <c r="AI45" i="1"/>
  <c r="AC45" i="1"/>
  <c r="AB45" i="1"/>
  <c r="B45" i="1"/>
  <c r="AI44" i="1"/>
  <c r="AH44" i="1"/>
  <c r="AC44" i="1"/>
  <c r="AB44" i="1"/>
  <c r="B44" i="1"/>
  <c r="B43" i="1"/>
  <c r="AJ42" i="1"/>
  <c r="AI42" i="1"/>
  <c r="AH42" i="1"/>
  <c r="AA42" i="1"/>
  <c r="Z42" i="1"/>
  <c r="Y42" i="1"/>
  <c r="X42" i="1"/>
  <c r="W42" i="1"/>
  <c r="V42" i="1"/>
  <c r="U42" i="1"/>
  <c r="T42" i="1"/>
  <c r="S42" i="1"/>
  <c r="Q42" i="1"/>
  <c r="P42" i="1"/>
  <c r="N42" i="1"/>
  <c r="L42" i="1"/>
  <c r="B42" i="1"/>
  <c r="AI41" i="1"/>
  <c r="AG41" i="1"/>
  <c r="AC41" i="1"/>
  <c r="AB41" i="1"/>
  <c r="B41" i="1"/>
  <c r="AI40" i="1"/>
  <c r="AG40" i="1"/>
  <c r="AB40" i="1"/>
  <c r="B40" i="1"/>
  <c r="AI39" i="1"/>
  <c r="AG39" i="1"/>
  <c r="AC39" i="1"/>
  <c r="AB39" i="1"/>
  <c r="B39" i="1"/>
  <c r="AI38" i="1"/>
  <c r="AG38" i="1"/>
  <c r="R38" i="1"/>
  <c r="R42" i="1" s="1"/>
  <c r="B38" i="1"/>
  <c r="AI37" i="1"/>
  <c r="AG37" i="1"/>
  <c r="AC37" i="1"/>
  <c r="AB37" i="1"/>
  <c r="B37" i="1"/>
  <c r="B36" i="1"/>
  <c r="AJ35" i="1"/>
  <c r="AI35" i="1"/>
  <c r="AH35" i="1"/>
  <c r="AA35" i="1"/>
  <c r="Z35" i="1"/>
  <c r="Y35" i="1"/>
  <c r="X35" i="1"/>
  <c r="W35" i="1"/>
  <c r="V35" i="1"/>
  <c r="U35" i="1"/>
  <c r="T35" i="1"/>
  <c r="S35" i="1"/>
  <c r="Q35" i="1"/>
  <c r="P35" i="1"/>
  <c r="N35" i="1"/>
  <c r="L35" i="1"/>
  <c r="B35" i="1"/>
  <c r="AI34" i="1"/>
  <c r="AG34" i="1"/>
  <c r="R34" i="1"/>
  <c r="AB34" i="1" s="1"/>
  <c r="AC34" i="1" s="1"/>
  <c r="B34" i="1"/>
  <c r="AI33" i="1"/>
  <c r="AG33" i="1"/>
  <c r="R33" i="1"/>
  <c r="AB33" i="1" s="1"/>
  <c r="AC33" i="1" s="1"/>
  <c r="B33" i="1"/>
  <c r="AI32" i="1"/>
  <c r="AG32" i="1"/>
  <c r="R32" i="1"/>
  <c r="AB32" i="1" s="1"/>
  <c r="AC32" i="1" s="1"/>
  <c r="B32" i="1"/>
  <c r="AI31" i="1"/>
  <c r="AG31" i="1"/>
  <c r="R31" i="1"/>
  <c r="AB31" i="1" s="1"/>
  <c r="AC31" i="1" s="1"/>
  <c r="B31" i="1"/>
  <c r="AI30" i="1"/>
  <c r="AH30" i="1"/>
  <c r="AG30" i="1"/>
  <c r="AC30" i="1"/>
  <c r="AB30" i="1"/>
  <c r="B30" i="1"/>
  <c r="AI29" i="1"/>
  <c r="AG29" i="1"/>
  <c r="R29" i="1"/>
  <c r="AB29" i="1" s="1"/>
  <c r="AC29" i="1" s="1"/>
  <c r="B29" i="1"/>
  <c r="AI28" i="1"/>
  <c r="AH28" i="1"/>
  <c r="AG28" i="1"/>
  <c r="AC28" i="1"/>
  <c r="AB28" i="1"/>
  <c r="B28" i="1"/>
  <c r="AI27" i="1"/>
  <c r="AG27" i="1"/>
  <c r="R27" i="1"/>
  <c r="AB27" i="1" s="1"/>
  <c r="AC27" i="1" s="1"/>
  <c r="B27" i="1"/>
  <c r="AI26" i="1"/>
  <c r="AG26" i="1"/>
  <c r="R26" i="1"/>
  <c r="AB26" i="1" s="1"/>
  <c r="AC26" i="1" s="1"/>
  <c r="B26" i="1"/>
  <c r="AI25" i="1"/>
  <c r="AG25" i="1"/>
  <c r="R25" i="1"/>
  <c r="AB25" i="1" s="1"/>
  <c r="AC25" i="1" s="1"/>
  <c r="B25" i="1"/>
  <c r="AI24" i="1"/>
  <c r="AG24" i="1"/>
  <c r="R24" i="1"/>
  <c r="AB24" i="1" s="1"/>
  <c r="AC24" i="1" s="1"/>
  <c r="B24" i="1"/>
  <c r="AI23" i="1"/>
  <c r="AG23" i="1"/>
  <c r="AC23" i="1"/>
  <c r="AB23" i="1"/>
  <c r="B23" i="1"/>
  <c r="AI22" i="1"/>
  <c r="AG22" i="1"/>
  <c r="AC22" i="1"/>
  <c r="AB22" i="1"/>
  <c r="B22" i="1"/>
  <c r="AI21" i="1"/>
  <c r="AG21" i="1"/>
  <c r="AC21" i="1"/>
  <c r="AB21" i="1"/>
  <c r="B21" i="1"/>
  <c r="AI20" i="1"/>
  <c r="AG20" i="1"/>
  <c r="R20" i="1"/>
  <c r="AB20" i="1" s="1"/>
  <c r="AC20" i="1" s="1"/>
  <c r="B20" i="1"/>
  <c r="AI19" i="1"/>
  <c r="AG19" i="1"/>
  <c r="AC19" i="1"/>
  <c r="AB19" i="1"/>
  <c r="N19" i="1"/>
  <c r="L19" i="1"/>
  <c r="B19" i="1"/>
  <c r="AI18" i="1"/>
  <c r="AG18" i="1"/>
  <c r="R18" i="1"/>
  <c r="AB18" i="1" s="1"/>
  <c r="AC18" i="1" s="1"/>
  <c r="B18" i="1"/>
  <c r="AI17" i="1"/>
  <c r="AG17" i="1"/>
  <c r="R17" i="1"/>
  <c r="B17" i="1"/>
  <c r="B16" i="1"/>
  <c r="B14" i="1"/>
  <c r="AH74" i="18" l="1"/>
  <c r="AJ220" i="18"/>
  <c r="B16" i="18"/>
  <c r="C16" i="18" s="1"/>
  <c r="P237" i="18"/>
  <c r="T237" i="18"/>
  <c r="X237" i="18"/>
  <c r="C51" i="23"/>
  <c r="Q237" i="18"/>
  <c r="U237" i="18"/>
  <c r="Y237" i="18"/>
  <c r="AH66" i="18"/>
  <c r="L80" i="18"/>
  <c r="AJ153" i="18"/>
  <c r="N167" i="18"/>
  <c r="D62" i="23" s="1"/>
  <c r="K62" i="23" s="1"/>
  <c r="B220" i="18"/>
  <c r="AJ185" i="18"/>
  <c r="AJ226" i="18"/>
  <c r="AC224" i="18"/>
  <c r="N226" i="18"/>
  <c r="B60" i="23"/>
  <c r="AJ109" i="18"/>
  <c r="AI109" i="18"/>
  <c r="AK109" i="18" s="1"/>
  <c r="AH167" i="18"/>
  <c r="AJ135" i="18"/>
  <c r="V237" i="18"/>
  <c r="Z237" i="18"/>
  <c r="B32" i="18"/>
  <c r="AJ32" i="18"/>
  <c r="AC43" i="18"/>
  <c r="AC44" i="18" s="1"/>
  <c r="B59" i="18"/>
  <c r="B109" i="18"/>
  <c r="B28" i="23"/>
  <c r="G28" i="23" s="1"/>
  <c r="B16" i="19"/>
  <c r="B158" i="19" s="1"/>
  <c r="B83" i="23" s="1"/>
  <c r="AJ38" i="19"/>
  <c r="AJ62" i="19"/>
  <c r="AI62" i="19"/>
  <c r="AK62" i="19" s="1"/>
  <c r="L45" i="19"/>
  <c r="B26" i="19"/>
  <c r="B53" i="19"/>
  <c r="AJ81" i="19"/>
  <c r="AI81" i="19"/>
  <c r="AK81" i="19" s="1"/>
  <c r="AJ18" i="19"/>
  <c r="AJ26" i="19" s="1"/>
  <c r="P165" i="19"/>
  <c r="T165" i="19"/>
  <c r="X165" i="19"/>
  <c r="AB32" i="19"/>
  <c r="AJ45" i="19"/>
  <c r="J29" i="23"/>
  <c r="G26" i="23"/>
  <c r="AH97" i="17"/>
  <c r="AJ97" i="17" s="1"/>
  <c r="AH150" i="17"/>
  <c r="AJ150" i="17" s="1"/>
  <c r="D18" i="23"/>
  <c r="K18" i="23" s="1"/>
  <c r="AI71" i="17"/>
  <c r="AI73" i="17" s="1"/>
  <c r="AB150" i="17"/>
  <c r="R165" i="19"/>
  <c r="V165" i="19"/>
  <c r="Z165" i="19"/>
  <c r="AB29" i="19"/>
  <c r="B144" i="19"/>
  <c r="AB26" i="19"/>
  <c r="AC30" i="19"/>
  <c r="AC32" i="19" s="1"/>
  <c r="C30" i="23"/>
  <c r="AC53" i="19"/>
  <c r="AJ53" i="19"/>
  <c r="AB62" i="19"/>
  <c r="E29" i="23" s="1"/>
  <c r="L29" i="23" s="1"/>
  <c r="B81" i="19"/>
  <c r="AB144" i="19"/>
  <c r="J28" i="23"/>
  <c r="AC26" i="19"/>
  <c r="AC45" i="19"/>
  <c r="AC62" i="19"/>
  <c r="AC81" i="19"/>
  <c r="N29" i="23"/>
  <c r="M29" i="23"/>
  <c r="B31" i="23"/>
  <c r="H31" i="23" s="1"/>
  <c r="D31" i="23"/>
  <c r="Q165" i="19"/>
  <c r="Q168" i="19" s="1"/>
  <c r="Q158" i="19"/>
  <c r="S165" i="19"/>
  <c r="S158" i="19"/>
  <c r="U165" i="19"/>
  <c r="U158" i="19"/>
  <c r="W165" i="19"/>
  <c r="W158" i="19"/>
  <c r="Y165" i="19"/>
  <c r="Y158" i="19"/>
  <c r="AA165" i="19"/>
  <c r="AA158" i="19"/>
  <c r="AB45" i="19"/>
  <c r="AB53" i="19"/>
  <c r="AB81" i="19"/>
  <c r="E26" i="23" s="1"/>
  <c r="AB147" i="19"/>
  <c r="AC146" i="19"/>
  <c r="AC147" i="19" s="1"/>
  <c r="AB156" i="19"/>
  <c r="E28" i="23" s="1"/>
  <c r="R158" i="19"/>
  <c r="R168" i="19" s="1"/>
  <c r="V158" i="19"/>
  <c r="Z158" i="19"/>
  <c r="K26" i="23"/>
  <c r="I26" i="23"/>
  <c r="H26" i="23"/>
  <c r="F28" i="23"/>
  <c r="H29" i="23"/>
  <c r="F29" i="23"/>
  <c r="G29" i="23"/>
  <c r="K29" i="23"/>
  <c r="B30" i="23"/>
  <c r="B32" i="23" s="1"/>
  <c r="AK26" i="19"/>
  <c r="B45" i="19"/>
  <c r="D30" i="23"/>
  <c r="AC84" i="19"/>
  <c r="AC144" i="19" s="1"/>
  <c r="AJ144" i="19"/>
  <c r="B156" i="19"/>
  <c r="AC156" i="19"/>
  <c r="AJ156" i="19"/>
  <c r="P158" i="19"/>
  <c r="T158" i="19"/>
  <c r="X158" i="19"/>
  <c r="F26" i="23"/>
  <c r="J26" i="23"/>
  <c r="K28" i="23"/>
  <c r="I28" i="23"/>
  <c r="H28" i="23"/>
  <c r="I29" i="23"/>
  <c r="D27" i="23"/>
  <c r="K27" i="23" s="1"/>
  <c r="R35" i="1"/>
  <c r="K56" i="23"/>
  <c r="J64" i="23"/>
  <c r="G65" i="23"/>
  <c r="R135" i="18"/>
  <c r="N158" i="19"/>
  <c r="R55" i="1"/>
  <c r="R49" i="1"/>
  <c r="R54" i="1" s="1"/>
  <c r="AB17" i="1"/>
  <c r="AB38" i="1"/>
  <c r="AB223" i="18"/>
  <c r="AC223" i="18" s="1"/>
  <c r="AB69" i="18"/>
  <c r="AC69" i="18" s="1"/>
  <c r="AH69" i="17"/>
  <c r="AH156" i="17" s="1"/>
  <c r="Q156" i="17"/>
  <c r="U156" i="17"/>
  <c r="W156" i="17"/>
  <c r="Y156" i="17"/>
  <c r="AA156" i="17"/>
  <c r="AB73" i="17"/>
  <c r="AJ77" i="17"/>
  <c r="AI123" i="17"/>
  <c r="AC23" i="18"/>
  <c r="AC32" i="18"/>
  <c r="R32" i="18"/>
  <c r="AC59" i="18"/>
  <c r="B74" i="18"/>
  <c r="AC109" i="18"/>
  <c r="AB173" i="18"/>
  <c r="E64" i="23" s="1"/>
  <c r="L64" i="23" s="1"/>
  <c r="B226" i="18"/>
  <c r="B23" i="18"/>
  <c r="G52" i="23"/>
  <c r="AB59" i="18"/>
  <c r="E53" i="23" s="1"/>
  <c r="N53" i="23" s="1"/>
  <c r="J53" i="23"/>
  <c r="B66" i="18"/>
  <c r="AJ66" i="18"/>
  <c r="AJ74" i="18"/>
  <c r="AB114" i="18"/>
  <c r="AC114" i="18" s="1"/>
  <c r="AC135" i="18" s="1"/>
  <c r="AB139" i="18"/>
  <c r="E68" i="23" s="1"/>
  <c r="B167" i="18"/>
  <c r="AJ167" i="18"/>
  <c r="AB220" i="18"/>
  <c r="B49" i="23"/>
  <c r="H52" i="23"/>
  <c r="H51" i="23"/>
  <c r="F51" i="23"/>
  <c r="G51" i="23"/>
  <c r="K52" i="23"/>
  <c r="I52" i="23"/>
  <c r="J52" i="23"/>
  <c r="H53" i="23"/>
  <c r="F53" i="23"/>
  <c r="G53" i="23"/>
  <c r="H67" i="23"/>
  <c r="F67" i="23"/>
  <c r="C66" i="23"/>
  <c r="G67" i="23"/>
  <c r="E61" i="23"/>
  <c r="N63" i="23"/>
  <c r="L63" i="23"/>
  <c r="M63" i="23"/>
  <c r="H63" i="23"/>
  <c r="F63" i="23"/>
  <c r="G63" i="23"/>
  <c r="M52" i="23"/>
  <c r="N52" i="23"/>
  <c r="L52" i="23"/>
  <c r="AC66" i="18"/>
  <c r="G55" i="23"/>
  <c r="H55" i="23"/>
  <c r="F55" i="23"/>
  <c r="H56" i="23"/>
  <c r="F56" i="23"/>
  <c r="G56" i="23"/>
  <c r="AC167" i="18"/>
  <c r="C50" i="23"/>
  <c r="AB23" i="18"/>
  <c r="AK23" i="18"/>
  <c r="AB32" i="18"/>
  <c r="E51" i="23" s="1"/>
  <c r="AB66" i="18"/>
  <c r="E54" i="23" s="1"/>
  <c r="K55" i="23"/>
  <c r="I55" i="23"/>
  <c r="N56" i="23"/>
  <c r="L56" i="23"/>
  <c r="M56" i="23"/>
  <c r="K59" i="23"/>
  <c r="I59" i="23"/>
  <c r="R109" i="18"/>
  <c r="AB109" i="18"/>
  <c r="E59" i="23" s="1"/>
  <c r="J67" i="23"/>
  <c r="I67" i="23"/>
  <c r="D66" i="23"/>
  <c r="G62" i="23"/>
  <c r="H62" i="23"/>
  <c r="R167" i="18"/>
  <c r="AB167" i="18"/>
  <c r="E62" i="23" s="1"/>
  <c r="J63" i="23"/>
  <c r="I63" i="23"/>
  <c r="G64" i="23"/>
  <c r="H64" i="23"/>
  <c r="M64" i="23"/>
  <c r="AB176" i="18"/>
  <c r="E65" i="23" s="1"/>
  <c r="AC175" i="18"/>
  <c r="AC176" i="18" s="1"/>
  <c r="AC220" i="18"/>
  <c r="AB229" i="18"/>
  <c r="E69" i="23" s="1"/>
  <c r="AC228" i="18"/>
  <c r="AC229" i="18" s="1"/>
  <c r="P231" i="18"/>
  <c r="T231" i="18"/>
  <c r="X231" i="18"/>
  <c r="I53" i="23"/>
  <c r="K54" i="23"/>
  <c r="I54" i="23"/>
  <c r="H54" i="23"/>
  <c r="B71" i="23"/>
  <c r="D61" i="23"/>
  <c r="N231" i="18"/>
  <c r="Q231" i="18"/>
  <c r="S231" i="18"/>
  <c r="U231" i="18"/>
  <c r="U238" i="18" s="1"/>
  <c r="W231" i="18"/>
  <c r="Y231" i="18"/>
  <c r="AA231" i="18"/>
  <c r="D51" i="23"/>
  <c r="AC34" i="18"/>
  <c r="AC35" i="18" s="1"/>
  <c r="AC40" i="18"/>
  <c r="AC41" i="18" s="1"/>
  <c r="AC46" i="18"/>
  <c r="AC47" i="18" s="1"/>
  <c r="AC52" i="18"/>
  <c r="AC53" i="18" s="1"/>
  <c r="AC68" i="18"/>
  <c r="AC74" i="18" s="1"/>
  <c r="J56" i="23"/>
  <c r="I56" i="23"/>
  <c r="AC79" i="18"/>
  <c r="AC80" i="18" s="1"/>
  <c r="C59" i="23"/>
  <c r="AC142" i="18"/>
  <c r="AC143" i="18" s="1"/>
  <c r="AC169" i="18"/>
  <c r="AC170" i="18" s="1"/>
  <c r="K64" i="23"/>
  <c r="I64" i="23"/>
  <c r="J65" i="23"/>
  <c r="I65" i="23"/>
  <c r="C70" i="23"/>
  <c r="R220" i="18"/>
  <c r="AC222" i="18"/>
  <c r="K69" i="23"/>
  <c r="I69" i="23"/>
  <c r="V231" i="18"/>
  <c r="Z231" i="18"/>
  <c r="S237" i="18"/>
  <c r="W237" i="18"/>
  <c r="AA237" i="18"/>
  <c r="D50" i="23"/>
  <c r="F52" i="23"/>
  <c r="K53" i="23"/>
  <c r="F54" i="23"/>
  <c r="J54" i="23"/>
  <c r="J55" i="23"/>
  <c r="J59" i="23"/>
  <c r="F62" i="23"/>
  <c r="K63" i="23"/>
  <c r="F64" i="23"/>
  <c r="N64" i="23"/>
  <c r="H65" i="23"/>
  <c r="F65" i="23"/>
  <c r="K65" i="23"/>
  <c r="K67" i="23"/>
  <c r="J69" i="23"/>
  <c r="D70" i="23"/>
  <c r="G69" i="23"/>
  <c r="H69" i="23"/>
  <c r="G61" i="23"/>
  <c r="H61" i="23"/>
  <c r="F61" i="23"/>
  <c r="C60" i="23"/>
  <c r="L231" i="18"/>
  <c r="C27" i="23"/>
  <c r="C32" i="23" s="1"/>
  <c r="L158" i="19"/>
  <c r="B14" i="17"/>
  <c r="S156" i="17"/>
  <c r="B154" i="17"/>
  <c r="AB69" i="17"/>
  <c r="P163" i="17"/>
  <c r="R163" i="17"/>
  <c r="T163" i="17"/>
  <c r="V163" i="17"/>
  <c r="X163" i="17"/>
  <c r="Z163" i="17"/>
  <c r="AC74" i="17"/>
  <c r="AC77" i="17"/>
  <c r="AI77" i="17"/>
  <c r="AB97" i="17"/>
  <c r="AI97" i="17"/>
  <c r="N69" i="17"/>
  <c r="AI30" i="17"/>
  <c r="AC30" i="17"/>
  <c r="AI36" i="17"/>
  <c r="AC36" i="17"/>
  <c r="E18" i="23"/>
  <c r="N150" i="17"/>
  <c r="AI107" i="17"/>
  <c r="AC107" i="17"/>
  <c r="AC97" i="17"/>
  <c r="AC40" i="17"/>
  <c r="AC42" i="17"/>
  <c r="C18" i="23"/>
  <c r="AC100" i="17"/>
  <c r="AC113" i="17"/>
  <c r="AB154" i="17"/>
  <c r="AC152" i="17"/>
  <c r="AC154" i="17" s="1"/>
  <c r="P156" i="17"/>
  <c r="T156" i="17"/>
  <c r="X156" i="17"/>
  <c r="X162" i="17" s="1"/>
  <c r="S163" i="17"/>
  <c r="W163" i="17"/>
  <c r="AA163" i="17"/>
  <c r="B16" i="23"/>
  <c r="B163" i="17"/>
  <c r="B21" i="23" s="1"/>
  <c r="AC44" i="17"/>
  <c r="AC45" i="17"/>
  <c r="AC47" i="17"/>
  <c r="AC51" i="17"/>
  <c r="AJ69" i="17"/>
  <c r="AJ156" i="17" s="1"/>
  <c r="AC71" i="17"/>
  <c r="AC73" i="17" s="1"/>
  <c r="J18" i="23"/>
  <c r="B17" i="23"/>
  <c r="F17" i="23" s="1"/>
  <c r="H17" i="23"/>
  <c r="B156" i="17"/>
  <c r="R156" i="17"/>
  <c r="R170" i="17" s="1"/>
  <c r="V156" i="17"/>
  <c r="Z156" i="17"/>
  <c r="Q163" i="17"/>
  <c r="U163" i="17"/>
  <c r="Y163" i="17"/>
  <c r="C16" i="23"/>
  <c r="C19" i="23" s="1"/>
  <c r="L156" i="17"/>
  <c r="I62" i="23" l="1"/>
  <c r="N237" i="18"/>
  <c r="AK231" i="18"/>
  <c r="J62" i="23"/>
  <c r="AI231" i="18"/>
  <c r="B231" i="18"/>
  <c r="B85" i="23" s="1"/>
  <c r="L53" i="23"/>
  <c r="AJ231" i="18"/>
  <c r="AI158" i="19"/>
  <c r="E27" i="23"/>
  <c r="H30" i="23"/>
  <c r="J27" i="23"/>
  <c r="D32" i="23"/>
  <c r="I32" i="23" s="1"/>
  <c r="B14" i="19"/>
  <c r="E31" i="23"/>
  <c r="I27" i="23"/>
  <c r="AK158" i="19"/>
  <c r="I18" i="23"/>
  <c r="AC158" i="19"/>
  <c r="G30" i="23"/>
  <c r="N27" i="23"/>
  <c r="L27" i="23"/>
  <c r="M27" i="23"/>
  <c r="M28" i="23"/>
  <c r="L28" i="23"/>
  <c r="N28" i="23"/>
  <c r="N31" i="23"/>
  <c r="L31" i="23"/>
  <c r="M31" i="23"/>
  <c r="AB165" i="19"/>
  <c r="F31" i="23"/>
  <c r="K30" i="23"/>
  <c r="I30" i="23"/>
  <c r="J30" i="23"/>
  <c r="F30" i="23"/>
  <c r="AJ158" i="19"/>
  <c r="M26" i="23"/>
  <c r="N26" i="23"/>
  <c r="L26" i="23"/>
  <c r="E30" i="23"/>
  <c r="J31" i="23"/>
  <c r="K31" i="23"/>
  <c r="I31" i="23"/>
  <c r="AB158" i="19"/>
  <c r="G31" i="23"/>
  <c r="D17" i="23"/>
  <c r="AI69" i="17"/>
  <c r="AI156" i="17" s="1"/>
  <c r="AC226" i="18"/>
  <c r="AB226" i="18"/>
  <c r="E70" i="23" s="1"/>
  <c r="L70" i="23" s="1"/>
  <c r="R237" i="18"/>
  <c r="N165" i="19"/>
  <c r="AC165" i="19" s="1"/>
  <c r="M164" i="19"/>
  <c r="C83" i="23"/>
  <c r="D83" i="23" s="1"/>
  <c r="D34" i="23"/>
  <c r="AC163" i="19"/>
  <c r="K32" i="23"/>
  <c r="AI150" i="17"/>
  <c r="AB42" i="1"/>
  <c r="E7" i="23" s="1"/>
  <c r="AC38" i="1"/>
  <c r="AC42" i="1" s="1"/>
  <c r="R231" i="18"/>
  <c r="R238" i="18" s="1"/>
  <c r="AB74" i="18"/>
  <c r="E55" i="23" s="1"/>
  <c r="N55" i="23" s="1"/>
  <c r="AB35" i="1"/>
  <c r="AC17" i="1"/>
  <c r="AC35" i="1" s="1"/>
  <c r="U171" i="17"/>
  <c r="E16" i="23"/>
  <c r="M16" i="23" s="1"/>
  <c r="F16" i="23"/>
  <c r="G17" i="23"/>
  <c r="AC237" i="18"/>
  <c r="M53" i="23"/>
  <c r="AB135" i="18"/>
  <c r="E67" i="23" s="1"/>
  <c r="AC231" i="18"/>
  <c r="M59" i="23"/>
  <c r="L59" i="23"/>
  <c r="N59" i="23"/>
  <c r="J70" i="23"/>
  <c r="K70" i="23"/>
  <c r="I70" i="23"/>
  <c r="K50" i="23"/>
  <c r="I50" i="23"/>
  <c r="D49" i="23"/>
  <c r="J50" i="23"/>
  <c r="H70" i="23"/>
  <c r="F70" i="23"/>
  <c r="G70" i="23"/>
  <c r="J51" i="23"/>
  <c r="K51" i="23"/>
  <c r="I51" i="23"/>
  <c r="N65" i="23"/>
  <c r="L65" i="23"/>
  <c r="M65" i="23"/>
  <c r="N51" i="23"/>
  <c r="L51" i="23"/>
  <c r="M51" i="23"/>
  <c r="E50" i="23"/>
  <c r="N70" i="23"/>
  <c r="M70" i="23"/>
  <c r="G59" i="23"/>
  <c r="H59" i="23"/>
  <c r="F59" i="23"/>
  <c r="C85" i="23"/>
  <c r="D73" i="23"/>
  <c r="M236" i="18"/>
  <c r="M240" i="18" s="1"/>
  <c r="AC235" i="18"/>
  <c r="J61" i="23"/>
  <c r="D60" i="23"/>
  <c r="I61" i="23"/>
  <c r="K61" i="23"/>
  <c r="M69" i="23"/>
  <c r="L69" i="23"/>
  <c r="N69" i="23"/>
  <c r="M62" i="23"/>
  <c r="L62" i="23"/>
  <c r="N62" i="23"/>
  <c r="K66" i="23"/>
  <c r="I66" i="23"/>
  <c r="J66" i="23"/>
  <c r="M54" i="23"/>
  <c r="N54" i="23"/>
  <c r="L54" i="23"/>
  <c r="G50" i="23"/>
  <c r="H50" i="23"/>
  <c r="F50" i="23"/>
  <c r="C49" i="23"/>
  <c r="N61" i="23"/>
  <c r="L61" i="23"/>
  <c r="M61" i="23"/>
  <c r="E60" i="23"/>
  <c r="G66" i="23"/>
  <c r="H66" i="23"/>
  <c r="F66" i="23"/>
  <c r="L236" i="18"/>
  <c r="L240" i="18" s="1"/>
  <c r="C73" i="23"/>
  <c r="H60" i="23"/>
  <c r="F60" i="23"/>
  <c r="C71" i="23"/>
  <c r="G60" i="23"/>
  <c r="H27" i="23"/>
  <c r="F27" i="23"/>
  <c r="G27" i="23"/>
  <c r="C34" i="23"/>
  <c r="L164" i="19"/>
  <c r="H32" i="23"/>
  <c r="F32" i="23"/>
  <c r="G32" i="23"/>
  <c r="G16" i="23"/>
  <c r="AC69" i="17"/>
  <c r="H16" i="23"/>
  <c r="B82" i="23"/>
  <c r="B86" i="23" s="1"/>
  <c r="B97" i="23" s="1"/>
  <c r="AH160" i="17"/>
  <c r="G18" i="23"/>
  <c r="H18" i="23"/>
  <c r="F18" i="23"/>
  <c r="E17" i="23"/>
  <c r="AB163" i="17"/>
  <c r="J17" i="23"/>
  <c r="K17" i="23"/>
  <c r="I17" i="23"/>
  <c r="M18" i="23"/>
  <c r="N18" i="23"/>
  <c r="L18" i="23"/>
  <c r="B19" i="23"/>
  <c r="H19" i="23" s="1"/>
  <c r="AC150" i="17"/>
  <c r="AB156" i="17"/>
  <c r="D16" i="23"/>
  <c r="N156" i="17"/>
  <c r="N163" i="17"/>
  <c r="C21" i="23"/>
  <c r="L162" i="17"/>
  <c r="L168" i="17" s="1"/>
  <c r="D85" i="23" l="1"/>
  <c r="J32" i="23"/>
  <c r="AC163" i="17"/>
  <c r="AC156" i="17"/>
  <c r="N16" i="23"/>
  <c r="C100" i="23"/>
  <c r="D100" i="23" s="1"/>
  <c r="M30" i="23"/>
  <c r="L30" i="23"/>
  <c r="N30" i="23"/>
  <c r="E32" i="23"/>
  <c r="AB167" i="19"/>
  <c r="E34" i="23"/>
  <c r="N164" i="19"/>
  <c r="N168" i="19" s="1"/>
  <c r="AB237" i="18"/>
  <c r="J34" i="23"/>
  <c r="K34" i="23"/>
  <c r="I34" i="23"/>
  <c r="AB55" i="1"/>
  <c r="N54" i="1"/>
  <c r="N57" i="1" s="1"/>
  <c r="N58" i="1" s="1"/>
  <c r="AB49" i="1"/>
  <c r="E11" i="23" s="1"/>
  <c r="E6" i="23"/>
  <c r="M7" i="23"/>
  <c r="N7" i="23"/>
  <c r="L7" i="23"/>
  <c r="AC55" i="1"/>
  <c r="AC49" i="1"/>
  <c r="M55" i="23"/>
  <c r="L55" i="23"/>
  <c r="L16" i="23"/>
  <c r="AB231" i="18"/>
  <c r="E73" i="23" s="1"/>
  <c r="N67" i="23"/>
  <c r="E66" i="23"/>
  <c r="E71" i="23" s="1"/>
  <c r="L67" i="23"/>
  <c r="M67" i="23"/>
  <c r="N236" i="18"/>
  <c r="N239" i="18" s="1"/>
  <c r="N240" i="18" s="1"/>
  <c r="M60" i="23"/>
  <c r="L60" i="23"/>
  <c r="N60" i="23"/>
  <c r="H49" i="23"/>
  <c r="F49" i="23"/>
  <c r="G49" i="23"/>
  <c r="D71" i="23"/>
  <c r="K60" i="23"/>
  <c r="I60" i="23"/>
  <c r="J60" i="23"/>
  <c r="K73" i="23"/>
  <c r="I73" i="23"/>
  <c r="J73" i="23"/>
  <c r="M50" i="23"/>
  <c r="L50" i="23"/>
  <c r="E49" i="23"/>
  <c r="N50" i="23"/>
  <c r="J49" i="23"/>
  <c r="I49" i="23"/>
  <c r="K49" i="23"/>
  <c r="H73" i="23"/>
  <c r="F73" i="23"/>
  <c r="G73" i="23"/>
  <c r="H71" i="23"/>
  <c r="F71" i="23"/>
  <c r="G71" i="23"/>
  <c r="H34" i="23"/>
  <c r="F34" i="23"/>
  <c r="G34" i="23"/>
  <c r="F19" i="23"/>
  <c r="G19" i="23"/>
  <c r="K16" i="23"/>
  <c r="I16" i="23"/>
  <c r="D19" i="23"/>
  <c r="J16" i="23"/>
  <c r="N17" i="23"/>
  <c r="L17" i="23"/>
  <c r="M17" i="23"/>
  <c r="D21" i="23"/>
  <c r="C82" i="23"/>
  <c r="AC161" i="17"/>
  <c r="AC165" i="17" s="1"/>
  <c r="M162" i="17"/>
  <c r="M168" i="17" s="1"/>
  <c r="E21" i="23"/>
  <c r="N162" i="17"/>
  <c r="N167" i="17" s="1"/>
  <c r="N168" i="17" s="1"/>
  <c r="E19" i="23"/>
  <c r="G21" i="23"/>
  <c r="H21" i="23"/>
  <c r="F21" i="23"/>
  <c r="M34" i="23" l="1"/>
  <c r="N34" i="23"/>
  <c r="L34" i="23"/>
  <c r="M32" i="23"/>
  <c r="N32" i="23"/>
  <c r="L32" i="23"/>
  <c r="C103" i="23"/>
  <c r="D103" i="23" s="1"/>
  <c r="E9" i="23"/>
  <c r="N6" i="23"/>
  <c r="L6" i="23"/>
  <c r="M6" i="23"/>
  <c r="N11" i="23"/>
  <c r="L11" i="23"/>
  <c r="M11" i="23"/>
  <c r="L66" i="23"/>
  <c r="M66" i="23"/>
  <c r="N66" i="23"/>
  <c r="K71" i="23"/>
  <c r="I71" i="23"/>
  <c r="J71" i="23"/>
  <c r="M73" i="23"/>
  <c r="N73" i="23"/>
  <c r="L73" i="23"/>
  <c r="N49" i="23"/>
  <c r="L49" i="23"/>
  <c r="M49" i="23"/>
  <c r="M71" i="23"/>
  <c r="N71" i="23"/>
  <c r="L71" i="23"/>
  <c r="D82" i="23"/>
  <c r="C86" i="23"/>
  <c r="N19" i="23"/>
  <c r="L19" i="23"/>
  <c r="M19" i="23"/>
  <c r="M21" i="23"/>
  <c r="N21" i="23"/>
  <c r="L21" i="23"/>
  <c r="K21" i="23"/>
  <c r="I21" i="23"/>
  <c r="J21" i="23"/>
  <c r="J19" i="23"/>
  <c r="K19" i="23"/>
  <c r="I19" i="23"/>
  <c r="M9" i="23" l="1"/>
  <c r="N9" i="23"/>
  <c r="L9" i="23"/>
  <c r="D86" i="23"/>
  <c r="C97" i="23"/>
  <c r="D97" i="23" s="1"/>
</calcChain>
</file>

<file path=xl/comments1.xml><?xml version="1.0" encoding="utf-8"?>
<comments xmlns="http://schemas.openxmlformats.org/spreadsheetml/2006/main">
  <authors>
    <author>Orlando Arias</author>
  </authors>
  <commentList>
    <comment ref="AI142" authorId="0" shapeId="0">
      <text>
        <r>
          <rPr>
            <b/>
            <sz val="9"/>
            <color indexed="81"/>
            <rFont val="Tahoma"/>
            <family val="2"/>
          </rPr>
          <t>Orlando Arias:</t>
        </r>
        <r>
          <rPr>
            <sz val="9"/>
            <color indexed="81"/>
            <rFont val="Tahoma"/>
            <family val="2"/>
          </rPr>
          <t xml:space="preserve">
Falta formalizar la Mod al PAA para reducir los recursos 100 millones</t>
        </r>
      </text>
    </comment>
  </commentList>
</comments>
</file>

<file path=xl/sharedStrings.xml><?xml version="1.0" encoding="utf-8"?>
<sst xmlns="http://schemas.openxmlformats.org/spreadsheetml/2006/main" count="4856" uniqueCount="915">
  <si>
    <t>Nombre del Proceso</t>
  </si>
  <si>
    <t>Direccionamiento Estratégico</t>
  </si>
  <si>
    <t>Código</t>
  </si>
  <si>
    <t xml:space="preserve">    DE-F08</t>
  </si>
  <si>
    <t>Nombre del Formato</t>
  </si>
  <si>
    <t xml:space="preserve">PLAN DE ACCIÓN PRESUPUESTO DE INVERSIÓN </t>
  </si>
  <si>
    <t>Versión</t>
  </si>
  <si>
    <t>Plan de Desarrollo Bogotá Mejor Para Todos</t>
  </si>
  <si>
    <t>Proyecto Entidad: 1024  Formación en patrimonio cultural</t>
  </si>
  <si>
    <t xml:space="preserve">RESPONSABLE: </t>
  </si>
  <si>
    <t>Subdirectora de Divulgación</t>
  </si>
  <si>
    <t xml:space="preserve">OBJETIVO: </t>
  </si>
  <si>
    <t>Formar estudiantes y docentes que apropien, valoren, conserven y divulguen el patrimonio cultural de la ciudad.</t>
  </si>
  <si>
    <t xml:space="preserve">ESTRATEGIA: </t>
  </si>
  <si>
    <t>Permitir a la ciudadanía de las zonas urbanas y rurales, mejores oportunidades para su desarrollo en condiciones de igualdad.</t>
  </si>
  <si>
    <t xml:space="preserve">Fecha de Actualización:  </t>
  </si>
  <si>
    <t xml:space="preserve">Modificaciones: </t>
  </si>
  <si>
    <t xml:space="preserve">3-3-1-15-1-11-1024-124 </t>
  </si>
  <si>
    <t xml:space="preserve">Componentes </t>
  </si>
  <si>
    <t>Presupuesto</t>
  </si>
  <si>
    <t>Fuente</t>
  </si>
  <si>
    <t>Concepto de Gasto</t>
  </si>
  <si>
    <t>Meta Plan de Desarrollo         2016-2020</t>
  </si>
  <si>
    <t>Producto PMR</t>
  </si>
  <si>
    <t>Valor CDP's</t>
  </si>
  <si>
    <t>Valor CRP's</t>
  </si>
  <si>
    <t>Valor total Giros</t>
  </si>
  <si>
    <t>01- Recursos del Distrito - 12 Otros Distrito</t>
  </si>
  <si>
    <t>4-01-0187 - Actividades De Formación En Arte, Cultura, Patrimonio, Recreación Y Deporte</t>
  </si>
  <si>
    <t>12. Formación en Cátedra de Patrimonio en colegios distritales</t>
  </si>
  <si>
    <t>Formación en catedra de patrimonio en colegios del distrito capital</t>
  </si>
  <si>
    <t>Saldo</t>
  </si>
  <si>
    <t>Atender 4.343 formadores en las áreas de patrimonio, artes, recreación y deporte</t>
  </si>
  <si>
    <t>Formación a docentes</t>
  </si>
  <si>
    <t>Realizar 20 procesos de investigación, sistematización y memoria</t>
  </si>
  <si>
    <t>Sistematizar 1 experiencias de la formación a niños/as, adolescentes y docentes en patrimonio cultural.</t>
  </si>
  <si>
    <t>Sistematización de la experiencia</t>
  </si>
  <si>
    <t>Programacion PMR</t>
  </si>
  <si>
    <t>Indique el PMR</t>
  </si>
  <si>
    <t>DE-F-6 V2 XX/09/2017</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</si>
  <si>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</si>
  <si>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</si>
  <si>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</si>
  <si>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Museo de Bogotá en operación</t>
  </si>
  <si>
    <t>01-Recursos del Distrito 12-Otros Distrito</t>
  </si>
  <si>
    <t>Alcanzar 1.700.000 asistencias al Museo de Bogotá, a recorridos y rutas patrimoniales y a otras prácticas patrimoniales</t>
  </si>
  <si>
    <t xml:space="preserve">13. Oferta cultural para la valoración y divulgación del patrimonio material e  inmaterial de la ciudad </t>
  </si>
  <si>
    <t>03 - Recursos Administrados 20 - Administrados de Destinación Específica</t>
  </si>
  <si>
    <t>Estímulos a iniciativas de la ciudadanía en temas</t>
  </si>
  <si>
    <t>Activación del patrimonio</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</si>
  <si>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</si>
  <si>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</si>
  <si>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</si>
  <si>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</si>
  <si>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</si>
  <si>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</si>
  <si>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</si>
  <si>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3-3-1-15-7-42-1110-185</t>
  </si>
  <si>
    <t>Administración y mantenimiento de sedes misionales</t>
  </si>
  <si>
    <t>Incrementar a un 90% la sostenibilidad del sistema integrado de gestión, para prestar un mejor servicio en la atención a la ciudadanía.</t>
  </si>
  <si>
    <t>Mantener el 100% de las sedes misionales a cargo de la entidad.</t>
  </si>
  <si>
    <t>10. Procesos articulados dentro del sistema integrado de gestión.</t>
  </si>
  <si>
    <t>03-Recursos Administrados 21-Administrados de Libre Destinación</t>
  </si>
  <si>
    <t>Incrementar a un 70% la sostenibilidad del sistema integrado de gestión, para prestar un mejor servicio en la atención a la ciudadanía.</t>
  </si>
  <si>
    <t>Adquisición de equipos, materiales y suministros</t>
  </si>
  <si>
    <t>Desarrollar actividades de comunicación e información</t>
  </si>
  <si>
    <t>Personal de apoyo transversal a la gestión institucional</t>
  </si>
  <si>
    <t>Transparencia y atención a la ciudadanía</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</si>
  <si>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</si>
  <si>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</si>
  <si>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</si>
  <si>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</si>
  <si>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Subdirectora General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</si>
  <si>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</si>
  <si>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</si>
  <si>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3-3-1-15-2-17-1112-140</t>
  </si>
  <si>
    <t>Formular el Plan Especial de Manejo y Protección del Centro Historico</t>
  </si>
  <si>
    <t>15. Instrumentos técnicos de gestión para la preservación del patrimonio cultural</t>
  </si>
  <si>
    <t>Plan especial de manejo y protección del centro histórico</t>
  </si>
  <si>
    <t>Formular el 1,5 de planes urbanos en ambitos patrimoniales</t>
  </si>
  <si>
    <t>Planes y proyectos urbanos en ámbitos patrimoniales</t>
  </si>
  <si>
    <t>Instrumentos de gestión, financiación e incentivos</t>
  </si>
  <si>
    <t>Avanzar en la recuperación, conservación y protección de los bienes muebles e inmuebles que constituyen el patrimonio cultural construido de Bogotá, para su promoción y disfrute por parte de la ciudadanía.</t>
  </si>
  <si>
    <t>Recuperación para el uso adecuado y disfrute del espacio público, sostenibilidad del espacio público, generación del espacio público asociado al desarrollo y fortalecimiento de la infraestructura cultural, patrimonial, recreativa y deportiva de la ciudad</t>
  </si>
  <si>
    <t xml:space="preserve">3-3-1-15-2-17-1114-140 </t>
  </si>
  <si>
    <t xml:space="preserve">Bienes de Interés Cultural de tipo inmueble intervenidos </t>
  </si>
  <si>
    <t>4. Obras de Intervención en Bienes muebles - inmuebles y sectores que conforman el patrimonio cultural del D.C.</t>
  </si>
  <si>
    <t>SALDO</t>
  </si>
  <si>
    <t>01-Recursos del Distrito 555-Impuesto al Consumo de Telefonía Móvil</t>
  </si>
  <si>
    <t>01-Recursos del Distrito 265-Recursos de Balance Plusvalía</t>
  </si>
  <si>
    <t>01-Recursos del Distrito 41-Plusvalía</t>
  </si>
  <si>
    <t>Programa Fachadas</t>
  </si>
  <si>
    <t>Actividades de seguimiento arqueológico en intervenciones y acciones sobre bienes de interés cultural</t>
  </si>
  <si>
    <t>Asesoría técnica para la protección y promoción del patrimonio cultural material del distrito capital</t>
  </si>
  <si>
    <t xml:space="preserve">Asesorar tecnicamente el 100% de las solicitudes para la protección del patrimonio cultural material del D.C. </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</si>
  <si>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</si>
  <si>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</si>
  <si>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</si>
  <si>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</si>
  <si>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</si>
  <si>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</si>
  <si>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</si>
  <si>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</si>
  <si>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</si>
  <si>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</si>
  <si>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</si>
  <si>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</si>
  <si>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</si>
  <si>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</si>
  <si>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</si>
  <si>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</si>
  <si>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</si>
  <si>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</si>
  <si>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 xml:space="preserve"> Formación a docentes</t>
  </si>
  <si>
    <t>Objeto</t>
  </si>
  <si>
    <t>Beneficiario</t>
  </si>
  <si>
    <t>Valor RP's</t>
  </si>
  <si>
    <t xml:space="preserve"> Adquisición de equipos, materiales y suministros</t>
  </si>
  <si>
    <t xml:space="preserve"> Desarrollar actividades de comunicación e información</t>
  </si>
  <si>
    <t>Nº contrato</t>
  </si>
  <si>
    <t xml:space="preserve">Personal de apoyo transversal </t>
  </si>
  <si>
    <t xml:space="preserve">3-3-1-15-3-25-1107-158 </t>
  </si>
  <si>
    <t>Valor PAA</t>
  </si>
  <si>
    <t>Còd. Control</t>
  </si>
  <si>
    <t>CDP</t>
  </si>
  <si>
    <t>RP</t>
  </si>
  <si>
    <t>Saldo Apropiacion</t>
  </si>
  <si>
    <t>Valor Viabilidad</t>
  </si>
  <si>
    <t>Valor Giros</t>
  </si>
  <si>
    <t>Proyecto Entidad: 1114. Intervención y conservación de los bienes muebles e inmuebles en sectores de interés cultural del Distrito Capital</t>
  </si>
  <si>
    <t>Subdirector de Intervención</t>
  </si>
  <si>
    <t>Cód.. Control</t>
  </si>
  <si>
    <t>Saldo Apropiación</t>
  </si>
  <si>
    <t>Inicial</t>
  </si>
  <si>
    <t>Adiciòn</t>
  </si>
  <si>
    <t>Reducciòn</t>
  </si>
  <si>
    <t>PREDIS</t>
  </si>
  <si>
    <t>Còdigo Control</t>
  </si>
  <si>
    <t>Programación PMR</t>
  </si>
  <si>
    <t>Realizar 634.250 atenciones a niños, niñas y adolescentes  en el marco del programa Jornada Única  y Tiempo Escolar durante el cuatrienio</t>
  </si>
  <si>
    <t xml:space="preserve">MARGARITA CASTAÑEDA VARGAS </t>
  </si>
  <si>
    <t xml:space="preserve"> MAURICIO URIBE GONZÁLEZ</t>
  </si>
  <si>
    <t xml:space="preserve">  Director General</t>
  </si>
  <si>
    <t>JUAN FERNANDO ACOSTA MIRKOW</t>
  </si>
  <si>
    <t>MARÍA VICTORIA VILLAMIL</t>
  </si>
  <si>
    <t>147-Otros Recursos del balance de destinación específica</t>
  </si>
  <si>
    <r>
      <rPr>
        <b/>
        <sz val="10"/>
        <rFont val="Arial"/>
        <family val="2"/>
      </rPr>
      <t>Proyecto estratégico:</t>
    </r>
    <r>
      <rPr>
        <sz val="10"/>
        <rFont val="Arial"/>
        <family val="2"/>
      </rPr>
      <t xml:space="preserve">  158 Valoración y apropiación social del patrimonio cultural</t>
    </r>
  </si>
  <si>
    <r>
      <rPr>
        <b/>
        <sz val="10"/>
        <rFont val="Arial"/>
        <family val="2"/>
      </rPr>
      <t>PROGRAMA:</t>
    </r>
    <r>
      <rPr>
        <sz val="10"/>
        <rFont val="Arial"/>
        <family val="2"/>
      </rPr>
      <t xml:space="preserve"> 25 Cambio cultural y construcción del tejido social para la vida</t>
    </r>
  </si>
  <si>
    <r>
      <rPr>
        <b/>
        <sz val="10"/>
        <rFont val="Arial"/>
        <family val="2"/>
      </rPr>
      <t>PILAR O EJE:</t>
    </r>
    <r>
      <rPr>
        <sz val="10"/>
        <rFont val="Arial"/>
        <family val="2"/>
      </rPr>
      <t xml:space="preserve"> 03 Construcción de comunidad y cultura ciudadana</t>
    </r>
  </si>
  <si>
    <r>
      <rPr>
        <b/>
        <sz val="10"/>
        <rFont val="Arial"/>
        <family val="2"/>
      </rPr>
      <t>Proyecto estratégico:</t>
    </r>
    <r>
      <rPr>
        <sz val="10"/>
        <rFont val="Arial"/>
        <family val="2"/>
      </rPr>
      <t xml:space="preserve">  124 Formación para la transformación del ser</t>
    </r>
  </si>
  <si>
    <r>
      <rPr>
        <b/>
        <sz val="10"/>
        <rFont val="Arial"/>
        <family val="2"/>
      </rPr>
      <t>PROGRAMA:</t>
    </r>
    <r>
      <rPr>
        <sz val="10"/>
        <rFont val="Arial"/>
        <family val="2"/>
      </rPr>
      <t xml:space="preserve"> 11 Mejores oportunidades para el desarrollo a través de la cultura, la recreación y el deporte</t>
    </r>
  </si>
  <si>
    <r>
      <rPr>
        <b/>
        <sz val="10"/>
        <rFont val="Arial"/>
        <family val="2"/>
      </rPr>
      <t>PILAR O EJE:</t>
    </r>
    <r>
      <rPr>
        <sz val="10"/>
        <rFont val="Arial"/>
        <family val="2"/>
      </rPr>
      <t xml:space="preserve"> 01 Igualdad de calidad de vida</t>
    </r>
  </si>
  <si>
    <t>03-Recursos Administrados 347-Rendimientos Financieros Destinación Específica</t>
  </si>
  <si>
    <t>1400 Bienes de Interés Cultural (BIC) intervenidos</t>
  </si>
  <si>
    <t>01-Recursos del Distrito 270-Recursos del Balance Reaforo Plusvalía</t>
  </si>
  <si>
    <t>NUEVO</t>
  </si>
  <si>
    <t>N.A.</t>
  </si>
  <si>
    <t>CAROLINA FERNÁNDEZ BORDA</t>
  </si>
  <si>
    <t>PASIVOS EXIGIBLES</t>
  </si>
  <si>
    <t>01-Recursos del Distrito 263- Recursos Pasivos Plusvalia</t>
  </si>
  <si>
    <t>03-Recursos Administrados 147-Otros Recursos del balance de destinación específica</t>
  </si>
  <si>
    <t>03- Recursos Administrados 146 Recursos del balance de libre distinaciòn</t>
  </si>
  <si>
    <t>META 1</t>
  </si>
  <si>
    <t>META 2</t>
  </si>
  <si>
    <t>META 3</t>
  </si>
  <si>
    <t>Bienes de Interés Cultural de tipo inmueble intervenidos (Plaza Santamaría)</t>
  </si>
  <si>
    <t>Bienes de Interés Cultural de tipo inmueble intervenidos (Basilica Menor Iglesia del Voto Nacional)</t>
  </si>
  <si>
    <t>Bienes de Interés Cultural de tipo inmueble intervenidos (Casa Cadel)</t>
  </si>
  <si>
    <t>Bienes de Interés Cultural de tipo inmueble intervenidos (Casa Colorada)</t>
  </si>
  <si>
    <t>Bienes de Interés Cultural de tipo inmueble intervenidos (Sede Principal o Casa Genoveva)</t>
  </si>
  <si>
    <t>Bienes de Interés Cultural de tipo inmueble intervenidos (Sede Casa Tito)</t>
  </si>
  <si>
    <t>Bienes de Interés Cultural de tipo inmueble intervenidos (Galerías Líevano)</t>
  </si>
  <si>
    <t>Bienes de Interés Cultural de tipo inmueble intervenidos (Valor dirigido para reconocer la afiliación de riesgos laborales Nivel 5)</t>
  </si>
  <si>
    <t>Monumentos en espacio público</t>
  </si>
  <si>
    <t>Monumentos en espacio público (Estudios y diseños para la intervención integral de bienes muebles)</t>
  </si>
  <si>
    <t>Monumentos en espacio público (Intervención y Protección en Monumentos del Distrito)</t>
  </si>
  <si>
    <t>Monumentos en espacio público (Monumento a Los Héroes)</t>
  </si>
  <si>
    <t>Monumentos en espacio público (Monumento Banderas)</t>
  </si>
  <si>
    <t>Monumentos en espacio público 
(Estudios y diseños para la intervención integral de bienes muebles)</t>
  </si>
  <si>
    <t>Monumentos en espacio público
 (Intervención y Protección en Monumentos del Distrito)</t>
  </si>
  <si>
    <t>Monumentos en espacio público 
(Monumento a Los Héroes)</t>
  </si>
  <si>
    <t>Monumentos en espacio público 
(Monumento Banderas)</t>
  </si>
  <si>
    <t>Monumentos en espacio público 
( Simón Bolívar ubicado en la Plaza de Bolívar-Iluminación)</t>
  </si>
  <si>
    <t>Programa Fachadas 
(Intervención y Protección en Fachadas)</t>
  </si>
  <si>
    <t>Programa Fachadas 
(Intervención y mantenimiento de las Fachadas de las Iglesias San Francisco, Egipto y Candelaria )</t>
  </si>
  <si>
    <t>TOTAL INVERSION 2019</t>
  </si>
  <si>
    <t>TOTAL INVERSIÓN 2019</t>
  </si>
  <si>
    <t>Asesoría técnica</t>
  </si>
  <si>
    <t>-</t>
  </si>
  <si>
    <t>Ejecutar las obras por precios unitarios fijos para la restauración de las naves de la Basílica Menor del Sagrado Corazón de Jesús - Iglesia del Voto Nacional.</t>
  </si>
  <si>
    <t>Pago de trámites y documentación inherente al Proyecto de Intervención de la Iglesia del Voto Nacional del predio ubicado en la Carrera 15 N° 10-43 en la Ciudad de Bogotá, D. C.</t>
  </si>
  <si>
    <t>Prestar servicios profesionales al Instituto Distrital de Patrimonio Cultural  para apoyar la revisión y organización de los insumos técnicos y documentación inherente al proyecto de intervención de BIC Voto Nacional.</t>
  </si>
  <si>
    <t>Realizar la interventoría integral del contrato de obra que tiene por objeto: "Ejecutar las obras por precios unitarios fijos para la restauración de las naves de la Basílica Menor del Sagrado Corazón de Jesús - Iglesia del Voto Nacional."</t>
  </si>
  <si>
    <t>1401 Bienes de Interés Cultural (BIC) intervenidos</t>
  </si>
  <si>
    <t>1402 Bienes de Interés Cultural (BIC) intervenidos</t>
  </si>
  <si>
    <t>Prestar servicios profesionales al Instituto Distrital de Patrimonio Cultural para apoyar el desarrollo y seguimiento del manejo arqueológico en los proyectos de Intervención en los que el Instituto se vea involucrado.</t>
  </si>
  <si>
    <t>Prestar servicios profesionales al Instituto Distrital de Patrimonio Cultural para orientar el acompañamiento y seguimiento en el desarrollo del manejo arqueológico en los proyectos de Intervención en los que el Instituto se vea involucrado.</t>
  </si>
  <si>
    <t>Valor dirigido para reconocer la afiliación de riesgos laborales Nivel 5 de los contratistas de la Subdirección de Intervención.</t>
  </si>
  <si>
    <t>1403 Bienes de Interés Cultural (BIC) intervenidos</t>
  </si>
  <si>
    <t>1404 Bienes de Interés Cultural (BIC) intervenidos</t>
  </si>
  <si>
    <t>1405 Bienes de Interés Cultural (BIC) intervenidos</t>
  </si>
  <si>
    <t>1406 Bienes de Interés Cultural (BIC) intervenidos</t>
  </si>
  <si>
    <t>1407 Bienes de Interés Cultural (BIC) intervenidos</t>
  </si>
  <si>
    <t>1408 Bienes de Interés Cultural (BIC) intervenidos</t>
  </si>
  <si>
    <t>1409 Bienes de Interés Cultural (BIC) intervenidos</t>
  </si>
  <si>
    <t>1410 Bienes de Interés Cultural (BIC) intervenidos</t>
  </si>
  <si>
    <t>1411 Bienes de Interés Cultural (BIC) intervenidos</t>
  </si>
  <si>
    <t>1412 Bienes de Interés Cultural (BIC) intervenidos</t>
  </si>
  <si>
    <t>1413 Bienes de Interés Cultural (BIC) intervenidos</t>
  </si>
  <si>
    <t>1414 Bienes de Interés Cultural (BIC) intervenidos</t>
  </si>
  <si>
    <t>1415 Bienes de Interés Cultural (BIC) intervenidos</t>
  </si>
  <si>
    <t>1416 Bienes de Interés Cultural (BIC) intervenidos</t>
  </si>
  <si>
    <t>1417 Bienes de Interés Cultural (BIC) intervenidos</t>
  </si>
  <si>
    <t>1418 Bienes de Interés Cultural (BIC) intervenidos</t>
  </si>
  <si>
    <t>1419 Bienes de Interés Cultural (BIC) intervenidos</t>
  </si>
  <si>
    <t>1420 Bienes de Interés Cultural (BIC) intervenidos</t>
  </si>
  <si>
    <t>1421 Bienes de Interés Cultural (BIC) intervenidos</t>
  </si>
  <si>
    <t>1422 Bienes de Interés Cultural (BIC) intervenidos</t>
  </si>
  <si>
    <t>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</si>
  <si>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Prestar servicios de apoyo a la gestión al Instituto Distrital de Patrimonio Cultural para atención y notificación al usuario, y demás actividades administrativas de la Subdirección de Intervención.</t>
  </si>
  <si>
    <t>Prestar servicios profesionales al Instituto Distrital de Patrimonio Cultural para apoyar las actividades de gestión del Sistema de Información Geográfico para el inventario de bienes inmuebles del  Distrito Capital a cargo de la Subdirección de Intervención.</t>
  </si>
  <si>
    <t>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</si>
  <si>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</si>
  <si>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Prestar servicios profesionales al Instituto Distrital de Patrimonio Cultural para apoyar la revisión y acompañamiento del componente estructural y de ingeniería de las acciones y solicitudes de intervención en Bienes de Interés Cultural (BIC).</t>
  </si>
  <si>
    <t>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</si>
  <si>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Prestar servicios profesionales al Instituto Distrital de Patrimonio Cultural apoyando las actividades de elaboración y redacción de conceptos técnicos respecto a las normas aplicables para intervenciones sobre los inmuebles de interés cultural del Distrito Capital.</t>
  </si>
  <si>
    <t>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</si>
  <si>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Prestar servicios profesionales al Instituto Distrital de Patrimonio Cultural para apoyar las actividades de soporte técnico y evaluación de las solicitudes y acciones de control urbano que se presenten sobre BIC y SIC del Distrito Capital.</t>
  </si>
  <si>
    <t>Prestar servicios profesionales al Instituto Distrital de Patrimonio Cultural para apoyar las actividades de soporte técnico y evaluación de las solicitudes de equiparación a estrato 1 y de control urbano de intervenciones en BIC.</t>
  </si>
  <si>
    <t>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</si>
  <si>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Prestar servicios profesionales al Instituto Distrital de Patrimonio Cultural, apoyando los tramites de evaluación de los proyectos de manejo y protección del patrimonio cultural, y solicitudes de intervención sobre Bienes y Sectores de Interés Cultural.</t>
  </si>
  <si>
    <t>Prestar servicios profesionales especializados al Instituto Distrital de Patrimonio Cultural, como apoyo jurídico a la evaluación de las solicitudes de intervención sobre Bienes y Sectores de Interés Cultural.</t>
  </si>
  <si>
    <t>Prestar servicios profesionales al Instituto Distrital de Patrimonio Cultural, como apoyo jurídico a la evaluación de las solicitudes de intervención sobre Bienes y Sectores de Interés Cultural.</t>
  </si>
  <si>
    <t>Prestar servicios al Instituto Distrital de Patrimonio Cultural para apoyar el seguimiento administrativo y jurídico de los procesos contractuales y proyectos de intervención a cargo de la Subdirección de Intervención.</t>
  </si>
  <si>
    <t>Prestar servicios de apoyo a la gestión al Instituto Distrital de Patrimonio Cultural en actividades técnicas y de seguimiento en los procesos de ejecución y terminación de proyectos de obra, interventoría o convenios ejecutados por el Instituto.</t>
  </si>
  <si>
    <t>Prestar servicios de apoyo a la gestión al Instituto Distrital de Patrimonio Cultural en la asistencia y desarrollo de actividades operativas de la Subdirección de Intervención.</t>
  </si>
  <si>
    <t>Prestar servicios de apoyo a la gestión al Instituto Distrital de Patrimonio Cultural para acompañar la recepción, registro de documentos y expedientes en el marco de los procesos adelantados por la Subdirección de Intervención.</t>
  </si>
  <si>
    <t>Prestar servicios de apoyo administrativo al Instituto Distrital de Patrimonio Cultural en los procesos contractuales de la Subdirección de Intervención.</t>
  </si>
  <si>
    <t>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</si>
  <si>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Prestar servicios profesionales al Instituto Distrital de Patrimonio Cultural apoyando la estructuración técnica de los procesos precontractuales para las acciones de gestión e intervención del patrimonio cultural del Distrito Capital.</t>
  </si>
  <si>
    <t>Prestar servicios profesionales al Instituto Distrital de Patrimonio Cultural en la planeación, seguimiento y control de la ejecución administrativa y de metas del proyecto de inversión de la Subdirección de Intervención.</t>
  </si>
  <si>
    <t>Prestar servicios profesionales al Instituto Distrital de Patrimonio Cultural en las actividades administrativas y de apoyo a la ejecución de los proyectos de inversión de la Subdirección de Intervención.</t>
  </si>
  <si>
    <t>Prestar servicios profesionales al Instituto Distrital de Patrimonio Cultural para apoyar el apoyo jurídico en las etapas de estructuración y ejecución de los contratos que requiera la subdirección de intervención de conformidad con las normas vigentes que rigen la contratación pública. </t>
  </si>
  <si>
    <t>Prestar servicios profesionales al Instituto Distrital de Patrimonio Cultural para apoyar la estructuración técnica y presupuestos de los procesos de selección que se desarrollan para la gestión e intervención del patrimonio cultural del Distrito Capital.</t>
  </si>
  <si>
    <t>Prestar servicios profesionales al Instituto Distrital de Patrimonio Cultural para apoyar la planeación y control administrativo y de la gestión financiera, en el desarrollo de las acciones de intervención y protección del patrimonio cultural del Distrito Capital.</t>
  </si>
  <si>
    <t>Prestar servicios profesionales al Instituto Distrital de Patrimonio Cultural para brindar asesoría técnica y seguimiento integral de los procesos y acciones de protección e intervención del patrimonio cultural a cargo de la Subdirección de Intervención.</t>
  </si>
  <si>
    <t>Prestar servicios profesionales al Instituto Distrital de Patrimonio Cultural para brindar soporte, seguimiento y apoyo a los procesos y proyectos de intervención y/o protección de patrimonio cultural, para garantizar su desarrollo y cumplimiento.</t>
  </si>
  <si>
    <t>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</si>
  <si>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Prestar servicios profesionales al Instituto Distrital de Patrimonio Cultural para realizar el acompañamiento de los contratos relacionados con la ejecución de la restauración integral de la Iglesia del Voto Nacional.</t>
  </si>
  <si>
    <t>Prestar servicios profesionales al Instituto Distrital de Patrimonio Cultural para realizar el monitoreo, seguimiento y apoyo a los procesos y proyectos de intervención y/o protección de patrimonio cultural, para garantizar su desarrollo y cumplimiento.</t>
  </si>
  <si>
    <t>Prestar servicios profesionales al Instituto Distrital de Patrimonio Cultural para realizar la planificación, programación y control de las acciones de intervención y protección a cargo de la Subdirección de Intervención.</t>
  </si>
  <si>
    <t>Prestar servicios profesionales al Instituto Distrital de Patrimonio Cultural, para acompañar la revisión de los estudios y emisión de conceptos de las obras de intervención que desarrolle la Entidad.</t>
  </si>
  <si>
    <t>Prestar servicios profesionales especializados para apoyar al Instituto Distrital de Patrimonio Cultural en los temas relacionados con estructuración y ejecución de obras en proyectos de conservación y restauración en bienes inmuebles de interés cultural.</t>
  </si>
  <si>
    <t>Prestar servicios profesionales para apoyar las actividades técnicas y operativas para el desarrollo de los proyectos de protección e intervención del patrimonio a cargo de la Subdirección de Intervención.</t>
  </si>
  <si>
    <t>Contratar el servicio de transporte terrestre de carga con conductor y combustible, para transportar insumos, materiales, herramientas y equipos que requiera el Instituto Distrital de Patrimonio Cultural dentro del perímetro urbano de la ciudad de Bogotá D.C.</t>
  </si>
  <si>
    <t>Contratar insumos de ferretería, materiales y herramientas requeridas para la ejecución de intervenciones técnicas necesarias para el enlucimiento de fachadas, limpieza y mantenimiento de los Bienes de Interés Cultural muebles en espacio público e instalaciones que se utilizan para la prestación del servicio del Instituto Distrital de Patrimonio Cultural, en la ciudad de Bogotá D.C.</t>
  </si>
  <si>
    <t xml:space="preserve">Prestar servicios de apoyo a la gestión al Instituto Distrital de Patrimonio Cultural en áreas de seguridad industrial y acompañamiento en las labores de campo adelantadas por la Subdirección de Intervención. </t>
  </si>
  <si>
    <t xml:space="preserve">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</si>
  <si>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Prestar servicios de apoyo a la gestión al Instituto Distrital de Patrimonio Cultural para el monitoreo de las acciones de intervención adelantadas en el marco del Programa de enlucimiento de fachadas "El Patrimonio se Luce", de acuerdo con la programación establecida.</t>
  </si>
  <si>
    <t>Prestar servicios de apoyo a la gestión al Instituto Distrital de Patrimonio Cultural para la correcta ejecución de las intervenciones adelantadas por el Programa de enlucimiento de fachadas "El Patrimonio se Luce", de acuerdo con la programación establecida.</t>
  </si>
  <si>
    <t>Prestar servicios profesionales al Instituto Distrital de Patrimonio Cultural  para apoyar las actividades logísticas y técnicas orientadas a la sensibilización y apropiación de la cultura ciudadana como instrumento de gestión social en el marco del programa de enlucimiento de fachadas "El Patrimonio se Luce".</t>
  </si>
  <si>
    <t>Prestar servicios profesionales al Instituto Distrital de Patrimonio Cultural para apoyar el seguimiento en obra de las jornadas de enlucimiento que realice el programa de Fachadas y de las acciones de intervención sobre Bienes de Interés Cultural en espacio público.</t>
  </si>
  <si>
    <t>Prestar servicios profesionales al Instituto Distrital de Patrimonio Cultural para apoyar el seguimiento técnico y administrativo en sitio de las intervenciones adelantadas por el Programa de Enlucimiento de Fachadas.</t>
  </si>
  <si>
    <t>Prestar servicios profesionales al Instituto Distrital de Patrimonio Cultural para apoyar la gestión y seguimiento administrativo de las acciones de intevención en espacio público y fachadas que se adelantan en el marco del Programa Enlucimiento de Fachadas.</t>
  </si>
  <si>
    <t>Prestar servicios profesionales al Instituto Distrital de Patrimonio Cultural para apoyar las acciones de intervención sobre fachadas y espacio público.</t>
  </si>
  <si>
    <t>Prestar servicios profesionales al Instituto Distrital de Patrimonio Cultural para orientar y verificar la implementación de las acciones de intervención y protección del Programa El Patrimonio se Luce.</t>
  </si>
  <si>
    <t>Prestar servicios profesionales al Instituto Distrital de Patrimonio Cultural, apoyando las actividades preliminares de campo, en el marco de las acciones de intevención en espacio público y fachadas.</t>
  </si>
  <si>
    <t>Prestar servicios profesionales al Instituto Distrital de Patrimonio Cultural como apoyo a la gestión en los procesos editoriales y de investigación desarrollados por la Subdirección de Divulgación de los Valores del Patrimonio Cultural.</t>
  </si>
  <si>
    <t>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t>
  </si>
  <si>
    <t>Prestar servicios profesionales al Instituto Distrital de Patrimonio Cultural para acompañar la planeación y desarrollo de los procesos de contratación sin límite de cuantía, así como el impulso de los trámites jurídico/legales que se generen en el marco de las funciones de la Subdirección de Divulgación de los Valores del Patrimonio Cultural.</t>
  </si>
  <si>
    <t>Prestar servicios profesionales  al Instituto Distrital de Patrimonio Cultural para llevar a cabo los procesos de corrección de estilo de los textos y publicaciones adelantadas por la Subdirección de Divulgación de los Valores del Patrimonio Cultural.</t>
  </si>
  <si>
    <t>Prestar servicios profesionales al Instituto Distrital de Patrimonio Cultural para realizar el registro fotográfico y audiovisual requerido para la ejecución de la estrategia de apropiación social del patrimonio cultural.</t>
  </si>
  <si>
    <t>Prestar servicios profesionales al Instituto Distrital de Patrimonio Cultural para orientar las actividades periodísticas y de prensa requeridas en la estrategia de apropiación social del patrimonio cultural.</t>
  </si>
  <si>
    <t>Prestar servicios profesionales al Instituto Distrital de Patrimonio Cultural para orientar las estrategias encaminados a la salvaguardia y apropiación social del patrimonio cultural inmaterial.</t>
  </si>
  <si>
    <t>Prestar servicios profesionales al Instituto Distrital de Patrimonio Cultural para apoyar las actividades de comunicación y generación de contenidos requeridos para el desarrollo de la estrategia de apropiación social del patrimonio cultural.</t>
  </si>
  <si>
    <t>Adquisición de equipos de cómputo y periféricos requeridos para el desarrollo administrativo y misional del Instituto Distrital de Patrimonio Cultural</t>
  </si>
  <si>
    <t>Prestar servicios profesionales al Instituto Distrital del Patrimonio Cultural para apoyar la ejecucón de los trámites y procesos requeridos para la producción de los eventos generados en el marco de la estrategia de apropiación social del patrimonio cultural.</t>
  </si>
  <si>
    <t>Prestar servicios profesionales al Instituto Distrital de Patrimonio Cultural para apoyar el desarrollo de estrategias orientadas a la apropiación social y salvaguardia del Patrimonio Cultural Inmaterial.</t>
  </si>
  <si>
    <t>Prestar servicios profesionales al Instituto Distrital de Patrimonio Cultural para acompañar la producción audiovisual y multimedial requerida para el desarrollo de la estrategia de apropiación social del patrimonio cultural.</t>
  </si>
  <si>
    <t>Prestar servicios profesionales al Instituto Distrital de Patrimonio Cultural para orientar el diseño gráfico y diagramación de los productos de divulgación en el marco del proyecto de apropiación social del Patrimonio Cultural Inmaterial "Patrimonios Locales".</t>
  </si>
  <si>
    <t>Prestar servicios profesionales al Instituto Distrital de Patrimonio Cultural para apoyar los procesos documentales del Centro de Documentación.</t>
  </si>
  <si>
    <t>Prestar servicios profesionales al Instituto Distrital de Patrimonio Cultural en las actividades de producción de contenidos audiovisuales requeridos para el desarrollo de la estrategia de apropiación social del patrimonio cultural.</t>
  </si>
  <si>
    <t>Prestar servicios profesionales al Instituto Distrital de Patrimonio Cultural para apoyar los procesos de control presupuestal, seguimiento a indicadores y sistema integrado de gestión, requerido en el marco de las funciones de la Subdirección de Divulgación de los Valores del Patrimonio Cultural.</t>
  </si>
  <si>
    <t>Prestar servicios profesionales al Instituto Distrital de Patrimonio Cultural para apoyar el desarrollo de los contenidos requeridos para la publicación sobre la Iglesia San Ignacio de Bogotá.</t>
  </si>
  <si>
    <t>Prestar servicios profesionales al Instituto Distrital de Patrimonio Cultural para apoyar la planificación y ejecución del programa de recorridos urbanos en el marco de la estrategia de apropiación social del patrimonio cultural.</t>
  </si>
  <si>
    <t>Prestar servicios de apoyo a la gestión al Instituto Distrital de Patrimonio Cultural en la ejecución de recorridos naturales realizados en el marco de la estrategia de apropiación social del patrimonio cultural.</t>
  </si>
  <si>
    <t>Prestar servicios de apoyo a la gestión al Instituto Distrital de Patrimonio Cultural en las actividades administrativas y operativas desarrollados por la Subdirección de Divulgación de los Valores del Patrimonio Cultural.</t>
  </si>
  <si>
    <t>Prestar servicios profesionales al Instituto Distrital de Patrimonio Cultural para realizar el registro fotográfico y audiovisual requerido para la ejecución de la estrategia de comunicaciones de la entidad.</t>
  </si>
  <si>
    <t>Prestar servicios profesionales al Instituto Distrital de Patrimonio Cultural para apoyar el desarrollo de los contenidos requeridos para la publicación sobre inmuebles de valor patrimonial en Bogotá.</t>
  </si>
  <si>
    <t>Prestar servicios profesionales al Instituto Distrital de Patrimonio Cultural para apoyar las estrategias relacionadas con la apropiación social del patrimonio cultural inmaterial de la ciudad, así como otras actividades y proyectos de la Subdirección de Divulgación de los Valores del Patrimonio Cultural.</t>
  </si>
  <si>
    <t>Prestar servicios profesionales al Instituto Distrital de Patrimonio Cultural para orientar la estrategia de apropiación social del patrimonio cultural.</t>
  </si>
  <si>
    <t xml:space="preserve">Prestar servicios profesionales al Instituto Distrital de Patrimonio Cultural para apoyar los procesos de inventario, catalogación y organización de los fondos documentales que conforman el Centro de Documentación. </t>
  </si>
  <si>
    <t>Prestar servicios profesionales al Instituto Distrital de Patrimonio Cultural para apoyar el diseño de piezas gráficas y de comunicación requeridas para la ejecución de la estrategia de comunicaciones de la entidad y de apropiación social del patrimonio cultural.</t>
  </si>
  <si>
    <t>Adquisición de material bibliográfico requerido para el incremento de los fondos documentales del Centro de Dcumentación del Instituto Distrital de Patrimonio Cultural.</t>
  </si>
  <si>
    <t>Prestar servicios profesionales al Instituto Distrital de Patrimonio Cultural para acompañar el desarrollo del componente histórico de la estrategia de apropiación social del patrimonio cultural.</t>
  </si>
  <si>
    <t>Prestar servicios profesionales al Instituto Distrital de Patrimonio Cultural para apoyar las actividades de comunicación interna y organización de archivo fotográfico de la Subdirección de Divulgación de los Valores del Patrimonio Cultural.</t>
  </si>
  <si>
    <t xml:space="preserve">Prestar servicios profesionales al Instituto Distrital de Patrimonio Cultural para orientar el Programa de Patrimonios Locales y otras iniciativas que contribuyan a la salvaguardia y apropiación social del Patrimonio Cultural Inmaterial. </t>
  </si>
  <si>
    <t>Prestar servicios profesionales al Instituto Distrital de Patrimonio Cultural en el seguimiento a la ejecución de los procesos de planeación presupuestal y contractual, realizados en el marco de los proyectos a cargo de la Subdirección de Divulgación de los Valores del Patrimonio Cultural.</t>
  </si>
  <si>
    <t>Prestar servicios profesionales al Instituto Distrital de Patrimonio Cultural para apoyar el desarrollo de los contenidos requeridos para la publicación sobre monumentos en espacio público de Bogotá.</t>
  </si>
  <si>
    <t>Prestar servicios profesionales al Instituto Distrital de Patrimonio Cultural para apoyar el desarrollo de los contenidos requeridos para la publicación sobre el Plan Especial de Manejo y Protección PEMP del Centro Histórico de Bogotá.</t>
  </si>
  <si>
    <t>Prestar servicios profesionales al Instituto Distrital de Patrimonio Cultural para apoyar las acciones de diseño gráfico y diagramación de las publicaciones y proyectos editoriales adelantados en el marco de la estrategia de apropiación social del patrimonio cultural</t>
  </si>
  <si>
    <t>Prestar servicios profesionales al Instituto Distrital de Patrimonio Cultural para llevar a cabo las actividades periodísticas requeridas en la estrategia de apropiación social del patrimonio cultural.</t>
  </si>
  <si>
    <t>Prestar servicios profesionales al Instituto Distrital de Patrimonio Cultural para apoyar la gestión de prensa generada en el marco de la estrategia de comunicaciones del IDPC.</t>
  </si>
  <si>
    <t>Prestar servicios profesionales al Instituto Distrital de Patrimonio Cultural para apoyar el desarrollo de los contenidos requeridos para la publicación sobre los proyectos evaluados y aprobados por el IDPC en contextos patrimoniales.</t>
  </si>
  <si>
    <t>Contratar el proceso de impresión, encuadernación y acabados de los impresos y publicaciones requeridos para el desarrollo de los proyectos misionales adelantados por la Subdirección de Divulgación del Instituto Distrital de Patrimonio Cultural.</t>
  </si>
  <si>
    <t>Contratar el desarrollo y diseño de la página web, así como las herramientas digitales conexas requeridas por el Instituto Distrital de Patrimonio Cultural para la formación y divulgación del patrimonio cultural del Distrito Capital.</t>
  </si>
  <si>
    <t>Prestar servicios de apoyo a la gestión al Instituto Distrital de Patrimonio Cultural como guía de los recorridos urbanos realizados en el marco de la estrategia de apropiación social del patrimonio cultural.</t>
  </si>
  <si>
    <t xml:space="preserve">Prestar servicios profesionales al Instituto Distrital de Patrimonio Cultural para apoyar las actividades de implementación del proyecto de apropiación social del Patrimonio Cultural Inmaterial "Patrimonios Locales". </t>
  </si>
  <si>
    <t xml:space="preserve">Prestar servicios profesionales al Instituto Distrital de Patrimonio Cultural para apoyar las actividades de implementación del proyecto de apropiación social del Patrimonio Cultural Inmaterial "Patrimonios Locales".  </t>
  </si>
  <si>
    <t>Prestar servicios profesionales al Instituto Distrital de Patrimonio Cultural para orientar la ejecución de los proyectos editoriales y de investigación desarrollados en el marco de la estrategia de apropiación social del patrimonio cultural.</t>
  </si>
  <si>
    <t>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</si>
  <si>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Prestar servicios profesionales al Instituto Distrital de Patrimonio Cultural para acompañar el desarrollo de publicaciones generadas en el marco de la estrategia de apropiación social del patrimonio cultural.</t>
  </si>
  <si>
    <t>Prestar servicios profesionales al Instituto Distrital de Patrimonio Cultural para orientar la estructuración e implementación de las acciones de fomento a las prácticas del patrimonio cultural.</t>
  </si>
  <si>
    <t>Prestar servicios profesionales al Instituto Distrital de Patrimonio Cultural para apoyar la implementación de las acciones de fomento a las prácticas del patrimonio cultural.</t>
  </si>
  <si>
    <t>Convocatoria dirigida a grupos étnicos</t>
  </si>
  <si>
    <t>Amparar jurados que evaluarán las propuestas del Programa Distrital de Estímulos 2019.</t>
  </si>
  <si>
    <t>Programa Distrital de Apoyos Concertados - 2019</t>
  </si>
  <si>
    <t>Prestar servicios profesionales al Instituto Distrital de Patrimonio Cultural para apoyar en la implementación en aula del programa de formación en patrimonio cultural CIVINAUTAS, dirigido a estudiantes de colegios distritales.</t>
  </si>
  <si>
    <t>Prestar servicios profesionales al Instituto Distrital de Patrimonio Cultural para acompañar el componente de apropiación social del patrimonio de los procesos de formación en patrimonio cultural, en el marco del proyecto de inversión 1024 - Formación en patrimonio cultural.</t>
  </si>
  <si>
    <t>Valor correspondiente para reconocer el pago de la planilla integrada de aportes a riesgos laborales con tarifa tipo V de los contratistas de la Subdirección de Divulgación.</t>
  </si>
  <si>
    <t>Prestar los servicios requeridos por el Instituto Distrital de Patrimonio Cultural para atender las actividades y proyectos relacionados con la formación y divulgación del patrimonio cultural del Distrito Capital.</t>
  </si>
  <si>
    <t xml:space="preserve"> Prestar servicios profesionales al Instituto Distrital de Patrimonio Cultural para apoyar las actividades administrativas del programa de formación en patrimonio cultural CIVINAUTAS, dirigido a estudiantes de colegios distritales.</t>
  </si>
  <si>
    <t>Contratar la impresión del material divulgativo requerido para la ejecución de los procesos misionales de la Subdirección de Divulgación del Instituto Distrital de Patrimonio Cultural.</t>
  </si>
  <si>
    <t>Suministro de papelería, elementos de oficina, útiles escolares y material fungible requeridos para el desarrollo administrativo y misional del Instituto Distrital de Patrimonio Cultural.</t>
  </si>
  <si>
    <t>Prestar servicios profesionales al Instituto Distrital de Patrimonio Cultural para acompañar el componente pedagógico de los procesos de formación en patrimonio cultural, en el marco del proyecto de inversión 1024 - Formación en patrimonio cultural.</t>
  </si>
  <si>
    <t>Prestar servicios profesionales al Instituto Distrital de Patrimonio Cultural como apoyo en la gestión territorial de los procesos de formación, en el marco del proyecto de inversión 1024 - Formación en patrimonio cultural.</t>
  </si>
  <si>
    <t>Prestar servicios profesionales al Instituto Distrital de Patrimonio Cultural para apoyar la gestión logística de los recorridos de ciudad realizados en el marco del proyecto de invesión 1024 - Formación en patrimonio cultural.</t>
  </si>
  <si>
    <t>Prestar servicios profesionales al Instituto Distrital de Patrimonio Cultural para orientar los procesos de formación en patrimonio cultural, en el marco del proyecto de inversión 1024 - Formación en patrimonio cultural.</t>
  </si>
  <si>
    <t>Adquisición de equipos de cómputo y periféricos requeridos para el desarrollo administrativo y misional del Instituto Distrital de Patrimonio Cultural.</t>
  </si>
  <si>
    <t>Prestar servicios profesionales al Instituto Distrital de Patrimonio Cultural para apoyar las acciones de diseño gráfico del Museo de Bogotá.</t>
  </si>
  <si>
    <t>Prestar servicios profesionales al Instituto Distrital de Patrimonio Cultural para orientar la planificación de las líneas de acción del Museo de Bogotá.</t>
  </si>
  <si>
    <t>Gastos de TI MdB</t>
  </si>
  <si>
    <t>Adquisición de equipos de comunicación, audio, video y conexos requeridos para el desarrollo de las actividades misionales adelantadas por la Subdirección de Divulgación de los Valores del Patrimonio Cultural.</t>
  </si>
  <si>
    <t>Prestar servicios profesionales al Instituto Distrital de Patrimonio Cultural para apoyar el diseño museográfico de los proyectos adelantados por el Museo de Bogotá.</t>
  </si>
  <si>
    <t>Prestar servicios profesionales al Instituto Distrital de Patrimonio Cultural en las actividades relacionadas con el desarrollo del guion curatorial para la exposición temporal del Museo de Bogotá sobre el Bicentenario de la ciudad.</t>
  </si>
  <si>
    <t>Prestar servicios profesionales al Instituto Distrital de Patrimonio Cultural en el desarrollo del guion curatorial para la exposición temporal del Museo de Bogotá sobre Bogotá, en medios impresos.</t>
  </si>
  <si>
    <t>Prestar servicios profesionales al Instituto Distrital de Patrimonio Cultural en el desarrollo del guion curatorial para la exposición temporal del Museo de Bogotá sobre la obra fotográfica "Germán Téllez".</t>
  </si>
  <si>
    <t>Adquisición de equipos de control ambiental para las salas de exposición del Museo de Bogotá y para el archivo de gestión del Instituto Distrital de Patrimonio Cultural.</t>
  </si>
  <si>
    <t>Prestar servicios al Instituto Distrital de Patrimonio Cultural como apoyo a la gestión en la planificación y ejecución del portafolio de servicios educativos y culturales del Museo de Bogotá.</t>
  </si>
  <si>
    <t>Prestar servicios profesionales al Instituto Distrital de Patrimonio Cultural para orientar las actividades de curaduría y museología del Museo de Bogotá.</t>
  </si>
  <si>
    <t>Prestar servicios profesionales al Instituto Distrital de Patrimonio Cultural para apoyar los procesos de investigación, estructuración y redacción de guiones museológicos requeridos por el Museo de Bogotá.</t>
  </si>
  <si>
    <t>Prestar servicios de apoyo a la gestión al Instituto Distrital de Patrimonio Cultural en los trámites administrativos y operativos generados en la operación del Museo de Bogotá.</t>
  </si>
  <si>
    <t>Contratar la iluminación museográfica requerida para las salas de exposición del Museo de Bogotá del Instituto Distrital de Patrimonio Cultural.</t>
  </si>
  <si>
    <t>Prestar servicios profesionales al Instituto Distrital de Patrimonio Cultural para orientar los procesos museográficos requeridos por el Museo de Bogotá.</t>
  </si>
  <si>
    <t>Prestar servicios profesionales al Instituto Distrital de Patrimonio Cultural para acompañar el componente pedagógico y didáctico del portafolio de servicios educativos y culturales del Museo de Bogotá.</t>
  </si>
  <si>
    <t>Prestar servicios profesionales al Instituto Distrital de Patrimonio Cultural en la ejecución de los procesos de mediación y generación de contenidos pedagógicos del portafolio de servicios educativos y culturales del Museo de Bogotá.</t>
  </si>
  <si>
    <t xml:space="preserve"> Prestar servicios profesionales al Instituto Distrital de Patrimonio Cultural para apoyar las acciones de diseño gráfico del Museo de Bogotá .</t>
  </si>
  <si>
    <t>Contratar la adquisición de licencias de software para los equipos de cómputo de Instituto Distrital de Patrimonio Cultural.</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</si>
  <si>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</si>
  <si>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llevar a cabo las actividades de registro y catalogación de la colección del Museo de Bogotá.</t>
  </si>
  <si>
    <t>Prestar servicios profesionales al Instituto Distrital de Patrimonio Cultural para acompañar el diseño, programación y desarrollo de las actividades del portafolio de servicios educativos y culturales del Museo de Bogotá.</t>
  </si>
  <si>
    <t>Contratar el  saneamiento ambiental requerido para las las sedes del Museo de Bogotá del Instituto Distrital de Patrimonio Cultural.</t>
  </si>
  <si>
    <t>Prestar servicios profesionales al Instituto Distrital de Patrimonio Cultural para orientar los procesos de gestión de la colección del Museo de Bogotá</t>
  </si>
  <si>
    <t>Prestar servicios de apoyo a la gestión al Instituto Distrital de Patrimonio Cultural en los procesos de montaje y actividades logísticas requeridas por el Museo de Bogotá.</t>
  </si>
  <si>
    <t>Prestar servicios profesionales al Instituto Distrital de Patrimonio Cultural para apoyar el desarrollo del plan de exposiciones temporales del Museo de Bogotá y los requerimientos asociados a los planes y proyectos especiales de la entidad.</t>
  </si>
  <si>
    <t>Museo de la ciudad autoconstruida</t>
  </si>
  <si>
    <t>Contratar la prestación del servicio integral de aseo, cafetería y fumigación, incluidos los insumos, para las sedes del Instituto Distrital de Patrimonio Cultural.</t>
  </si>
  <si>
    <t>Prestar servicios de apoyo a la gestión al Instituto Distrital de Patrimonio Cultural en los procesos de digitalización de la Colección del Museo de Bogotá.</t>
  </si>
  <si>
    <t xml:space="preserve">Prestar servicios profesionales al Instituto Distrital de Patrimonio Cultural para acompañar el componente histórico de los procesos curatoriales desarrollados por el Museo de Bogotá. </t>
  </si>
  <si>
    <t>Contratar el servicio de transporte para el traslado de piezas de carácter museal o de valor patrimonial requerido para los proyectos museológicos adelantados por el Museo de Bogotá del Instituto distrital de Patrimonio Cultural.</t>
  </si>
  <si>
    <t>Prestar servicios al Instituto Distrital de Patrimonio Cultural para llevar a cabo el proceso de desarme, traslado y armado del tranvía de mulas, pieza museográfica central de la sala: "Sobre rieles, el tranvía en Bogotá" del Museo de Bogotá.</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</si>
  <si>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</si>
  <si>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el mantenimiento de equipos de medición ambiental de propiedad del Instituto Distrital de Patrimonio Cultural.</t>
  </si>
  <si>
    <t>NA</t>
  </si>
  <si>
    <t>SALDO DEL COMPONENTE MUSEO EN OPERACIÓN</t>
  </si>
  <si>
    <t xml:space="preserve">Lograr 216.615 asistentes a la oferta generada por el Instituto en actividades de patrimonio cultural </t>
  </si>
  <si>
    <t>Apoyar 24 iniciativas de la ciudadanía en temas de patrimonio cultural.</t>
  </si>
  <si>
    <t>Ofrecer 410 actividades que contribuyan a activar el patrimonio cultural</t>
  </si>
  <si>
    <t>Contratar un programa de seguros que ampare los bienes e intereses patrimoniales del Instituto Distrital de Patrimonio Cultural y aquellos por los cuales sea o llegare a ser responsable.</t>
  </si>
  <si>
    <t>Adición y prórroga del contrato 305 de 2018 que tiene por objeto: 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</si>
  <si>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Contratar la prestación del servicio de mantenimiento preventivo y correctivo de bienes inmuebles propiedad y a cargo del Instituto Distrital de Patrimonio Cultural.</t>
  </si>
  <si>
    <t>Servicios Públicos</t>
  </si>
  <si>
    <t>Compra de estantes rodantes para las cajas de archivo  requeridas para la organización del archivo de gestión  del Instituto Distrital de Patrimonio Cultural</t>
  </si>
  <si>
    <t>Contratar el arrendamiento de equipos de impresión para el Instituto Distrital de Patrimonio Cultural, incluido el mantenimiento y soporte técnico preventivo y correctivo programado con suministro de tóner permanente, así como el soporte técnico extraordinario cada vez que se requiera.</t>
  </si>
  <si>
    <t>Adquisición de mobiliario para la sede administrativa del Instituto Distrital de Patrimonio Cultural.</t>
  </si>
  <si>
    <t>Contratar el alquiler e instalación de computadores de escritorio con su respectiva configuración y puesta en funcionamiento en las instalaciones del Instituto Distrital de Patrimonio Cultural.</t>
  </si>
  <si>
    <t>Adquisición de licencias de software especializados para los equipos de cómputo del IDPC</t>
  </si>
  <si>
    <t>Contratar la renovación y ampliación del almacenamiento de la solución de respaldo de información para el Instituto Distrital de Patrimonio Cultural.</t>
  </si>
  <si>
    <t>Prestar servicios profesionales al Instituto Distrital de Patrimonio Cultural en las actividades de soporte técnico y los trámites precontractuales para la adquisición de bienes y servicios relacionados con el sistema de información y tecnología de la entidad.</t>
  </si>
  <si>
    <t xml:space="preserve">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</si>
  <si>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Prestar servicios profesionales al Instituto Distrital de Patrimonio Cultural para apoyar las actividades técnicas requeridas en aplicación del Sistema de Información Geográfica -SIG_PC-.</t>
  </si>
  <si>
    <t>Prestar servicios de apoyo a la gestión al Instituto Distrital de Patrimonio Cultural en las actividades de soporte técnico del sistema de  información y tecnología de la entidad.</t>
  </si>
  <si>
    <t>Prestar servicios profesionales al Instituto Distrital de Patrimonio Cultural para realizar acciones relacionadas con la implementación y consolidación del Sistema de Información Geográfica -SIG_PC-.</t>
  </si>
  <si>
    <t>Prestar servicios de apoyo a la gestión  al Instituto Distrital de Patrimonio Cultural para ejecutar las actividades relacionadas con el Programa de gestión Documental - PGD  y el Plan Institucional de Archivos PINAR.</t>
  </si>
  <si>
    <t xml:space="preserve">Prestar servicios profesionales al Instituto de Patrimonio Cultural para realizar acciones de soporte relacionadas con la gestión documental de la entidad y el aplicativo ORFEO. </t>
  </si>
  <si>
    <t>Prestar servicios profesionales al Instituto Distrital de Patrimonio Cultural para apoyar la implementación de políticas y acciones para el mantenimiento y mejora del Sistema Integrado de Gestión en el marco del Modelo Integrado de Planeación y Gestión - MIPG.</t>
  </si>
  <si>
    <t>Prestar servicios profesionales al Instituto Distrital de Patrimonio Cultural para dar lineamientos y orientación en la implementación, sostenibilidad y mejora del Sistema Integrado de Gestión en el marco del Modelo Integrado de Planeación y Gestión - MIPG.</t>
  </si>
  <si>
    <t>Prestar servicios profesionales al Instituto Distrital de Patrimonio Cultural para la ejecución de las actividades relacionados con el Sistema Integrado de Conservación  en concordancia con la normatividad vigente.</t>
  </si>
  <si>
    <t>Prestar servicios profesionales al Instituto Distrital de Patrimonio Cultural para apoyar la formulación e implementación de políticas y acciones que promuevan la sostenibilidad del Sistema Integrado de Gestión en el marco del Modelo Integrado de Planeación y Gestión - MIPG.</t>
  </si>
  <si>
    <t xml:space="preserve">Prestar servicios de apoyo a la gestión al Instituto Distrital de Patrimonio Cultural para orientar las acciones de préstamos, consultas y organización de los archivos de la entidad. </t>
  </si>
  <si>
    <t>Prestar servicios profesionales al Instituto Distrital de Patrimonio Cultural para desarrollar actividades de apoyo al proceso de operación del Subsistema Interno de Gestión Documental y Archivos -SIGA.</t>
  </si>
  <si>
    <t>Prestar servicios asistenciales al Instituto Distrital de Patrimonio Cultural para apoyar la gestión requerida en la digitalización y organización de archivos relacionada con el Subsistema Interno de Gestión Documental y Archivos -SIGA.</t>
  </si>
  <si>
    <t>Prestar servicios profesionales al Instituto Distrital de Patrimonio Cultural para dar lineamientos, formular y orientar las acciones para la sostenibilidad del Subsistema Interno de Gestión Documental y Archivos -SIGA.</t>
  </si>
  <si>
    <t>Prestar servicios profesionales al Instituto Distrital de Patrimonio Cultural para orientar y formular acciones para el fortalecimiento y mantenimiento del Subsistema de Gestión Ambiental en el marco del Sistema Integrado de Gestión.</t>
  </si>
  <si>
    <t xml:space="preserve">Prestar servicios de apoyo a la gestión al Instituto Distrital de Patrimonio Cultural para la organización de los archivos de la Entidad. </t>
  </si>
  <si>
    <t>Prestar servicios profesionales jurídicos al Instituto Distrital de Patrimonio Cultural, para adelantar acciones jurídicas y de seguimiento contractual y administrativo relacionadas con los procesos liderados por la Subdirección General o quien haga sus veces.</t>
  </si>
  <si>
    <t>Prestar servicios de apoyo a la gestión al Instituto Distrital de Patrimonio Cultural en las actividades administrativas de la Dirección General de la entidad.</t>
  </si>
  <si>
    <t>Prestar servicios profesionales especializados a la Dirección General del Instituto Distrital de Patrimonio Cultural, relacionados con el acompañamiento de las acciones estratégicas de mejoramiento y seguimiento institucional, para el normal funcionamiento de la entidad.</t>
  </si>
  <si>
    <t xml:space="preserve">Prestar servicios de apoyo a la gestión al Instituto Distrital de Patrimonio Cultural para apoyar las actividades logisticas de divulgación, participación ciudadana y control social. </t>
  </si>
  <si>
    <t xml:space="preserve">Prestar servicios profesionales al Instituto Distrital de Patrimonio Cultural para apoyar las actividades logísticas requeridas en la implementación del modelo de participacion y control social. </t>
  </si>
  <si>
    <t>Prestar servicios profesionales al Instituto Distrital de Patrimonio Cultural en el apoyo jurídico que requiera la entidad en las etapas precontractual, contractual y post-contractual.</t>
  </si>
  <si>
    <t>Prestar servicios de apoyo a la gestión al Instituto Distrital de Patrimonio Cultural, en el desarrollo de las actividades relacionadas con la liquidación de prestaciones sociales y demás temas de la gestión del talento humano de la entidad.</t>
  </si>
  <si>
    <t>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</si>
  <si>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Prestar servicios de profesionales al Instituto Distrital de Patrimonio Cultural en las actividades relacionadas con la publicación y seguimiento de la actividad contractual en los portales de contratación.</t>
  </si>
  <si>
    <t>Prestar servicios de apoyo a la gestión al Instituto Distrital de Patrimonio Cultural en la realización de las actividades de comunicación de la Subdirección de Gestión Corporativa.</t>
  </si>
  <si>
    <t>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</si>
  <si>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Prestar servicios profesionales al Instituto Distrital de Patrimonio Cultural para apoyar a la Asesoría Jurídica o quien haga sus veces, en los procesos de selección sin límite de cuantía, en las etapas precontractual, contractual y post-contractual.</t>
  </si>
  <si>
    <t>Prestar servicios de apoyo a la gestión al Instituto Distrital de Patrimonio Cultural en las actividades operativas relacionadas con la recepción, organización documental y de correspondencia de la entidad.</t>
  </si>
  <si>
    <t>Prestar servicios profesionales al Instituto Distrital de Patrimonio Cultural para el apoyo jurídico que requiera la entidad en las etapas precontractual, contractual y post-contractual.</t>
  </si>
  <si>
    <t>Prestar servicios profesionales al Instituto Distrital de Patrimonio Cultural para apoyar a la Asesoría Jurídica o quien haga sus veces, en las actividades propias de sus funciones, especialmente las relacionadas con la etapa post-contractual.</t>
  </si>
  <si>
    <t>Prestar servicios de apoyo a la gestión al Instituto Distrital de Patrimonio Cultural, en las actividades operativas y de mantenimiento requeridas por la entidad.</t>
  </si>
  <si>
    <t>Prestar servicios de apoyo a la gestión al Instituto Distrital de Patrimonio Cultural para apoyar a la Asesoría Jurídica o quien haga sus veces, en las actividades relacionadas con la organización y administración del archivo documental.</t>
  </si>
  <si>
    <t>Prestar servicios profesionales al Instituto Distrital de Patrimonio Cultural para apoyar el proceso de modernización del Instituto, repuesta a peticiones, requerimientos de entes de control, y demás temas relacionados con la Gestión del Talento Humano de la entidad.</t>
  </si>
  <si>
    <t>Prestar servicios de apoyo a la gestión al Instituto Distrital de Patrimonio Cultural en el seguimiento a los planes de mejoramiento, metas, indicadores y actividades relacionadas con los procesos de contratación de la Subdirección de Gestión Corporativa.</t>
  </si>
  <si>
    <t>Prestar servicios profesionales al Instituto Distrital de Patrimonio Cultural, en las actividades de la asesoría de Control Interno incluidas en el Plan Anual de Auditorias.</t>
  </si>
  <si>
    <t>Prestar servicios profesionales al Instituto Distrital de Patrimonio Cultural para apoyar jurídicamente la proyección y trámites de documentos precontractuales requeridos por la Subdirección de Gestión Corporativa.</t>
  </si>
  <si>
    <t>Prestar servicios profesionales al Instituto Distrital de Patrimonio Cultural en las actividades relacionadas con la gestión financiera y presupuestal de la entidad.</t>
  </si>
  <si>
    <t>Prestar servicios profesionales al Instituto Distrital de Patrimonio Cultural para realizar el soporte, mantenimiento, actualización y desarrollo de la plataforma del sistema de gestión ORFEO.</t>
  </si>
  <si>
    <t>Prestar servicios profesionales al Instituto Distrital de Patrimonio Cultural para brindar el apoyo jurídico requerido en las actuaciones disciplinarias que se adelanten dentro de los procesos de competencia de la entidad.</t>
  </si>
  <si>
    <t>Prestar servicios de apoyo a la gestión al Instituto Distrital de Patrimonio Cultural para acompañar a la Asesoría Jurídica o quien haga sus veces, en temas judiciales y de cartera de la entidad.</t>
  </si>
  <si>
    <t>Prestar servicios profesionales al Instituto Distrital de Patrimonio Cultural apoyando la proyección y trámite de los documentos precontractuales, seguimiento, control y modificaciones al plan de adquisiciones de la Subdirección de Gestión Corporativa.</t>
  </si>
  <si>
    <t>Prestar servicios profesionales al Instituto Distrital de Patrimonio Cultural para apoyar la Implementacion del modelo de participación ciudadana y control social.</t>
  </si>
  <si>
    <t>Prestar servicios profesionales al Instituto Distrital de Patrimonio Cultural para apoyar las actividades relacionadas con el proceso de Direccionamiento Estratégico.</t>
  </si>
  <si>
    <t>Prestar servicios de apoyo a la gestión al Instituto Distrital de Patrimonio Cultural en las actividades operativas requeridas en el área de almacén e inventarios.</t>
  </si>
  <si>
    <t>Prestar servicios profesionales al Instituto Distrital de Patrimonio Cultural para apoyar los procesos de planeación relacionados con los programas, planes y proyectos del Instituto.</t>
  </si>
  <si>
    <t xml:space="preserve">Prestar servicios de apoyo a la gestión al Instituto Distrital de Patrimonio Cultural para ejecutar actividades operativas requeridas por la Subdirección General o quien haga sus veces. </t>
  </si>
  <si>
    <t>Prestar servicios profesionales al Instituto Distrital de Patrimonio Cultural para orientar, consolidar e implementar el modelo de participación ciudadana y control social.</t>
  </si>
  <si>
    <t>Prestar servicios profesionales al Instituto Distrital de Patrimonio Cultural para asesorar a la Dirección General en el manejo de las relaciones interinstitucionales e internacionales, a través del acompañamiento y gestión de estrategias, planes y proyectos, para el fomento y apropiación del patrimonio cultural en el Distrito Capital.</t>
  </si>
  <si>
    <t xml:space="preserve">Prestar servicios profesionales al Instituto Distrital de Patrimonio Cultural para dar lineamientos en la Planeación Estratégica Institucional. </t>
  </si>
  <si>
    <t>Prestar servicios profesionales al Instituto Distrital de Patrimonio Cultural para apoyar jurídicamente en la realización de las actividades de la gestión del Talento Humano de la entidad.</t>
  </si>
  <si>
    <t>Prestar servicios de apoyo a la gestión al Instituto Distrital de Patrimonio Cultural en el desarrollo de actividades administrativas de la Subdirección de Gestión Corporativa.</t>
  </si>
  <si>
    <t>Prestar servicios profesionales al Instituto Distrital de Patrimonio Cultural en las actividades relacionadas con la vinculación, permanencia, retiro de los servidores públicos y demás temas relacionados con la gestión del talento humano de la entidad.</t>
  </si>
  <si>
    <t>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</si>
  <si>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 xml:space="preserve">Prestar servicios profesionales al Instituto Distrital de Patrimonio Cultural para apoyar los procesos   administrativos de la Subdirección General o quien haga sus veces. </t>
  </si>
  <si>
    <t xml:space="preserve">
Prestar servicios profesionales al Instituto Distrital de Patrimonio Cultural para apoyar las actividades requeridas en el seguimiento a la ejecución presupuestal de inversión y a las metas de los proyectos de inversión del Instituto.
</t>
  </si>
  <si>
    <t>Prestar servicios de apoyo a la gestión al Instituto Distrital de Patrimonio Cultural en las actividades relacionadas con los préstamos, consultas y organización de los archivos de la Asesoría Jurídica o quien haga sus veces, en el marco del Subsistema Interno de Gestión Documental y Archivos (SIGA).</t>
  </si>
  <si>
    <t>Prestar servicios profesionales al Instituto Distrital de Patrimonio Cultural para adelantar acciones relacionadas con los procesos de planeación, seguimiento y control de los programas, planes y proyectos del Instituto.</t>
  </si>
  <si>
    <t xml:space="preserve">Prestar servicios profesionales al Instituto Distrital de Patrimonio Cultural para apoyar el control y seguimiento a presupuesto, metas e indicadores y  Sistema Integrado de Gestión requerido. </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</si>
  <si>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</si>
  <si>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en las actividades relacionadas con el mantenimiento preventivo y correctivo de los bienes muebles e inmuebles propiedad de la entidad.</t>
  </si>
  <si>
    <t>Prestar servicios profesionales al Instituto Distrital de Patrimonio Cultural, acompañando jurídicamente los procesos contractuales, así como la revisión, seguimiento y control de la gestión administrativa a cargo de la Subdirección de Gestión Corporativa.</t>
  </si>
  <si>
    <t>Prestar servicios de apoyo a la gestión al Instituto Distrital de Patrimonio Cultural en las actividades relacionadas con la implementación del SECOP II.</t>
  </si>
  <si>
    <t>Prestar servicios de apoyo a la gestión al Instituto Distrital de Patrimonio Cultural, en las actividades asistenciales que requiera la Asesoría Jurídica o quien haga sus veces.</t>
  </si>
  <si>
    <t>planilla riesgo 5</t>
  </si>
  <si>
    <t>Prestar servicios profesionales especializados al Instituto Distrital de Patrimonio Cultural apoyando a la Asesoría Jurídica o quien haga sus veces, en la defensa judicial de los intereses patrimoniales de la entidad.</t>
  </si>
  <si>
    <t>Prestar servicios profesionales al Instituto Distrital de Patrimonio Cultural apoyando la aplicación de los lineamientos enmarcados en la Ley de Transparencia  y del Derecho de Acceso a la Información Pública.</t>
  </si>
  <si>
    <t>Prestar servicios de apoyo a la gestión al Instituto Distrital de Patrimonio Cultural brindando atención al público en temas relacionados con los trámites de solicitudes requeridas a la entidad.</t>
  </si>
  <si>
    <t>Prestar servicios profesionales al Instituto Distrital de Patrimonio Cultural apoyando la aplicación de la Política Pública Distrital de Servicio a la Ciudadanía y la implementación del Modelo de atención a la ciudadanía de la entidad.</t>
  </si>
  <si>
    <t>Prestar servicios profesionales al Instituto Distrital de Patrimonio Cultural orientando la implementación de la Ley de Transparencia y del Derecho de Acceso a la Información Pública y la Política Pública Distrital de Servicio a la Ciudadanía.</t>
  </si>
  <si>
    <t>Prestar servicios profesionales al Instituto Distrital de Patrimonio Cultural para apoyar las actividades relacionadas con el SDQS y la atención de PQRS de la entidad.</t>
  </si>
  <si>
    <t>PLAN DE ACCIÓN PRESUPUESTO DE INVERSIÓN 2019</t>
  </si>
  <si>
    <t>Meta Entidad 2019</t>
  </si>
  <si>
    <t>PLAN DE ACCION PRESUPUESTO DE INVERSION 2019</t>
  </si>
  <si>
    <t xml:space="preserve">Subdirectora de Divulgación y Apropiación del Patrimonio  </t>
  </si>
  <si>
    <t>Subdirector Operativo- Subdirección de Gestión Corporativa</t>
  </si>
  <si>
    <t>Formular y adoptar 0,15 del Plan Especial de Manejo y Protección del Centro Histórico</t>
  </si>
  <si>
    <t>Formular y adoptar 1 instrumento de financiamiento para la recuperación y sostenibilidad del patrimonio
cultural.</t>
  </si>
  <si>
    <t>Subdirectora Técnica- Subdirección de Gestión Territorial</t>
  </si>
  <si>
    <t>Subdirectora Técnica- Subdirección de Protección e Intervención del Patrimonio</t>
  </si>
  <si>
    <t xml:space="preserve">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</si>
  <si>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Prestar servicios profesionales al Instituto Distrital de Patrimonio Cultural en las actividades relacionadas con la propuesta de norma e instrumentos del Plan Especial de Manejo y Protección -PEMP- del Centro Histórico de Bogotá D.C.</t>
  </si>
  <si>
    <t>Prestar servicios profesionales al Instituto Distrital de Patrimonio Cultural para la consolidación de la propuesta de norma e instrumentos del Plan Especial de Manejo y Protección -PEMP- del Centro Histórico de Bogotá D.C., y otros proyectos asociados.</t>
  </si>
  <si>
    <t xml:space="preserve">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</si>
  <si>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orientar el direccionamiento estratégico del Plan Especial de Manejo y Protección -PEMP- del Centro Histórico de Bogotá D.C.</t>
  </si>
  <si>
    <t xml:space="preserve">Prestar servicios profesionales al Instituto Distrital de Patrimonio Cultural para apoyar la formulación de los aspectos administrativos y de gobernanza en el marco del modelo de gestión del Plan Especial de Manejo y Protección -PEMP- del Centro Histórico de Bogotá D.C. </t>
  </si>
  <si>
    <t>Prestar servicios profesionales al Instituto Distrital de Patrimonio Cultural para apoyar las acciones requeridas para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</si>
  <si>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apoyando la consolidación de la propuesta para la norma urbana patrimonial del Plan Especial de Manejo y Protección -PEMP- del Centro Histórico de Bogotá D.C y otros proyectos. </t>
  </si>
  <si>
    <t>Prestar servicios profesionales al Instituto Distrital de Patrimonio Cultural para apoyar las acciones requeridas para el desarrollo de la propuesta de norma urbana e instrumentos del Plan Especial de Manejo y Protección -PEMP- del Centro Histórico de Bogotá D.C.</t>
  </si>
  <si>
    <t>Prestar servicios de apoyo a la gestión al Instituto Distrital de Patrimonio Cultural para apoyar las acciones requeridas en la consolidación de la propuesta normativa del Plan Especial de Manejo y Protección -PEMP- del Centro Histórico de Bogotá D.C.</t>
  </si>
  <si>
    <t xml:space="preserve">Prestar servicios profesionales al Instituto Distrital de Patrimonio Cultural para formular y desarrollar insumos relacionados con el direccionamiento estratégico del Plan Especial de Manejo y Protección -PEMP- del Centro Histórico de Bogotá D.C y otros proyectos asociados.  </t>
  </si>
  <si>
    <t>Prestar servicios profesionales al Instituto Distrital de Patrimonio Cultural para ejecutar insumos urbano arquitectónicos de proyectos y de las intervenciones integrales del Plan Especial de Manejo y Protección -PEMP- del Centro Histórico de Bogotá D.C. a partir de la consolidación de la formulación del mismo.</t>
  </si>
  <si>
    <t xml:space="preserve">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</si>
  <si>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Prestar servicios profesionales al Instituto Distrital de Patrimonio Cultural para ejecutar  insumos urbano-territoriales en la formulación de proyectos y del Plan Especial de Manejo y Protección -PEMP- del Centro Histórico de Bogotá D.C, a partir de la consolidación de la formulación del mismo. </t>
  </si>
  <si>
    <t>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t>
  </si>
  <si>
    <t>Prestar servicios profesionales al Instituto Distrital de Patrimonio Cultural para adelantar la modelación de escenarios de accesibilidad y movilidad para planes y proyectos del Instituto.</t>
  </si>
  <si>
    <t xml:space="preserve">Prestar servicios profesionales al Instituto Distrital de Patrimonio Cultural en la ejecución de insumos documentales para la consolidación de la valoración e inventario de los bienes del patrimonio cultural inmueble del Plan Especial de Manejo y Protección- PEMP- del Centro Histórico de Bogotá D.C.  </t>
  </si>
  <si>
    <t>Prestar servicios profesionales al Instituto Distrital de Patrimonio Cultural para apoyar las actividades de revisión, verificación y consolidación de las fichas del inventario y valoración del patrimonio cultural inmueble en el marco del Plan Especial de Manejo y Protección- PEMP- del Centro Histórico de Bogotá D.C.</t>
  </si>
  <si>
    <t>Prestar servicios profesionales al Instituto Distrital de Patrimonio Cultural para apoyar las actividades de seguimiento y ajustes al inventario y valoración del patrimonio cultural inmueble en el marco del Plan Especial de Manejo y Protección- PEMP- del Centro Histórico de Bogotá D.C.</t>
  </si>
  <si>
    <t>Prestar servicios profesionales al Instituto Distrital de Patrimonio Cultural en la orientación de la gestión de los programas, planes, proyectos e intervenciones integrales del Plan Especial de Manejo y Protección -PEMP- del Centro Histórico de Bogotá D.C., y otros proyectos.</t>
  </si>
  <si>
    <t>Prestar servicios profesionales al Instituto Distrital de Patrimonio Cultural en el direccionamiento de proyectos e intervenciones integrales   del Plan Especial de Manejo y Protección -PEMP- del Centro Histórico de Bogotá D.C.</t>
  </si>
  <si>
    <t xml:space="preserve">Prestar servicios profesionales al Instituto Distrital de Patrimonio Cultural para realizar una propuesta de estructura legal e institucional del modelo de gestión del Plan Especial de Manejo y Protección -PEMP- del Centro Histórico de Bogotá D.C. </t>
  </si>
  <si>
    <t>Prestar servicios profesionales al Instituto Distrital de Patrimonio Cultural en el direccionamiento de norma e instrumentos del Plan Especial de Manejo y Protección -PEMP- del Centro Histórico de Bogotá D.C.</t>
  </si>
  <si>
    <t xml:space="preserve"> Prestar servicios profesionales al Instituto Distrital de Patrimonio Cultural para realizar insumos arquitectonicos y de espacialización de proyectos en la formulación de proyectos y del Plan Especial de Manejo y Protección -PEMP- del Centro Histórico de Bogotá D.C, a partir de la consolidación de la formulación del mismo. </t>
  </si>
  <si>
    <t xml:space="preserve">Prestar servicios profesionales al Instituto Distrital de Patrimonio Cultural para apoyar la producción de insumos técnicos relacionados con el direccionamiento estratégico del Plan Especial de Manejo y Protección -PEMP- del Centro Histórico de Bogotá D.C y otros proyectos asociados.  </t>
  </si>
  <si>
    <t xml:space="preserve">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</si>
  <si>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t>
  </si>
  <si>
    <t>Prestar servicios profesionales al Instituto Distrital de Patrimonio Cultural para apoyar la propuesta normativa y de instrumentos derivados del Plan Especial de Manejo y Protección -PEMP- del Centro Histórico de Bogotá D.C.</t>
  </si>
  <si>
    <t>Prestar servicios profesionales al Instituto Distrital de Patrimonio Cultural para apoyar la consolidación de la propuesta normativa y de instrumentos derivados del Plan Especial de Manejo y Protección -PEMP- del Centro Histórico de Bogotá D.C., y otros proyectos.</t>
  </si>
  <si>
    <t>Prestar servicios profesionales al Instituto Distrital de Patrimonio Cultural para avanzar en el desarrollo normativo y de instrumentos del componente patrimonial del Plan Especial de Manejo y Protección -PEMP- del Centro Histórico de Bogotá D.C.</t>
  </si>
  <si>
    <t>Prestar servicios profesionales al Instituto Distrital de Patrimonio Cultural para la consolidación del desarrollo normativo y de instrumentos del componente patrimonial del Plan Especial de Manejo y Protección -PEMP- del Centro Histórico de Bogotá D.C., y otros proyectos.</t>
  </si>
  <si>
    <t xml:space="preserve">Prestar servicios profesionales al Instituto Distrital de Patrimonio Cultural para apoyar la orientación y desarrollo del proceso de participación ciudadana y divulgación del Plan Especial de Manejo y Protección (PEMP) del Centro Histórico de Bogotá D.C y otros proyectos. </t>
  </si>
  <si>
    <t xml:space="preserve">Prestar servicios profesionales al Instituto Distrital de Patrimonio Cultural para realizar  insumos en el componente ambiental en la formulación de proyectos del Instituto. </t>
  </si>
  <si>
    <t xml:space="preserve">Prestar servicios profesionales al Instituto Distrital de Patrimonio Cultural en el desarrollo de insumos urbano arquitectonicos para los planes, programas y proyectos del Instituto. </t>
  </si>
  <si>
    <t xml:space="preserve">Prestar servicios profesionales al Instituto Distrital de Patrimonio Cultural  para formular y desarrollar insumos relacionados con la gestión de los programas, planes, proyectos e intervenciones integrales del Instituto. </t>
  </si>
  <si>
    <t xml:space="preserve">Prestar servicios profesionales al Instituto Distrital de Patrimonio Cultural para elaborar insumos en el componente de innovación en la formulación de proyectos del Instituto. </t>
  </si>
  <si>
    <t>Prestar servicios de apoyo a la gestión del Instituto Distrital de Patrimonio Cultural en la producción de insumos documentales relacionados con los planes y proyectos del Instituto.</t>
  </si>
  <si>
    <t xml:space="preserve">Prestar servicios profesionales al Instituto Distrital de Patrimonio Cultural para desarrollar actividades técnicas y operativas de los planes, programas y proyectos del instituto. </t>
  </si>
  <si>
    <t xml:space="preserve">Prestar servicios profesionales al Instituto Distrital de Patrimonio Cultural para realizar insumos en el componente de accesibilidad y movilidad en la formulación  de proyectos del Instituto. </t>
  </si>
  <si>
    <t xml:space="preserve">Prestar servicios profesionales al Instituto Distrital de Patrimonio Cultural para apoyar las actividades técnicas y administrativas de los planes, programas y proyectos del Instituto. </t>
  </si>
  <si>
    <t>Prestar servicios profesionales al Instituto Distrital de Patrimonio Cultural en la consolidación normativa y arquitectónica de la propuesta de espacio público para el Plan Especial de Manejo y Protección -PEMP- del Centro Histórico de Bogotá D.C y otros proyectos.</t>
  </si>
  <si>
    <t xml:space="preserve">Prestar servicios profesionales al Instituto Distrital de Patrimonio Cultural para elaborar insumos en el componente habitacional en la formulación  de proyectos del Instituto. </t>
  </si>
  <si>
    <t xml:space="preserve">Prestar servicios profesionales al Instituto Distrital de Patrimonio Cultural para orientar el direccionamiento estratégico de los planes, programas y proyectos del Instituto. </t>
  </si>
  <si>
    <t xml:space="preserve">Prestar servicios profesionales al Instituto Distrital de Patrimonio Cultural para orientar y desarrollar estrategias, programas y proyectos en el marco de la aplicación de instrumentos de financiación y gestión  para la recuperación de los sectores y Bienes de Interés Cultural en el Distrito Capital. </t>
  </si>
  <si>
    <t>Prestar servicios profesionales al Instituto Distrital de Patrimonio Cultural para apoyar el desarrollo de insumos y actividades relacionadas con las estrategias, programas y proyectos en el marco de la aplicación de instrumentos de financiación y gestión  para la recuperación de los sectores y Bienes de Interés Cultural en el Distrito Capital</t>
  </si>
  <si>
    <t xml:space="preserve">Prestar servicios profesionales al Instituto Distrital de Patrimonio Cultural para ejecutar  actividades relacionadas con las estrategias, programas y proyectos en el marco de la aplicación de instrumentos de financiación y gestión para la recuperación de los sectores y Bienes de Interés Cultural en el Distrito Capital. </t>
  </si>
  <si>
    <t>Meta Plan de Desarrollo 2016-2020</t>
  </si>
  <si>
    <t>Realizar la consultoría para elaborar los estudios técnicos, jurídicos, financieros y diseños definitivos para la construcción de las Galerías comerciales del edificio Liévano primera planta colindante con la carrera 8 entre calle 10 y calle 11.</t>
  </si>
  <si>
    <t>Ejecutar bajo la modalidad de precios unitarios los primeros auxilios del inmueble denominado Casa Cadel.</t>
  </si>
  <si>
    <t>Ejecutar bajo la modalidad de precios unitarios los primeros auxilios del inmueble ubicado en la Calle 12b N. 3 - 07, denominado "Casa Colorada".</t>
  </si>
  <si>
    <t>Prestar servicios profesionales de apoyo a la supervisión al proyecto de primeros auxilios del inmueble denominado Casa Colorada.</t>
  </si>
  <si>
    <t>Realizar los estudios y propuesta para los primeros auxilios, el apuntalamiento y sobre cubierta requerida para el inmueble ubicado en la Calle 12b N. 3 - 07, denominado "Casa Colorada".</t>
  </si>
  <si>
    <t xml:space="preserve">Ejecutar bajo la modalidad de precios unitarios fijos las obras en la Fachada de la Plaza de Toros la Santamaría, en la ciudad de Bogotá D.C. </t>
  </si>
  <si>
    <t>Pago de trámites y documentación inherente al Proyecto de Intervención en la fachada de la Plaza de Toros La Santamaría.</t>
  </si>
  <si>
    <t>Realizar la interventoría integral de la obra que tiene por objeto "Ejecutar bajo la modalidad de precios unitarios fijos las obras en la Fachada de la Plaza de Toros la Santamaría, en la ciudad de Bogotá D.C. "</t>
  </si>
  <si>
    <t>Ejecutar bajo la modalidad de precios unitarios la obra de intervención de la del inmueble ubicado en la Calle 12 B N° 2-91 denominado Casa Tito.</t>
  </si>
  <si>
    <t>Pago de expensas con cargo variable para la Licencia de Construcción del predio denominado Casa Tito</t>
  </si>
  <si>
    <t>Realizar la interventoría integral de la obra cuyo objeto es: "Ejecutar bajo la modalidad de precios unitarios la obra de intervención de la del inmueble ubicado en la Calle 12 B N° 2-91 denominado Casa Tito."</t>
  </si>
  <si>
    <t>Ejecutar bajo la modalidad de precios unitarios fijos las obras requeridas para el inmueble ubicado en la Calle 12B No. 2-58, denominado Casa Genoveva en la ciudad de Bogotá, D. C.</t>
  </si>
  <si>
    <t>Pago de expensas con cargo variable para la modificación de la Licencia de Construcción del predio Calle 12b N° 2-58, denominado Sede Principal o Casa Genoveva en la ciudad de Bogotá, D. C.</t>
  </si>
  <si>
    <t>Realizar la interventoría integral de la obra cuyo objeto es: "Ejecutar bajo la modalidad de precios unitarios fijos las obras requeridas para el inmueble ubicado en la Calle 12B No. 2-58, denominado Casa Genoveva en la ciudad de Bogotá, D. C."</t>
  </si>
  <si>
    <t>Valor presupuestado para adelantar un traslado presupuestal al rubro Pasivos Exigibles por concepto del saldo a favor del Convenio Interadministrativo No. 363 de 2017 suscrito con la Universidad Nacional.</t>
  </si>
  <si>
    <t>Realizar los estudios y diseños para la intervención integral de bienes muebles-inmuebles en el espacio público de la ciudad de Bogotá, D.C.</t>
  </si>
  <si>
    <t>Ejecución de obras requeridas en el monumento Banderas en la ciudad de Bogotá, D.C.</t>
  </si>
  <si>
    <t>Realizar el proyecto eléctrico y de iluminación para el monumento Simón Bolívar ubicado en la Plaza de Bolívar.</t>
  </si>
  <si>
    <t>Ejecución de obras de primeros auxilios requeridas en el monumento a Los Héroes en la ciudad de Bogotá, D.C.</t>
  </si>
  <si>
    <t>Prestar servicios de apoyo a la gestión al Instituto Distrital de Patrimonio Cultural para la correcta ejecución de las intervenciones adelantadas sobre bienes muebles en espacio público, de acuerdo con la programación establecida.</t>
  </si>
  <si>
    <t>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</si>
  <si>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Prestar servicios profesionales al Instituto Distrital de Patrimonio Cultural para acompañar el seguimiento a las acciones de intervención de los bienes muebles - inmuebles en el espacio público y colecciones públicas de la ciudad de Bogotá. D.C.</t>
  </si>
  <si>
    <t xml:space="preserve">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</si>
  <si>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Prestar servicios profesionales al Instituto Distrital de Patrimonio Cultural para apoyar el seguimiento técnico en sitio de las intervenciones adelantadas sobre bienes muebles en espacio público de Bogotá D.C.</t>
  </si>
  <si>
    <t>Prestar servicios profesionales al Instituto Distrital de Patrimonio Cultural para apoyar la gestión del Grupo de Bienes Muebles en las actividades relacionadas con la intervención y conservación de patrimonio mueble ubicado en el espación público de Bogotá, en especial bajo el Programa Adopta un Monumento de la entidad.</t>
  </si>
  <si>
    <t>Prestar servicios profesionales al Instituto Distrital de Patrimonio Cultural para orientar y realizar el fomento y seguimiento de las acciones de administración, mantenimiento, conservación y restauración de los bienes muebles de la ciudad de Bogotá. D.C.</t>
  </si>
  <si>
    <t>Prestar servicios profesionales al Instituto Distrital de Patrimonio Cultural para orientar, guiar y realizar el seguimiento técnico de las intervenciones adelantadas por la entidad en Bienes Muebles ubicados en el espacio público de Bogotá D.C.</t>
  </si>
  <si>
    <t>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</si>
  <si>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Suministro de productos químicos e insumos especiales requeridos para las intervenciones técnicas que se realizan sobre los Bienes de Interés Cultural muebles e inmuebles en la ciudad de Bogotá D.C.</t>
  </si>
  <si>
    <t>Realizar la intervención y mantenimiento de las Fachadas de las Iglesias Sanfrancisco, Egipto y Candelaria en la ciudad de Bogotá.</t>
  </si>
  <si>
    <t>Realizar la interventoría integral para la intervención y mantenimiento de las Fachadas de las Iglesias Sanfrancisco, Egipto y Candelaria en la ciudad de Bogotá.</t>
  </si>
  <si>
    <t>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t>
  </si>
  <si>
    <t>Prestar servicios profesionales al Instituto Distrital de Patrimonio Cultural para apoyar la elaboración de insumos cartográficos y alfanuméricos para el Sistema de Información Geográfica -SIG_PC-.</t>
  </si>
  <si>
    <t>Prestar servicios profesionales al Instituto Distrital de Patrimonio Cultural para apoyar la puesta en marcha del Modelo de Participación Ciudadana y Control Social de la entidad.</t>
  </si>
  <si>
    <t>Prestar servicios profesionales al Instituto Distrital de Patrimonio Cultural para la implementación  y el fortalecimiento del Sistema de Información Geográfica - SIGPC, en la entidad</t>
  </si>
  <si>
    <t>Prestar servicios profesionales al Instituto Distrital de Patrimonio Cultural apoyando el soporte técnico del Sistema de Información Geográfico relacionado con la evaluación de solicitudes de intervención en Bienes de Interés Cultural y el desarrollo de proyectos urbanos.</t>
  </si>
  <si>
    <t>Prestar servicios profesionales al IDPC, para apoyar  las actividades relacionadas con el componente urbano y de espacio público de los planes, programas y proyectos, de conformidad con las competencias del IDPC.</t>
  </si>
  <si>
    <t>Prestar servicios profesionales al Instituto Distrital de Patrimonio Cultural, IDPC, para desarrollar actividades de gestión, formulación, evaluación y seguimiento de los planes, programas y proyectos relacionados con los instrumentos normativos y de planeamiento territorial, así como aquellos dirigidos a la protección de los bienes o sectores de interés cultural de la ciudad de Bogotá (PEMP), de conformidad con sus competencias.</t>
  </si>
  <si>
    <t>Prestar servicios profesionales al IDPC apoyando la generación de insumos técnicos para el componente de espacio público, de conformidad con las competencias del IDPC.</t>
  </si>
  <si>
    <t>Saldo componente</t>
  </si>
  <si>
    <t>Prestar sus servicios profesionales al Instituto Distrital de Patrimonio Cultural en la estructuración del componente administrativo y en particular de las condiciones de manejo jurídico normativo del Plan Especial de Manejo y Protección -PEMP- Centro Histórico de Bogotá D.C.</t>
  </si>
  <si>
    <t xml:space="preserve">Prestar servicios profesionales al Instituto Distrital de Patrimonio Cultural en la elaboración de los productos relacionados con los programas, planes, proyectos e intervenciones integrales del Instituto. </t>
  </si>
  <si>
    <t>Prestar servicios al Instituto Distrital de Patrimonio Cultural para apoyar en la elaboración de insumos técnicos para los proyectos de la entidad.</t>
  </si>
  <si>
    <t>Nº CÓD. CONTROL</t>
  </si>
  <si>
    <t>Nº Cód. Control</t>
  </si>
  <si>
    <t>SARA BEATRIZ ACUÑA GOMEZ</t>
  </si>
  <si>
    <t>PAULA ANDREA ÁVILA ESPINEL</t>
  </si>
  <si>
    <t>YANETH  MORA HERNANDEZ</t>
  </si>
  <si>
    <t>DIANA  PEDRAZA RINCON</t>
  </si>
  <si>
    <t>FABIO ALBERTO LOPEZ SUAREZ</t>
  </si>
  <si>
    <t>Servicios públicos</t>
  </si>
  <si>
    <t>CARLOS GUILLERMO VALENCIA MALDONADO</t>
  </si>
  <si>
    <t>FERNANDO  SANCHEZ SABOGAL</t>
  </si>
  <si>
    <t>JOSE NICOLAS MARTINEZ ARENAS</t>
  </si>
  <si>
    <t>ANGYE CATERYNN PEÑA VARON</t>
  </si>
  <si>
    <t>CESAR FERSEN ANDERY PADILLA RODRIGUEZ</t>
  </si>
  <si>
    <t>SANTIAGO  URREGO GARAY</t>
  </si>
  <si>
    <t>JOSE LUIS ORTIZ CARDENAS</t>
  </si>
  <si>
    <t>JORGE LEONARDO TORRES ROMERO</t>
  </si>
  <si>
    <t>giovanny francisco lopez perez</t>
  </si>
  <si>
    <t>HELENA MARIA FERNANDEZ SARMIENTO</t>
  </si>
  <si>
    <t>MARTHA LILIANA TRIGOS PICON</t>
  </si>
  <si>
    <t>JAIR ALEJANDRO ALVARADO SOTO</t>
  </si>
  <si>
    <t>DIEGO ANTONIO RODRIGUEZ CARRILLO</t>
  </si>
  <si>
    <t>RODOLFO ANTONIO PARRA RODRIGUEZ</t>
  </si>
  <si>
    <t>LAURA KATHERINE PEREZ ALMANZA</t>
  </si>
  <si>
    <t>GIOVANNY ANDRES CUBILLOS MORENO</t>
  </si>
  <si>
    <t>OSCAR JAVIER MARTINEZ REYES</t>
  </si>
  <si>
    <t>WILSON ORLANDO DAZA MONTAÑO</t>
  </si>
  <si>
    <t>NUBIA ALEXANDRA CORTES REINA</t>
  </si>
  <si>
    <t>LEONEL  SERRATO VASQUEZ</t>
  </si>
  <si>
    <t>LAURA RENNEE DEL PINO BUSTOS</t>
  </si>
  <si>
    <t>ANGELA MARIA RUIZ ARAQUE</t>
  </si>
  <si>
    <t>PABLO ANDRES ANGEL PEREZ</t>
  </si>
  <si>
    <t>JULIANA ANDREA SANCHEZ RODRIGUEZ</t>
  </si>
  <si>
    <t>ALVARO IVAN SALAZAR DAZA</t>
  </si>
  <si>
    <t>WINER ENRIQUE MARTINEZ CUADRADO</t>
  </si>
  <si>
    <t>JUAN PABLO LOPEZ PENAGOS</t>
  </si>
  <si>
    <t>EDGAR ANDRES FIGUEROA VICTORIA</t>
  </si>
  <si>
    <t>NATALIA  ORTEGA RENGIFO</t>
  </si>
  <si>
    <t>LIZETH PAOLA LOPEZ BARRERA</t>
  </si>
  <si>
    <t>PAULA ANDREA AYALA BARON</t>
  </si>
  <si>
    <t>CAROLINA  ORTIZ PEDRAZA</t>
  </si>
  <si>
    <t>Karem Lizette Cespedes Hernandez</t>
  </si>
  <si>
    <t>JULIETH GEORYANNA RODRIGUEZ JAIMES</t>
  </si>
  <si>
    <t>OSCAR JAVIER BECERRA MORA</t>
  </si>
  <si>
    <t>ANDRES JULIAN JIMENEZ DURAN</t>
  </si>
  <si>
    <t>ARMANDO  LOZANO REYES</t>
  </si>
  <si>
    <t>SANDRA JINNETH SABOGAL BERNAL</t>
  </si>
  <si>
    <t>LIDA CONSTANZA MEDRANO RINCON</t>
  </si>
  <si>
    <t>CHALOT  GAVIRIA VELANDIA</t>
  </si>
  <si>
    <t>MELVA SAHIDY PASTRANA MORALES</t>
  </si>
  <si>
    <t>FRANK ADRIANO AGUIRRE SALAMANCA</t>
  </si>
  <si>
    <t>SANDRA MILENA FORERO BALLESTEROS</t>
  </si>
  <si>
    <t>jhon edwin morales herrera</t>
  </si>
  <si>
    <t>ANDRES IVAN ALBARRACIN SALAMANCA</t>
  </si>
  <si>
    <t>ALEJANDRO  MENDOZA JARAMILLO</t>
  </si>
  <si>
    <t>MARILUZ  LOAIZA CANTOR</t>
  </si>
  <si>
    <t>JUAN SEBASTIAN ORTIZ ROJAS</t>
  </si>
  <si>
    <t>KAREN ROCIO FORERO GARAVITO</t>
  </si>
  <si>
    <t>SANDRA PATRICIA MENDOZA VARGAS</t>
  </si>
  <si>
    <t>JONATHAN  OLARTE GUANA</t>
  </si>
  <si>
    <t>JAVIER ENRIQUE MOTTA MORALES</t>
  </si>
  <si>
    <t>ANDREA VIVIANA BRITO</t>
  </si>
  <si>
    <t>INGRID JOHANA PARADA MENDIVELSO</t>
  </si>
  <si>
    <t>OSWALDO JAVIER URREGO VARGAS</t>
  </si>
  <si>
    <t>ARIEL RODRIGO FERNANDEZ BACA</t>
  </si>
  <si>
    <t>LUZ MERY BOLIVAR RINCON</t>
  </si>
  <si>
    <t>MARIBEL  CHARRY DIAZ</t>
  </si>
  <si>
    <t>ANA MARIA MONTOYA CORREA</t>
  </si>
  <si>
    <t>PAOLA RENATA BARRAGAN ZAMORA</t>
  </si>
  <si>
    <t>juan sebastian robayo castillo</t>
  </si>
  <si>
    <t>DIEGO JAVIER PARRA CORTES</t>
  </si>
  <si>
    <t>Angie Lizeth Murillo Pineda</t>
  </si>
  <si>
    <t>HELLEN  QUIROGA MORA</t>
  </si>
  <si>
    <t>207b</t>
  </si>
  <si>
    <t>Prestar servicios de apoyo a la gestión del Instituto Distrital de Patrimonio Cultural en la producción de insumos documentales relacionados con los planes y proyectos del Instituto, en particular del Plan Especial de Manejo y Protección -PEMP- del Centro Histórico de Bogotá D.C.</t>
  </si>
  <si>
    <t>PROYECTO1024 FORMACION EN CATEDRA DE PATRIMONIO CULTURAL</t>
  </si>
  <si>
    <t>COMPONENTE</t>
  </si>
  <si>
    <t>APROPIACION</t>
  </si>
  <si>
    <t>PAGOS</t>
  </si>
  <si>
    <t>AVANCE CDP</t>
  </si>
  <si>
    <t>AVANCE RP</t>
  </si>
  <si>
    <t>AVANCE PAGOS</t>
  </si>
  <si>
    <t>Formacion a docentes</t>
  </si>
  <si>
    <t>Sistematizacion de la experiencia</t>
  </si>
  <si>
    <t>TOTAL PROYECTO</t>
  </si>
  <si>
    <t>PMR</t>
  </si>
  <si>
    <t>PROYECTO 1107 DIVULGACION Y APROPIACION DEL PATRIMONIO CULTURAL DEL DISTRITO CAPITAL</t>
  </si>
  <si>
    <t>13. Oferta cultural para la valoración y divulgación del patrimonio material e  inmaterial de la ciud</t>
  </si>
  <si>
    <t>PROYECTO 1110 FORTALECIMIENTO Y DESARROLLO EN LA GESTION INSTITUCIONAL</t>
  </si>
  <si>
    <t>PROYECTO 1112 INSTRUMENTOS DE PLANEACIÓN Y GESTIÓN PARA LA PRESERVACIÓN Y SOSTENIBILIDAD DEL PATRIMONIO CULTURAL</t>
  </si>
  <si>
    <t>PROYECTO 1114 INTERVENCIÓN Y CONSERVACION DE LOS BIENES MUEBLES E INMUEBLES EN SECTORES DE INTERES CULTURAL DEL DISTRITO CAPITAL</t>
  </si>
  <si>
    <t>Plaza La Santamaría</t>
  </si>
  <si>
    <t>Plaza de Mercado de la Concordia</t>
  </si>
  <si>
    <t>PROYECTO</t>
  </si>
  <si>
    <t>COMPROMETIDO</t>
  </si>
  <si>
    <t>AVANCE</t>
  </si>
  <si>
    <t>TOTAL</t>
  </si>
  <si>
    <t>GASTOS DE FUNCIONAMIENTO</t>
  </si>
  <si>
    <t>NOMBRE</t>
  </si>
  <si>
    <t>TOTAL GASTOS DE FUNCIONAMIENTO</t>
  </si>
  <si>
    <t>Estímulos a iniciativas de la ciudadanía en temas de patrimonio cultural</t>
  </si>
  <si>
    <t>Personal de apoyo transversal en la gestión institucional</t>
  </si>
  <si>
    <t>Desarrollar actividades de comunicación e
información</t>
  </si>
  <si>
    <t>Adecuación y sostenibilidad del Sistema Integrado de Gestión Distrital, bajo el estándar del Modelo Integrado de Planeación y Gestión</t>
  </si>
  <si>
    <t>Instrumentos de gestión, financiación e incentivos para la recuperación y sostenibilidad del patrimonio cultural</t>
  </si>
  <si>
    <t>RESUMEN PRESUPUESTO 2019 COMPROMETIDO</t>
  </si>
  <si>
    <t>Basílica Menor Iglesia Voto Nacional</t>
  </si>
  <si>
    <t>Casa Cadel</t>
  </si>
  <si>
    <t>Casa Colorada</t>
  </si>
  <si>
    <t>Sede Principal o Casa Genoveva</t>
  </si>
  <si>
    <t>Sede Casa Tito</t>
  </si>
  <si>
    <t>Galerias Líevano</t>
  </si>
  <si>
    <t>Concejo de Bogotá</t>
  </si>
  <si>
    <t>Asesoría técnica para la protección y promoción del patrimonio cultural material del Distrito Capital</t>
  </si>
  <si>
    <t>Estudios y diseños para la intervención integral de bienes muebles</t>
  </si>
  <si>
    <t>Monumento a Los Héroes</t>
  </si>
  <si>
    <t>Monumento Banderas</t>
  </si>
  <si>
    <t>Simón Bolívar ubicado en la Plaza de Bolívar-Iluminación</t>
  </si>
  <si>
    <t>Intervención y Protección en Monumentos</t>
  </si>
  <si>
    <t>Pasivos Exigibles</t>
  </si>
  <si>
    <t>Intervención y mantenimiento de las Fachadas de las Iglesias San Francisco, Egipto y Candelaria</t>
  </si>
  <si>
    <t>GASTOS DE PERSONAL</t>
  </si>
  <si>
    <t>GASTOS GENERALES</t>
  </si>
  <si>
    <t xml:space="preserve">TOTAL GASTOS </t>
  </si>
  <si>
    <t>TABLERO DE CONTROL PROYECTOS DE INVERSION 2019</t>
  </si>
  <si>
    <t>ARL POSITIVA</t>
  </si>
  <si>
    <t>SARA LUCIA GOMEZ MACHADO</t>
  </si>
  <si>
    <t>ANGELA MARIA CADENA GOMEZ</t>
  </si>
  <si>
    <t>INSTITUTO DISTRITAL DE PATRIMONIO CULTURAL</t>
  </si>
  <si>
    <t>CAMILO  CASAS ABRIL</t>
  </si>
  <si>
    <t>ANA CECILIA ESCOBAR RAMIREZ</t>
  </si>
  <si>
    <t>LIDA ROCIO ROA MONSALVE</t>
  </si>
  <si>
    <t>VANESSA  GONZALEZ VEJOLLIN</t>
  </si>
  <si>
    <t>NURY YENSSY BOHORQUEZ SANCEHZ</t>
  </si>
  <si>
    <t>JENNY LORENA BOHORQUEZ MORENO</t>
  </si>
  <si>
    <t>YENNY  SANCHEZ</t>
  </si>
  <si>
    <t>Premio Dibujatón: Ilustra el patrimonio de Bogotá.</t>
  </si>
  <si>
    <t xml:space="preserve">Premio de Fotografía Ciudad de Bogotá </t>
  </si>
  <si>
    <t xml:space="preserve">Beca nuevas tecnologías para la apropiación del Patrimonio Cultural de Bogotá.               </t>
  </si>
  <si>
    <t xml:space="preserve">Beca para la visibilización de los saberes y prácticas de mujeres portadoras de Patrimonio Cultural Inmaterial en Bogotá    </t>
  </si>
  <si>
    <t>Beca de apropiación del Patrimonio Cultural para población con discapacidad sensorial.</t>
  </si>
  <si>
    <t xml:space="preserve">Beca de investigación sobre el comercio tradicional en el centro histórico de Bogotá          </t>
  </si>
  <si>
    <t xml:space="preserve">Beca de investigación histórica sobre un barrio de Bogotá                                          </t>
  </si>
  <si>
    <t xml:space="preserve">Beca de investigación y divulgación de una colección de bienes muebles en Bogotá                                         </t>
  </si>
  <si>
    <t xml:space="preserve">Beca Patrimonios Locales: salvaguardia del Patrimonio Cultural Inmaterial de Bogotá.                                         </t>
  </si>
  <si>
    <t>ANGIE MILENA MORALES MAURY</t>
  </si>
  <si>
    <t>BIBIANA  CASTRO RAMIREZ</t>
  </si>
  <si>
    <t>DIANA CAROLINA RUA RANGEL</t>
  </si>
  <si>
    <t>JORGE ELKIN BUITRAGO ARENAS</t>
  </si>
  <si>
    <t>XIMENA PAOLA BERNAL CASTILLO</t>
  </si>
  <si>
    <t>SONIA ESPERANZA CUARTAS BECERRA</t>
  </si>
  <si>
    <t>WILSON  PACHECO GUTIERREZ</t>
  </si>
  <si>
    <t>gustavo alfredo bueno rojas</t>
  </si>
  <si>
    <t>NUBIA NAYIBE VELASCO CALVO</t>
  </si>
  <si>
    <t>DIANA PAOLA GAITAN MARTINEZ</t>
  </si>
  <si>
    <t>LEONARDO  OCHICA SALAMANCA</t>
  </si>
  <si>
    <t>GIOVANY ANDRE ALFONSO FORERO</t>
  </si>
  <si>
    <t>EDGARD FRANCISCO GUERRERO GIRALDO</t>
  </si>
  <si>
    <t>FABIAN ELIECER CERVERA LINARES</t>
  </si>
  <si>
    <t>CLEMENT GUILLAUME ROUX</t>
  </si>
  <si>
    <t>MONICA ANGEL LASCAR</t>
  </si>
  <si>
    <t>MELISSA  SOLORZANO TORO</t>
  </si>
  <si>
    <t>MIGUEL ANTONIO RODRIGUEZ SILVA</t>
  </si>
  <si>
    <t>WALTER MAURICIO MARTINEZ ROSAS</t>
  </si>
  <si>
    <t>MARIA ANTONIETA GARCIA RESTREPO</t>
  </si>
  <si>
    <t>IRENE CAROLINA CORREDOR ROJAS</t>
  </si>
  <si>
    <t>JOSE LEONARDO CRISTANCHO CASTAÑO</t>
  </si>
  <si>
    <t>MARIA CLARA MENDEZ ALVAREZ</t>
  </si>
  <si>
    <t>GLORIA ISABEL CARRILLO BUITRAGO</t>
  </si>
  <si>
    <t>Diana Marcela Gomez Bernal</t>
  </si>
  <si>
    <t>ANGEL ENRIQUE MARTINEZ RUIZ</t>
  </si>
  <si>
    <t>JUAN SEBASTIAN CARRANZA MONROY</t>
  </si>
  <si>
    <t>MARIA FARIDE PARDO SHAKER</t>
  </si>
  <si>
    <t>BONILLA RODRIGUEZ NATHALY ANDREA</t>
  </si>
  <si>
    <t xml:space="preserve"> Prestar servicios profesionales al Instituto Distrital de Patrimonio Cultural en las actividades relacionadas con el seguimiento y control de los planes, metas e indicadores de la Subdirección de Gestión Corporativa.</t>
  </si>
  <si>
    <t>MARY ELIZABETH ROJAS MUÑOZ</t>
  </si>
  <si>
    <t>LUIS CARLOS YUSTY TRUJILLO</t>
  </si>
  <si>
    <t>DEBORATH LUCIA GASCON OLARTE</t>
  </si>
  <si>
    <t>JAIBER ALFONSO SARMIENTO RUIZ</t>
  </si>
  <si>
    <t>MARIA ISABEL VANEGAS SILVA</t>
  </si>
  <si>
    <t>EDGAR ANDRES MONCADA RUBIO</t>
  </si>
  <si>
    <t>ANGELICA ESPERANZA ACUÑA HERNANDEZ</t>
  </si>
  <si>
    <t>CARLOS HERNANDO SANDOVAL MORA</t>
  </si>
  <si>
    <t>CHARLY ALEXANDER ROCIASCO MENDEZ</t>
  </si>
  <si>
    <t>CRISTIAN STEPH VELASQUEZ ALEJO</t>
  </si>
  <si>
    <t>DARIO FERDEY YAIMA TOCANCIPA</t>
  </si>
  <si>
    <t>LUZ MARINA ZAPATA FLOREZ</t>
  </si>
  <si>
    <t>MILLER ALEJANDRO CASTRO PEREZ</t>
  </si>
  <si>
    <t>NANCY  ZAMORA</t>
  </si>
  <si>
    <t>OMAR ALEXANDER PATIÑO PINEDA</t>
  </si>
  <si>
    <t>Oscar Fabian Uyaban Dueñas</t>
  </si>
  <si>
    <t>ADRIANA  BERNAO GUTIERREZ</t>
  </si>
  <si>
    <t>YURY ALEJANDRA QUINTERO CASTAÑO</t>
  </si>
  <si>
    <t>ANDERSON  MARTINEZ VAHOS</t>
  </si>
  <si>
    <t>JHON  GUAQUE</t>
  </si>
  <si>
    <t>ANDRES  CARDENAS VILLAMIL</t>
  </si>
  <si>
    <t>YULY ALEJANDRA MORALES TREJOS</t>
  </si>
  <si>
    <t>camilo andres moreno malagon</t>
  </si>
  <si>
    <t>MARIA CRISTINA SALINAS RUIZ</t>
  </si>
  <si>
    <t>MONICA  PALACIOS OVIEDO</t>
  </si>
  <si>
    <t>DANILO  SANCHEZ SUARIQUE</t>
  </si>
  <si>
    <t>DAVID ALEXANDER WILCHES FLOREZ</t>
  </si>
  <si>
    <t>DANIEL YIDID GRANADOS GELVES</t>
  </si>
  <si>
    <t>JUAN ANDRES POVEDA RIAÑO</t>
  </si>
  <si>
    <t>edwin alexander leon gonzalez</t>
  </si>
  <si>
    <t>EDWIN ARTURO RUIZ MORENO</t>
  </si>
  <si>
    <t>VICTORIA ANDREA MUÑOZ ORDOÑEZ</t>
  </si>
  <si>
    <t>GIOVANNA  MORALES AGUIRRE</t>
  </si>
  <si>
    <t>HELBERT MAURICIO GUZMAN MATIAS</t>
  </si>
  <si>
    <t>HELBER AURELIO SILVA LEGUIZAMON</t>
  </si>
  <si>
    <t>IRMA  CASTAÑEDA RAMIREZ</t>
  </si>
  <si>
    <t>JEIMMY SOLEY QUIROGA RAMIREZ</t>
  </si>
  <si>
    <t>JENNY GISELL QUEVEDO QUEVEDO</t>
  </si>
  <si>
    <t>JOSE ANTONIO RAMIREZ OROZCO</t>
  </si>
  <si>
    <t>JUAN CARLOS ALVARADO PEÑA</t>
  </si>
  <si>
    <t>KRISTHIAM ANDRES CARRIZOSA TRUJILLO</t>
  </si>
  <si>
    <t>LAURA FLAVIE ZIMMERMANN</t>
  </si>
  <si>
    <t>MAGALLY SUSANA MOREA PEÑA</t>
  </si>
  <si>
    <t>DIANA MARCELA RAMIREZ CASTILLO</t>
  </si>
  <si>
    <t>MARIELA  CAJAMARCA DIAZ</t>
  </si>
  <si>
    <t>NATALIA  TORRES GARZON</t>
  </si>
  <si>
    <t>NUBIA STELLA LIZARAZO SIERRA</t>
  </si>
  <si>
    <t>OLGA LUCIA VERGARA ARENAS</t>
  </si>
  <si>
    <t>ORLANDO  ARIAS CAICEDO</t>
  </si>
  <si>
    <t>LINA MARIA MORENO MALAGON</t>
  </si>
  <si>
    <t>RONALD  MORERA ESTEVEZ</t>
  </si>
  <si>
    <t>SANDRA PATRICIA PALACIOS ARCE</t>
  </si>
  <si>
    <t>SANDRA YANETH ROMO BENAVIDES</t>
  </si>
  <si>
    <t>VICTOR MANUEL ALFONSO MEDINA</t>
  </si>
  <si>
    <t>LEYSI YURANI GIRALDO MEDINA</t>
  </si>
  <si>
    <t>ALBERTO ANDRES GOMEZ MOSQUERA</t>
  </si>
  <si>
    <t>RAMON EDUARDO VILLAMIZAR MALDONADO</t>
  </si>
  <si>
    <t>ANGELA MARIA CASTRO CEPEDA</t>
  </si>
  <si>
    <t>GINNA MICHELL SUAREZ ALARCON</t>
  </si>
  <si>
    <t>EDNA CAMILA DEL CONSUELO ACERO TINOCO</t>
  </si>
  <si>
    <t>CATALINA MARGARITA MO NAGY PATIÑO</t>
  </si>
  <si>
    <t>HERNAN DAVID ALDANA CARRASCO</t>
  </si>
  <si>
    <t>VALENTIN ALEJANDRO URBINA PALMERA</t>
  </si>
  <si>
    <t>LAURA CRISTINA BALCAZAR DIAZ</t>
  </si>
  <si>
    <t>MARIA DEL PILAR ZAMBRANO GOMEZ</t>
  </si>
  <si>
    <t>YOLANDA  OVIEDO ROJAS</t>
  </si>
  <si>
    <t>MARIA CLAUDIA CARRIZOSA RICAURTE</t>
  </si>
  <si>
    <t>ALICIA VICTORIA BELLO DURAN</t>
  </si>
  <si>
    <t>CLAUDIA PATRICIA SILVA YEPES</t>
  </si>
  <si>
    <t>DAVID HUMBERTO DELGADO RODRIGUEZ</t>
  </si>
  <si>
    <t>ANDRES FELIPE VILLAMIL VILLAMIL</t>
  </si>
  <si>
    <t>JULIAN  VALENCIA SANTOYO</t>
  </si>
  <si>
    <t>DAVID ERNESTO ARIAS SILVA</t>
  </si>
  <si>
    <t>ALEXANDER  VALLEJO</t>
  </si>
  <si>
    <t>ROMY ERVIN GANOA</t>
  </si>
  <si>
    <t>JHOAN SEBASTIAN SANCHEZ</t>
  </si>
  <si>
    <t>SIMON ANDRES ROJAS GUTIERREZ</t>
  </si>
  <si>
    <t>DIANA CAROLINA SHOOL MONTOYA</t>
  </si>
  <si>
    <t>MILDRED TATIANA MORENO CASTRO</t>
  </si>
  <si>
    <t>DIANA PAOLA BEDOYA GARCIA</t>
  </si>
  <si>
    <t>KATHERINE AURORA MEJIA LEAL</t>
  </si>
  <si>
    <t>DIEGO  MARTIN ACERO</t>
  </si>
  <si>
    <t>MARITZA  FORERO HERNANDEZ</t>
  </si>
  <si>
    <t>Oficio-16493</t>
  </si>
  <si>
    <t>ANA MARIA CADENA TOBON</t>
  </si>
  <si>
    <t>ARL</t>
  </si>
  <si>
    <t>CDP EXPEDIDOS</t>
  </si>
  <si>
    <t>GIROS</t>
  </si>
  <si>
    <t>JUAN CAMILO GONZALEZ MEDINA</t>
  </si>
  <si>
    <t>GERMAN DARIO ROMERO SUAREZ</t>
  </si>
  <si>
    <t>PAULA JIMENA MATIZ LOPEZ</t>
  </si>
  <si>
    <t>Adición y prorroga del contrato 304  de 2018 cuyo objeto es: Contratar la prestación del servicio integral de aseo, cafetería y fumigación, incluidos los insumos, para las sedes del Instituto Distrital de Patrimonio Cultural.</t>
  </si>
  <si>
    <t>304-2018</t>
  </si>
  <si>
    <t>Prestar servicios profesionales al Instituto Distrital de Patrimonio Cultural para hacer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</si>
  <si>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Prestar servicios profesionales especializados a la Dirección General del Instituto Distrital de Patrimonio Cultural para acompañar las acciones estratégicas de mejoramiento continuo y seguimiento institucional de la entidad.</t>
  </si>
  <si>
    <t>Prestar servicios profesionales especializados a la Dirección General del Instituto Distrital de Patrimonio Cultural para acompañar las acciones de seguimiento y las respuestas a las solicitudes de información estratégica hechas a la entidad.</t>
  </si>
  <si>
    <t>Personal de Apoyo transversal</t>
  </si>
  <si>
    <t>Adición al contrato 159 de 2019 cuyo objeto es: (Cód. 7) Prestar servicios profesionales al Instituto Distrital de Patrimonio Cultural para orientar los procesos de formación en patrimonio cultural, en el marco del proyecto de inversión 1024 - Formación en patrimonio cultural.</t>
  </si>
  <si>
    <t xml:space="preserve">Prestar servicios profesionales al Instituto Distrital de Patrimonio Cultural para llevar a cabo revisiones ortotipográficas y gramaticales de los textos de las exposiciones del Museo de Bogotá. </t>
  </si>
  <si>
    <t xml:space="preserve">Prestar servicios profesionales al Instituto Distrital de Patrimonio Cultural para realizar la traducción del español al inglés de textos requeridos para las exposiciones  del Museo de Bogotá. </t>
  </si>
  <si>
    <t>Adquisiciòn de equipos audiovisuales y accesorios para el guión de la colección permanente del Museo de Bogotá.</t>
  </si>
  <si>
    <t xml:space="preserve">Compraventa de objetos de carácter histórico y científico para el Museo de Bogotá del Instituto Disttrital de patrimonio cultural </t>
  </si>
  <si>
    <t>Adquisición de sillas y elementos para dotar la sala Gonzalo Jiménez de Quesada del Museo de Bogotá del Instituto Distrital de Patrimonio Cultural.</t>
  </si>
  <si>
    <t>Prestar servicios profesionales al Instituto Distrital de Patrimonio Cultural para llevar a cabo el alistamiento en procesos de conservaciòn a las piezas seleccionadas para la exposiciòn permanente del Museo de Bogotá.</t>
  </si>
  <si>
    <t>Prestar servicios profesionales  al Instituto Distrital de Patrimonio Cultural en actividades técnicas y de seguimiento en los procesos de ejecución y terminación de proyectos de obra, interventoría o convenios ejecutados por el Instituto.</t>
  </si>
  <si>
    <t>Prestar servicios profesionales al IDPC, para realizar actividades relacionadas con el componente urbano y de espacio
público de los planes, programas y  proyectos, de conformidad  con las competencias del IDPC.</t>
  </si>
  <si>
    <t>Prestar servicios profesionales a la gestión al Instituto Distrital de Patrimonio Cultural en el desarrollo de actividades administrativas relativas a las intervenciones adelantadas sobre bienes muebles en espacio público de Bogotá D.C.</t>
  </si>
  <si>
    <t>Prestar servicios profesionales  al Instituto Distrital de Patrimonio Cultural en el desarrollo de actividades administrativas relativas a las actividades de asesoría técnica a terceros, revisión, evaluación, verificación y análisis de las solicitudes de intervención de los Bienes de Interés Cultural (BIC) del Distrito Capital.</t>
  </si>
  <si>
    <t>Atender a 2.282 niños/as y adolescentes través de la formación en patrimonio cultural dentro del programa de la jornada única y estrategias de uso del tiempo escolar</t>
  </si>
  <si>
    <t>Capacitar a 4 docentes como formadores de la cátedra de patrimonio, dentro del programa de la jornada única y como estrategias de uso del tiempo escolar</t>
  </si>
  <si>
    <t>Adición y prórroga al contrato 295 de 2018, cuyo objeto es: Contratar la renovación y ampliación del almacenamiento de la solución de respaldo de información para el Instituto Distrital de Patrimonio Cultural.</t>
  </si>
  <si>
    <t>MAURICIO  CORTES GARZON</t>
  </si>
  <si>
    <t>SHARON NATHALY BALLESTEROS SUAREZ</t>
  </si>
  <si>
    <t>Prestar servicios profesionales al Instituto Distrital de Patrimonio Cultural, en la elaboración de insumos técnicos para los proyectos del Instituto.</t>
  </si>
  <si>
    <t>295/2018</t>
  </si>
  <si>
    <t>203B</t>
  </si>
  <si>
    <t>25-341</t>
  </si>
  <si>
    <t>DANIEL FELIPE GUTIERREZ VARGAS</t>
  </si>
  <si>
    <t>NUBIA MARCELA RINCON BUENHOMBRE</t>
  </si>
  <si>
    <t>DIEGO ARMANDO ORTIZ PEREZ</t>
  </si>
  <si>
    <t>LUIS ALEJANDRO FORERO RODRIGUEZ</t>
  </si>
  <si>
    <t>WILLINGTON YESID DELGADO MALDONADO</t>
  </si>
  <si>
    <t>DANIEL ALEJANDRO URUEÑA ROBAYO</t>
  </si>
  <si>
    <t>SHERIL NATALIA SALAZAR BAYONA</t>
  </si>
  <si>
    <t>OSCAR DANIEL CLAVIJO TAVERA</t>
  </si>
  <si>
    <t>ERNESTO  MOURE ERAZO</t>
  </si>
  <si>
    <t>SANDRA CAROLINA NORIEGA AGUILAR</t>
  </si>
  <si>
    <t>IDELBER  SANCHEZ</t>
  </si>
  <si>
    <t>AUDIDATA COLOMBIA SAS</t>
  </si>
  <si>
    <t>ANA MILENA PRADA URIBE</t>
  </si>
  <si>
    <t>EASYCLEAN G&amp;E SAS   .</t>
  </si>
  <si>
    <t>JUAN DAVID QUINTERO PARRA</t>
  </si>
  <si>
    <t>ANGIE MILENA ESPINEL MENESES</t>
  </si>
  <si>
    <t>CRISTIAN ANDRES GUTIERREZ PRIETO</t>
  </si>
  <si>
    <t>Apoyar a la Fundación Erigaie para la realización de actividades orientadas al reconocimiento, visibilización, apropiación, protección y salvaguardia  del patrimonio cultural material e inmaterial en la ciudad de Bogotá, a través de la ejecución del proyecto: "HISTORIAS FRAGMENTADAS", de conformidad con el proyecto presentado y concertado en el Programa Distrital de Apoyos Concertados, en el marco del Plan de Desarrollo "Bogotá mejor para todos"</t>
  </si>
  <si>
    <t>Apoyar a Fotomuseo Museo Nacional de la Fotografía de Colombia para la realización de actividades orientadas al reconocimiento, visibilización, apropiación, protección y salvaguardia  del patrimonio cultural material e inmaterial en la ciudad de Bogotá, a través de la ejecución del proyecto: "FOTOGRÁFICA BOGOTÁ 2019 - VIII ENCUENTRO INTERNACIONAL DE FOTOGRAFÍA", de conformidad con el proyecto presentado y concertado en el Programa Distrital de Apoyos Concertados – Proyectos Metropolitanos, en el marco del Plan de Desarrollo “Bogotá mejor para todos”.</t>
  </si>
  <si>
    <t>RAFAEL ERNESTO MENDEZ CARDENAS</t>
  </si>
  <si>
    <t>FLOREZ &amp; ALVAREZ S A S</t>
  </si>
  <si>
    <t>YULI ANDREA MAHECHA REINA</t>
  </si>
  <si>
    <t>FERNANDO AUGUSTO VERGARA GARCIA</t>
  </si>
  <si>
    <t>JUAN FELIPE PINILLA &amp; ASOCIADOS DERECHO-URBANO SAS</t>
  </si>
  <si>
    <t>JOSE LEONARDO PEDRAZA GOMEZ</t>
  </si>
  <si>
    <t>YEIMI PAOLA PEDROZA MOCETON</t>
  </si>
  <si>
    <t>ANTONIO JOSE FUERTES CHAPARRO</t>
  </si>
  <si>
    <t>MARIA CAROLINA LEIVA FIERRO</t>
  </si>
  <si>
    <t>EDMAR ENRIQUE TORRES RECALDE</t>
  </si>
  <si>
    <t>MARIA CAMILA SANCHEZ SAMPER</t>
  </si>
  <si>
    <t>FV-18032</t>
  </si>
  <si>
    <t>RITA ADRIANA LOPEZ MONCAYO</t>
  </si>
  <si>
    <t>Prestar servicios profesionales al Instituto Distrital de Patrimonio Cultural para la coordinación del proyecto Museo de la ciudada Autoconstruida en el desarrollo de las fases de planeación, producción y ejecución.</t>
  </si>
  <si>
    <t>315-369</t>
  </si>
  <si>
    <t>292-383</t>
  </si>
  <si>
    <t>316-382</t>
  </si>
  <si>
    <t>293-368</t>
  </si>
  <si>
    <t>PANAMERICANA LIBRERIA Y PAPELERIA S A</t>
  </si>
  <si>
    <t>ALEXANDRA NAYIBE RUBIO RODRIGUEZ</t>
  </si>
  <si>
    <t>DIANA MARIA BERNAL FALLA</t>
  </si>
  <si>
    <t>ANA MARCELA CASTRO GONZALEZ</t>
  </si>
  <si>
    <t>MAGDA FABIOLA ROJAS RAMIREZ</t>
  </si>
  <si>
    <t>DANIELA  MARTÍNEZ ORTÍZ</t>
  </si>
  <si>
    <t>MILTON OSWALDO RUIZ MICAN</t>
  </si>
  <si>
    <t>YANESSA  LILCHYN</t>
  </si>
  <si>
    <t>Diseño, fabricación e instalación de una estructura protectora removible para el Tranvía de Mulas, pieza museográfica central de la sala – Sobre rieles: el Tranvía en Bogotá-, del Museo de Bogotá.</t>
  </si>
  <si>
    <t>Saldo fuente de financiación recursos administrados de destinación específica.</t>
  </si>
  <si>
    <t>COLOMBIANA DE COMERCIO SA</t>
  </si>
  <si>
    <t>VALERIA  FLOREZ GONZALEZ</t>
  </si>
  <si>
    <t>HERACLITO  LANDINEZ SUAREZ</t>
  </si>
  <si>
    <t>FREDY ANDRES USAQUEN AGUIRRE</t>
  </si>
  <si>
    <t>ALEXANDER  MORALES AGUIRRE</t>
  </si>
  <si>
    <t>3-57-58-131-132-157-360-376-385</t>
  </si>
  <si>
    <t>CLEMENCIA  IBAÑEZ DE CANO</t>
  </si>
  <si>
    <t>SOCIEDAD HOTELERA TEQUENDAMA S A</t>
  </si>
  <si>
    <t>159-391</t>
  </si>
  <si>
    <t>TECHNOLOGY WORLD GROUP SAS</t>
  </si>
  <si>
    <t>PAOLA ANDREA RANGEL MARTINEZ</t>
  </si>
  <si>
    <t>CESAR EDUARDO PORRAS POSADA</t>
  </si>
  <si>
    <t>MARIA JIMENA LOAIZA REINA</t>
  </si>
  <si>
    <t>Plan de Adecuación del SIG - MIPG</t>
  </si>
  <si>
    <t>Gestionar el 100% del plan de adecuación y sostenibilidad del SIG-MIPG</t>
  </si>
  <si>
    <t>01-03 0020 Mantenimiento y mejoramiento de la infraestructura cultural</t>
  </si>
  <si>
    <t>02-03 0114 Adquisición de Equipos, materiales, suministros</t>
  </si>
  <si>
    <t>05-02 0152 Adquisición de equipos y software para el
mejoramiento de la gestión institucional</t>
  </si>
  <si>
    <t>05-02 0020 Personal contratado para las actividades propias de los procesos de mejoramiento de gestión de la entidad</t>
  </si>
  <si>
    <t>03-01 0066 Fomento, apoyo y divulgación de eventos y expresiones artísticas, culturales y del patrimonio</t>
  </si>
  <si>
    <t>04-01 0187 Actividades de formación en arte, cultura, patrimonio, recreación y deporte</t>
  </si>
  <si>
    <t>04-01 0185 Actividades de investigación para la valoración, protección, conservación, sostenibilidad y apropiación del Patrimonio Cultural</t>
  </si>
  <si>
    <t>01-01 0525 Recuperación y aprovechamiento de bienes de interes cultural</t>
  </si>
  <si>
    <t>01-03 0103 Administración, mantenimiento y mejoramiento de los bienes muebles e inmuebles ubicados en el espacio público del Distrito Capital</t>
  </si>
  <si>
    <t>03-04 0316 Personal de apoyo para las actividades de valoración, protección y conservación del Patrimonio Cultural</t>
  </si>
  <si>
    <t xml:space="preserve">Intervenir 400,29 Bienes de Interés Cultural  (BIC) del D.C. a través de obras de adecuación, ampliación, conservación, consolidación estructural, rehabilitación y mantenimiento y/o restauración  </t>
  </si>
  <si>
    <t xml:space="preserve">Intervenir400,29 Bienes de Interés Cultural  (BIC) del D.C. a través de obras de adecuación, ampliación, conservación, consolidación estructural, rehabilitación y mantenimiento y/o restauración  </t>
  </si>
  <si>
    <r>
      <t xml:space="preserve">Bienes de Interés Cultural de tipo inmueble intervenidos (Valor dirigido para reconocer la afiliación de </t>
    </r>
    <r>
      <rPr>
        <b/>
        <sz val="9"/>
        <color theme="4" tint="-0.249977111117893"/>
        <rFont val="Arial"/>
        <family val="2"/>
      </rPr>
      <t>riesgos laborales</t>
    </r>
    <r>
      <rPr>
        <b/>
        <sz val="9"/>
        <rFont val="Arial"/>
        <family val="2"/>
      </rPr>
      <t xml:space="preserve"> Nivel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</si>
</sst>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240A]\ #,##0"/>
    <numFmt numFmtId="166" formatCode="#,##0_ ;\-#,##0\ "/>
    <numFmt numFmtId="167" formatCode="_ * #,##0_ ;_ * \-#,##0_ ;_ * &quot;-&quot;_ ;_ @_ "/>
    <numFmt numFmtId="168" formatCode="_ * #,##0_ ;_ * \-#,##0_ ;_ * &quot;-&quot;??_ ;_ @_ "/>
    <numFmt numFmtId="169" formatCode="000"/>
    <numFmt numFmtId="170" formatCode="dd/mm/yyyy;@"/>
    <numFmt numFmtId="172" formatCode="d/mm/yyyy;@"/>
    <numFmt numFmtId="173" formatCode="#,##0;[Red]#,##0"/>
    <numFmt numFmtId="174" formatCode="0_ ;\-0\ "/>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indexed="10"/>
      <name val="Arial"/>
      <family val="2"/>
    </font>
    <font>
      <b/>
      <sz val="9"/>
      <name val="Arial"/>
      <family val="2"/>
    </font>
    <font>
      <b/>
      <sz val="10"/>
      <color theme="1"/>
      <name val="Arial"/>
      <family val="2"/>
    </font>
    <font>
      <sz val="10"/>
      <color rgb="FFFF0000"/>
      <name val="Arial"/>
      <family val="2"/>
    </font>
    <font>
      <b/>
      <sz val="10"/>
      <color rgb="FFFF0000"/>
      <name val="Arial"/>
      <family val="2"/>
    </font>
    <font>
      <b/>
      <sz val="9"/>
      <color rgb="FFFF0000"/>
      <name val="Arial"/>
      <family val="2"/>
    </font>
    <font>
      <sz val="10"/>
      <color theme="1"/>
      <name val="Arial"/>
      <family val="2"/>
    </font>
    <font>
      <b/>
      <sz val="9"/>
      <color theme="1"/>
      <name val="Arial"/>
      <family val="2"/>
    </font>
    <font>
      <sz val="9"/>
      <name val="Arial"/>
      <family val="2"/>
    </font>
    <font>
      <b/>
      <sz val="10"/>
      <color theme="1"/>
      <name val="Arial1"/>
    </font>
    <font>
      <sz val="10"/>
      <color rgb="FFFF0000"/>
      <name val="Arial1"/>
    </font>
    <font>
      <b/>
      <sz val="10"/>
      <color indexed="8"/>
      <name val="Arial1"/>
    </font>
    <font>
      <sz val="10"/>
      <color indexed="8"/>
      <name val="Arial1"/>
    </font>
    <font>
      <sz val="10"/>
      <color theme="1"/>
      <name val="Arial1"/>
    </font>
    <font>
      <sz val="9"/>
      <color theme="1"/>
      <name val="Arial"/>
      <family val="2"/>
    </font>
    <font>
      <b/>
      <sz val="8"/>
      <name val="Arial"/>
      <family val="2"/>
    </font>
    <font>
      <sz val="8"/>
      <name val="Arial"/>
      <family val="2"/>
    </font>
    <font>
      <b/>
      <sz val="20"/>
      <name val="Arial"/>
      <family val="2"/>
    </font>
    <font>
      <sz val="11"/>
      <name val="Arial"/>
      <family val="2"/>
    </font>
    <font>
      <b/>
      <sz val="9"/>
      <color theme="1"/>
      <name val="Calibri"/>
      <family val="2"/>
    </font>
    <font>
      <sz val="9"/>
      <color theme="1"/>
      <name val="Calibri"/>
      <family val="2"/>
    </font>
    <font>
      <b/>
      <sz val="11"/>
      <name val="Arial"/>
      <family val="2"/>
    </font>
    <font>
      <b/>
      <sz val="18"/>
      <name val="Arial"/>
      <family val="2"/>
    </font>
    <font>
      <sz val="7"/>
      <name val="Arial"/>
      <family val="2"/>
    </font>
    <font>
      <b/>
      <sz val="10"/>
      <color rgb="FFFF0000"/>
      <name val="Ari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6"/>
      <name val="Arial"/>
      <family val="2"/>
    </font>
    <font>
      <sz val="10"/>
      <name val="Arial1"/>
    </font>
    <font>
      <b/>
      <sz val="16"/>
      <color theme="1"/>
      <name val="Arial"/>
      <family val="2"/>
    </font>
    <font>
      <u/>
      <sz val="9"/>
      <name val="Arial"/>
      <family val="2"/>
    </font>
    <font>
      <b/>
      <sz val="9"/>
      <color indexed="10"/>
      <name val="Arial"/>
      <family val="2"/>
    </font>
    <font>
      <b/>
      <sz val="12"/>
      <name val="Arial"/>
      <family val="2"/>
    </font>
    <font>
      <sz val="11"/>
      <color theme="1"/>
      <name val="Arial"/>
      <family val="2"/>
    </font>
    <font>
      <sz val="11"/>
      <color theme="1"/>
      <name val="Arial1"/>
    </font>
    <font>
      <b/>
      <sz val="11"/>
      <color rgb="FFFF0000"/>
      <name val="Arial"/>
      <family val="2"/>
    </font>
    <font>
      <b/>
      <sz val="9"/>
      <color theme="9" tint="0.39997558519241921"/>
      <name val="Arial"/>
      <family val="2"/>
    </font>
    <font>
      <b/>
      <sz val="9"/>
      <color rgb="FFFF9900"/>
      <name val="Arial"/>
      <family val="2"/>
    </font>
    <font>
      <b/>
      <sz val="11"/>
      <color theme="0"/>
      <name val="Arial"/>
      <family val="2"/>
    </font>
    <font>
      <b/>
      <sz val="11"/>
      <color rgb="FFFF9900"/>
      <name val="Arial"/>
      <family val="2"/>
    </font>
    <font>
      <sz val="9"/>
      <color indexed="81"/>
      <name val="Tahoma"/>
      <family val="2"/>
    </font>
    <font>
      <b/>
      <sz val="9"/>
      <color indexed="81"/>
      <name val="Tahoma"/>
      <family val="2"/>
    </font>
    <font>
      <b/>
      <sz val="9"/>
      <color theme="4" tint="-0.249977111117893"/>
      <name val="Arial"/>
      <family val="2"/>
    </font>
  </fonts>
  <fills count="7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9"/>
        <bgColor indexed="64"/>
      </patternFill>
    </fill>
    <fill>
      <patternFill patternType="solid">
        <fgColor indexed="44"/>
        <bgColor indexed="4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92D050"/>
        <bgColor indexed="64"/>
      </patternFill>
    </fill>
    <fill>
      <patternFill patternType="solid">
        <fgColor rgb="FFFF99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44"/>
      </patternFill>
    </fill>
    <fill>
      <patternFill patternType="solid">
        <fgColor theme="5" tint="0.59999389629810485"/>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9CC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auto="1"/>
      </top>
      <bottom/>
      <diagonal/>
    </border>
    <border>
      <left style="thin">
        <color auto="1"/>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auto="1"/>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auto="1"/>
      </left>
      <right style="hair">
        <color indexed="64"/>
      </right>
      <top style="hair">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8"/>
      </left>
      <right style="thin">
        <color indexed="8"/>
      </right>
      <top style="hair">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thin">
        <color indexed="64"/>
      </bottom>
      <diagonal/>
    </border>
    <border>
      <left style="thin">
        <color theme="0"/>
      </left>
      <right/>
      <top/>
      <bottom/>
      <diagonal/>
    </border>
    <border>
      <left/>
      <right style="thin">
        <color indexed="64"/>
      </right>
      <top/>
      <bottom style="thin">
        <color indexed="64"/>
      </bottom>
      <diagonal/>
    </border>
  </borders>
  <cellStyleXfs count="66">
    <xf numFmtId="0" fontId="0" fillId="0" borderId="0"/>
    <xf numFmtId="164" fontId="10" fillId="0" borderId="0" applyFont="0" applyFill="0" applyBorder="0" applyAlignment="0" applyProtection="0"/>
    <xf numFmtId="0" fontId="10" fillId="0" borderId="0"/>
    <xf numFmtId="0" fontId="9" fillId="0" borderId="0"/>
    <xf numFmtId="0" fontId="8" fillId="0" borderId="0"/>
    <xf numFmtId="0" fontId="38" fillId="0" borderId="0" applyNumberFormat="0" applyFill="0" applyBorder="0" applyAlignment="0" applyProtection="0"/>
    <xf numFmtId="0" fontId="39" fillId="0" borderId="65" applyNumberFormat="0" applyFill="0" applyAlignment="0" applyProtection="0"/>
    <xf numFmtId="0" fontId="40" fillId="0" borderId="66" applyNumberFormat="0" applyFill="0" applyAlignment="0" applyProtection="0"/>
    <xf numFmtId="0" fontId="41" fillId="0" borderId="6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3" borderId="68" applyNumberFormat="0" applyAlignment="0" applyProtection="0"/>
    <xf numFmtId="0" fontId="46" fillId="34" borderId="69" applyNumberFormat="0" applyAlignment="0" applyProtection="0"/>
    <xf numFmtId="0" fontId="47" fillId="34" borderId="68" applyNumberFormat="0" applyAlignment="0" applyProtection="0"/>
    <xf numFmtId="0" fontId="48" fillId="0" borderId="70" applyNumberFormat="0" applyFill="0" applyAlignment="0" applyProtection="0"/>
    <xf numFmtId="0" fontId="49" fillId="35" borderId="7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3" applyNumberFormat="0" applyFill="0" applyAlignment="0" applyProtection="0"/>
    <xf numFmtId="0" fontId="53"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53" fillId="60" borderId="0" applyNumberFormat="0" applyBorder="0" applyAlignment="0" applyProtection="0"/>
    <xf numFmtId="0" fontId="7" fillId="0" borderId="0"/>
    <xf numFmtId="0" fontId="7" fillId="36" borderId="72" applyNumberFormat="0" applyFont="0" applyAlignment="0" applyProtection="0"/>
    <xf numFmtId="0" fontId="5" fillId="0" borderId="0"/>
    <xf numFmtId="0" fontId="6" fillId="0" borderId="0"/>
    <xf numFmtId="0" fontId="4" fillId="0" borderId="0"/>
    <xf numFmtId="0" fontId="3" fillId="0" borderId="0"/>
    <xf numFmtId="0" fontId="3" fillId="36" borderId="72" applyNumberFormat="0" applyFont="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2" fillId="0" borderId="0"/>
    <xf numFmtId="0" fontId="1" fillId="0" borderId="0"/>
  </cellStyleXfs>
  <cellXfs count="1810">
    <xf numFmtId="0" fontId="0" fillId="0" borderId="0" xfId="0"/>
    <xf numFmtId="0" fontId="10" fillId="2" borderId="1" xfId="0" applyFont="1" applyFill="1" applyBorder="1" applyAlignment="1">
      <alignment vertical="center" wrapText="1"/>
    </xf>
    <xf numFmtId="3" fontId="11" fillId="0" borderId="3" xfId="0" applyNumberFormat="1" applyFont="1" applyBorder="1" applyAlignment="1">
      <alignment vertical="center" wrapText="1"/>
    </xf>
    <xf numFmtId="3" fontId="11" fillId="0" borderId="5" xfId="0" applyNumberFormat="1" applyFont="1" applyBorder="1" applyAlignment="1">
      <alignment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4" fillId="5" borderId="1" xfId="0" applyNumberFormat="1" applyFont="1" applyFill="1" applyBorder="1" applyAlignment="1">
      <alignment horizontal="center" vertical="center" wrapText="1"/>
    </xf>
    <xf numFmtId="0" fontId="16" fillId="0" borderId="0" xfId="0" applyFont="1" applyFill="1"/>
    <xf numFmtId="3" fontId="14" fillId="0" borderId="7" xfId="0" applyNumberFormat="1" applyFont="1" applyFill="1" applyBorder="1" applyAlignment="1">
      <alignment horizontal="center" vertical="center" wrapText="1"/>
    </xf>
    <xf numFmtId="0" fontId="0" fillId="0" borderId="0" xfId="0" applyFill="1"/>
    <xf numFmtId="0" fontId="11" fillId="4" borderId="7" xfId="0" applyFont="1" applyFill="1" applyBorder="1" applyAlignment="1">
      <alignment horizontal="left" vertical="center" wrapText="1"/>
    </xf>
    <xf numFmtId="165" fontId="11" fillId="4" borderId="7" xfId="0" applyNumberFormat="1" applyFont="1" applyFill="1" applyBorder="1" applyAlignment="1">
      <alignment horizontal="center" vertical="center" wrapText="1"/>
    </xf>
    <xf numFmtId="0" fontId="11" fillId="4" borderId="7" xfId="0" applyFont="1" applyFill="1" applyBorder="1" applyAlignment="1">
      <alignment horizontal="justify" vertical="center" wrapText="1"/>
    </xf>
    <xf numFmtId="3" fontId="23" fillId="7" borderId="7" xfId="0" applyNumberFormat="1" applyFont="1" applyFill="1" applyBorder="1" applyAlignment="1">
      <alignment horizontal="left" vertical="center" wrapText="1"/>
    </xf>
    <xf numFmtId="0" fontId="11" fillId="4" borderId="7" xfId="0" applyFont="1" applyFill="1" applyBorder="1" applyAlignment="1">
      <alignment horizontal="center" vertical="center" wrapText="1"/>
    </xf>
    <xf numFmtId="3" fontId="14" fillId="4" borderId="7" xfId="0" applyNumberFormat="1" applyFont="1" applyFill="1" applyBorder="1" applyAlignment="1">
      <alignment horizontal="center" vertical="center" wrapText="1"/>
    </xf>
    <xf numFmtId="167" fontId="11" fillId="9" borderId="8" xfId="1" applyNumberFormat="1" applyFont="1" applyFill="1" applyBorder="1" applyAlignment="1">
      <alignment horizontal="center" wrapText="1"/>
    </xf>
    <xf numFmtId="167" fontId="11" fillId="9" borderId="9" xfId="1" applyNumberFormat="1" applyFont="1" applyFill="1" applyBorder="1" applyAlignment="1">
      <alignment horizontal="center" wrapText="1"/>
    </xf>
    <xf numFmtId="167" fontId="11" fillId="9" borderId="10" xfId="1" applyNumberFormat="1" applyFont="1" applyFill="1" applyBorder="1" applyAlignment="1">
      <alignment horizontal="center" wrapText="1"/>
    </xf>
    <xf numFmtId="167" fontId="14" fillId="9" borderId="8" xfId="1" applyNumberFormat="1" applyFont="1" applyFill="1" applyBorder="1" applyAlignment="1">
      <alignment horizontal="center" wrapText="1"/>
    </xf>
    <xf numFmtId="0" fontId="11" fillId="0" borderId="12" xfId="0" applyFont="1" applyBorder="1" applyAlignment="1">
      <alignment wrapText="1"/>
    </xf>
    <xf numFmtId="165" fontId="11" fillId="0" borderId="0" xfId="1" applyNumberFormat="1" applyFont="1" applyBorder="1" applyAlignment="1">
      <alignment horizontal="center" wrapText="1"/>
    </xf>
    <xf numFmtId="167" fontId="11" fillId="0" borderId="0" xfId="1" applyNumberFormat="1" applyFont="1" applyBorder="1" applyAlignment="1">
      <alignment horizontal="center" wrapText="1"/>
    </xf>
    <xf numFmtId="167" fontId="28" fillId="0" borderId="0" xfId="1" applyNumberFormat="1" applyFont="1" applyBorder="1" applyAlignment="1">
      <alignment horizontal="center" wrapText="1"/>
    </xf>
    <xf numFmtId="0" fontId="11" fillId="10" borderId="13" xfId="0" applyFont="1" applyFill="1" applyBorder="1" applyAlignment="1">
      <alignment vertical="center" wrapText="1"/>
    </xf>
    <xf numFmtId="165" fontId="11" fillId="10" borderId="7" xfId="1" applyNumberFormat="1" applyFont="1" applyFill="1" applyBorder="1" applyAlignment="1">
      <alignment horizontal="center" vertical="center" wrapText="1"/>
    </xf>
    <xf numFmtId="3" fontId="14" fillId="5" borderId="15" xfId="0" applyNumberFormat="1" applyFont="1" applyFill="1" applyBorder="1" applyAlignment="1">
      <alignment horizontal="center" vertical="center" wrapText="1"/>
    </xf>
    <xf numFmtId="0" fontId="28" fillId="11" borderId="13" xfId="0" applyFont="1" applyFill="1" applyBorder="1" applyAlignment="1">
      <alignment horizontal="center" vertical="center" wrapText="1"/>
    </xf>
    <xf numFmtId="165" fontId="11" fillId="0" borderId="7" xfId="1" applyNumberFormat="1" applyFont="1" applyBorder="1" applyAlignment="1">
      <alignment horizontal="center" vertical="center" wrapText="1"/>
    </xf>
    <xf numFmtId="165" fontId="0" fillId="0" borderId="0" xfId="0" applyNumberFormat="1"/>
    <xf numFmtId="0" fontId="10" fillId="0" borderId="0" xfId="0" applyFont="1"/>
    <xf numFmtId="0" fontId="28" fillId="0" borderId="0" xfId="0" applyFont="1" applyAlignment="1">
      <alignment horizontal="right" wrapText="1"/>
    </xf>
    <xf numFmtId="165" fontId="28" fillId="0" borderId="0" xfId="0" applyNumberFormat="1" applyFont="1" applyAlignment="1">
      <alignment horizontal="center" wrapText="1"/>
    </xf>
    <xf numFmtId="0" fontId="28" fillId="0" borderId="0" xfId="0" applyFont="1" applyAlignment="1">
      <alignment horizontal="right"/>
    </xf>
    <xf numFmtId="0" fontId="28" fillId="0" borderId="0" xfId="0" applyFont="1" applyAlignment="1">
      <alignment horizontal="left"/>
    </xf>
    <xf numFmtId="0" fontId="29" fillId="0" borderId="0" xfId="0" applyFont="1" applyAlignment="1">
      <alignment wrapText="1"/>
    </xf>
    <xf numFmtId="165" fontId="29" fillId="0" borderId="0" xfId="0" applyNumberFormat="1" applyFont="1"/>
    <xf numFmtId="168" fontId="29" fillId="0" borderId="0" xfId="1" applyNumberFormat="1" applyFont="1"/>
    <xf numFmtId="0" fontId="29" fillId="0" borderId="0" xfId="0" applyFont="1" applyAlignment="1">
      <alignment horizontal="left"/>
    </xf>
    <xf numFmtId="168" fontId="0" fillId="0" borderId="0" xfId="1" applyNumberFormat="1" applyFont="1"/>
    <xf numFmtId="0" fontId="30" fillId="5" borderId="16"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0" fillId="5" borderId="16" xfId="0" applyFill="1" applyBorder="1" applyAlignment="1">
      <alignment horizontal="center"/>
    </xf>
    <xf numFmtId="0" fontId="0" fillId="5" borderId="0" xfId="0" applyFill="1" applyBorder="1"/>
    <xf numFmtId="0" fontId="28" fillId="0" borderId="12" xfId="0" applyFont="1" applyBorder="1" applyAlignment="1">
      <alignment vertical="center"/>
    </xf>
    <xf numFmtId="0" fontId="10" fillId="4" borderId="0" xfId="0" applyFont="1" applyFill="1" applyBorder="1" applyAlignment="1">
      <alignment horizontal="left" wrapText="1"/>
    </xf>
    <xf numFmtId="0" fontId="13" fillId="4" borderId="13" xfId="0" applyFont="1" applyFill="1" applyBorder="1" applyAlignment="1">
      <alignment vertical="center"/>
    </xf>
    <xf numFmtId="0" fontId="0" fillId="5" borderId="18" xfId="0" applyFill="1" applyBorder="1" applyAlignment="1">
      <alignment horizontal="center"/>
    </xf>
    <xf numFmtId="0" fontId="0" fillId="5" borderId="19" xfId="0" applyFill="1" applyBorder="1"/>
    <xf numFmtId="0" fontId="11" fillId="4" borderId="21" xfId="0" applyFont="1" applyFill="1" applyBorder="1" applyAlignment="1">
      <alignment horizontal="center" vertical="center" wrapText="1"/>
    </xf>
    <xf numFmtId="0" fontId="0" fillId="5" borderId="2" xfId="0" applyFill="1" applyBorder="1" applyAlignment="1"/>
    <xf numFmtId="0" fontId="11" fillId="4" borderId="22" xfId="0" applyFont="1" applyFill="1" applyBorder="1" applyAlignment="1">
      <alignment horizontal="center" vertical="center" wrapText="1"/>
    </xf>
    <xf numFmtId="0" fontId="11" fillId="4" borderId="14" xfId="0" applyFont="1" applyFill="1" applyBorder="1" applyAlignment="1">
      <alignment horizontal="center" vertical="center" wrapText="1"/>
    </xf>
    <xf numFmtId="165" fontId="11" fillId="9" borderId="7" xfId="0" applyNumberFormat="1" applyFont="1" applyFill="1" applyBorder="1" applyAlignment="1">
      <alignment horizontal="center" vertical="center" wrapText="1"/>
    </xf>
    <xf numFmtId="0" fontId="10" fillId="9" borderId="7" xfId="0" applyFont="1" applyFill="1" applyBorder="1" applyAlignment="1">
      <alignment horizontal="justify" vertical="center" wrapText="1"/>
    </xf>
    <xf numFmtId="0" fontId="10" fillId="9" borderId="23" xfId="0" applyFont="1" applyFill="1" applyBorder="1" applyAlignment="1">
      <alignment horizontal="justify" vertical="center" wrapText="1"/>
    </xf>
    <xf numFmtId="0" fontId="11" fillId="9" borderId="3" xfId="0" applyFont="1" applyFill="1" applyBorder="1" applyAlignment="1">
      <alignment horizontal="center" vertical="center" wrapText="1"/>
    </xf>
    <xf numFmtId="3" fontId="14" fillId="9" borderId="7"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1" fillId="9" borderId="7" xfId="0" applyFont="1" applyFill="1" applyBorder="1" applyAlignment="1">
      <alignment horizontal="justify" vertical="center" wrapText="1"/>
    </xf>
    <xf numFmtId="0" fontId="11" fillId="9" borderId="23" xfId="0" applyFont="1" applyFill="1" applyBorder="1" applyAlignment="1">
      <alignment horizontal="justify" vertical="center" wrapText="1"/>
    </xf>
    <xf numFmtId="0" fontId="11" fillId="4" borderId="1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0" fillId="0" borderId="12" xfId="0" applyBorder="1"/>
    <xf numFmtId="165" fontId="0" fillId="0" borderId="0" xfId="0" applyNumberFormat="1" applyBorder="1"/>
    <xf numFmtId="0" fontId="0" fillId="0" borderId="0" xfId="0" applyBorder="1"/>
    <xf numFmtId="0" fontId="0" fillId="0" borderId="0" xfId="0" applyBorder="1" applyAlignment="1">
      <alignment horizontal="center"/>
    </xf>
    <xf numFmtId="0" fontId="10" fillId="0" borderId="25" xfId="0" applyFont="1" applyBorder="1"/>
    <xf numFmtId="168" fontId="29" fillId="0" borderId="25" xfId="0" applyNumberFormat="1" applyFont="1" applyBorder="1" applyAlignment="1">
      <alignment wrapText="1"/>
    </xf>
    <xf numFmtId="0" fontId="29" fillId="0" borderId="25" xfId="0" applyFont="1" applyBorder="1" applyAlignment="1">
      <alignment wrapText="1"/>
    </xf>
    <xf numFmtId="0" fontId="29" fillId="0" borderId="25" xfId="0" applyFont="1" applyBorder="1" applyAlignment="1">
      <alignment horizontal="center"/>
    </xf>
    <xf numFmtId="0" fontId="0" fillId="0" borderId="25" xfId="0" applyBorder="1"/>
    <xf numFmtId="0" fontId="0" fillId="0" borderId="0" xfId="0" applyAlignment="1">
      <alignment horizontal="center"/>
    </xf>
    <xf numFmtId="0" fontId="10" fillId="4" borderId="17" xfId="0" applyFont="1" applyFill="1" applyBorder="1" applyAlignment="1">
      <alignment horizontal="left" wrapText="1"/>
    </xf>
    <xf numFmtId="3" fontId="20" fillId="0" borderId="7" xfId="0" applyNumberFormat="1" applyFont="1" applyFill="1" applyBorder="1" applyAlignment="1">
      <alignment horizontal="center" vertical="center" wrapText="1"/>
    </xf>
    <xf numFmtId="0" fontId="15" fillId="4" borderId="7" xfId="0" applyFont="1" applyFill="1" applyBorder="1" applyAlignment="1">
      <alignment horizontal="justify" vertical="center" wrapText="1"/>
    </xf>
    <xf numFmtId="0" fontId="15" fillId="4" borderId="23" xfId="0" applyFont="1" applyFill="1" applyBorder="1" applyAlignment="1">
      <alignment horizontal="justify" vertical="center" wrapText="1"/>
    </xf>
    <xf numFmtId="165" fontId="11" fillId="0" borderId="0" xfId="0" applyNumberFormat="1"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1" fillId="0" borderId="7" xfId="1" applyNumberFormat="1" applyFont="1" applyBorder="1" applyAlignment="1">
      <alignment horizontal="center" vertical="center" wrapText="1"/>
    </xf>
    <xf numFmtId="0" fontId="10" fillId="6" borderId="7" xfId="0" applyFont="1" applyFill="1" applyBorder="1" applyAlignment="1">
      <alignment horizontal="left" vertical="center"/>
    </xf>
    <xf numFmtId="0" fontId="19" fillId="6" borderId="7" xfId="0" applyFont="1" applyFill="1" applyBorder="1" applyAlignment="1">
      <alignment horizontal="left" vertical="center"/>
    </xf>
    <xf numFmtId="3" fontId="26" fillId="7" borderId="7" xfId="0" applyNumberFormat="1" applyFont="1" applyFill="1" applyBorder="1" applyAlignment="1">
      <alignment horizontal="left" vertical="center"/>
    </xf>
    <xf numFmtId="0" fontId="19" fillId="8" borderId="7" xfId="0" applyFont="1" applyFill="1" applyBorder="1" applyAlignment="1">
      <alignment horizontal="left" vertical="center"/>
    </xf>
    <xf numFmtId="0" fontId="10" fillId="6" borderId="23" xfId="0" applyFont="1" applyFill="1" applyBorder="1" applyAlignment="1">
      <alignment horizontal="left" vertical="center"/>
    </xf>
    <xf numFmtId="0" fontId="10" fillId="6" borderId="13" xfId="0" applyFont="1" applyFill="1" applyBorder="1" applyAlignment="1">
      <alignment horizontal="left" vertical="center"/>
    </xf>
    <xf numFmtId="0" fontId="19" fillId="6" borderId="23" xfId="0" applyFont="1" applyFill="1" applyBorder="1" applyAlignment="1">
      <alignment horizontal="left" vertical="center"/>
    </xf>
    <xf numFmtId="0" fontId="10" fillId="9" borderId="7" xfId="0" applyFont="1" applyFill="1" applyBorder="1" applyAlignment="1">
      <alignment horizontal="left" vertical="center"/>
    </xf>
    <xf numFmtId="0" fontId="10" fillId="9" borderId="23" xfId="0" applyFont="1" applyFill="1" applyBorder="1" applyAlignment="1">
      <alignment horizontal="left" vertical="center"/>
    </xf>
    <xf numFmtId="0" fontId="11" fillId="4" borderId="7" xfId="0" applyFont="1" applyFill="1" applyBorder="1" applyAlignment="1">
      <alignment horizontal="left" vertical="center"/>
    </xf>
    <xf numFmtId="0" fontId="11" fillId="4" borderId="23"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3" xfId="0" applyFont="1" applyFill="1" applyBorder="1" applyAlignment="1">
      <alignment horizontal="left" vertical="center"/>
    </xf>
    <xf numFmtId="0" fontId="10" fillId="8" borderId="13" xfId="0" applyFont="1" applyFill="1" applyBorder="1" applyAlignment="1">
      <alignment horizontal="left" vertical="center"/>
    </xf>
    <xf numFmtId="0" fontId="19" fillId="8" borderId="23" xfId="0" applyFont="1" applyFill="1" applyBorder="1" applyAlignment="1">
      <alignment horizontal="left" vertical="center"/>
    </xf>
    <xf numFmtId="0" fontId="10" fillId="12" borderId="7" xfId="0" applyFont="1" applyFill="1" applyBorder="1" applyAlignment="1">
      <alignment horizontal="left" vertical="center"/>
    </xf>
    <xf numFmtId="0" fontId="10" fillId="12" borderId="13" xfId="0" applyFont="1" applyFill="1" applyBorder="1" applyAlignment="1">
      <alignment horizontal="left" vertical="center"/>
    </xf>
    <xf numFmtId="0" fontId="19" fillId="12" borderId="7" xfId="0" applyFont="1" applyFill="1" applyBorder="1" applyAlignment="1">
      <alignment horizontal="left" vertical="center"/>
    </xf>
    <xf numFmtId="0" fontId="19" fillId="12" borderId="23" xfId="0" applyFont="1" applyFill="1" applyBorder="1" applyAlignment="1">
      <alignment horizontal="left" vertical="center"/>
    </xf>
    <xf numFmtId="0" fontId="11" fillId="9" borderId="7" xfId="0" applyFont="1" applyFill="1" applyBorder="1" applyAlignment="1">
      <alignment horizontal="left" vertical="center"/>
    </xf>
    <xf numFmtId="0" fontId="11" fillId="9" borderId="23" xfId="0" applyFont="1" applyFill="1" applyBorder="1" applyAlignment="1">
      <alignment horizontal="left" vertical="center"/>
    </xf>
    <xf numFmtId="0" fontId="10" fillId="10" borderId="7" xfId="0" applyFont="1" applyFill="1" applyBorder="1" applyAlignment="1">
      <alignment horizontal="left" vertical="center"/>
    </xf>
    <xf numFmtId="0" fontId="10" fillId="10" borderId="23"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23" xfId="0" applyFont="1" applyFill="1" applyBorder="1" applyAlignment="1">
      <alignment horizontal="left" vertical="center"/>
    </xf>
    <xf numFmtId="0" fontId="19" fillId="14" borderId="7" xfId="0" applyFont="1" applyFill="1" applyBorder="1" applyAlignment="1">
      <alignment horizontal="left" vertical="center"/>
    </xf>
    <xf numFmtId="0" fontId="19" fillId="14" borderId="23" xfId="0" applyFont="1" applyFill="1" applyBorder="1" applyAlignment="1">
      <alignment horizontal="left" vertical="center"/>
    </xf>
    <xf numFmtId="3" fontId="26" fillId="7" borderId="3" xfId="0" applyNumberFormat="1" applyFont="1" applyFill="1" applyBorder="1" applyAlignment="1">
      <alignment horizontal="left" vertical="center"/>
    </xf>
    <xf numFmtId="3" fontId="33" fillId="13" borderId="7" xfId="2" applyNumberFormat="1" applyFont="1" applyFill="1" applyBorder="1" applyAlignment="1">
      <alignment horizontal="left" vertical="center"/>
    </xf>
    <xf numFmtId="3" fontId="33" fillId="13" borderId="14" xfId="2" applyNumberFormat="1" applyFont="1" applyFill="1" applyBorder="1" applyAlignment="1">
      <alignment horizontal="left" vertical="center"/>
    </xf>
    <xf numFmtId="3" fontId="33" fillId="13" borderId="27" xfId="2" applyNumberFormat="1" applyFont="1" applyFill="1" applyBorder="1" applyAlignment="1">
      <alignment horizontal="left" vertical="center"/>
    </xf>
    <xf numFmtId="0" fontId="10" fillId="0" borderId="7" xfId="0"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1" fontId="21" fillId="0" borderId="7" xfId="0" applyNumberFormat="1" applyFont="1" applyFill="1" applyBorder="1" applyAlignment="1">
      <alignment horizontal="center" vertical="center" wrapText="1"/>
    </xf>
    <xf numFmtId="1" fontId="21" fillId="0" borderId="7" xfId="1" applyNumberFormat="1" applyFont="1" applyFill="1" applyBorder="1" applyAlignment="1">
      <alignment horizontal="center" vertical="center" wrapText="1"/>
    </xf>
    <xf numFmtId="1" fontId="14" fillId="4" borderId="7" xfId="0" applyNumberFormat="1" applyFont="1" applyFill="1" applyBorder="1" applyAlignment="1">
      <alignment horizontal="center" vertical="center" wrapText="1"/>
    </xf>
    <xf numFmtId="1" fontId="14" fillId="9" borderId="11" xfId="1" applyNumberFormat="1" applyFont="1" applyFill="1" applyBorder="1" applyAlignment="1">
      <alignment horizontal="center" wrapText="1"/>
    </xf>
    <xf numFmtId="1" fontId="28" fillId="0" borderId="0" xfId="1" applyNumberFormat="1" applyFont="1" applyBorder="1" applyAlignment="1">
      <alignment horizontal="center" wrapText="1"/>
    </xf>
    <xf numFmtId="1" fontId="0" fillId="0" borderId="0" xfId="0" applyNumberFormat="1"/>
    <xf numFmtId="3" fontId="21" fillId="0" borderId="7"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3" fontId="21" fillId="0" borderId="7" xfId="0" applyNumberFormat="1" applyFont="1" applyFill="1" applyBorder="1" applyAlignment="1">
      <alignment vertical="center" wrapText="1"/>
    </xf>
    <xf numFmtId="3" fontId="21" fillId="0" borderId="7" xfId="1" applyNumberFormat="1" applyFont="1" applyFill="1" applyBorder="1" applyAlignment="1">
      <alignment horizontal="center" vertical="center" wrapText="1"/>
    </xf>
    <xf numFmtId="3" fontId="14" fillId="9" borderId="8" xfId="1" applyNumberFormat="1" applyFont="1" applyFill="1" applyBorder="1" applyAlignment="1">
      <alignment horizontal="center" wrapText="1"/>
    </xf>
    <xf numFmtId="3" fontId="28" fillId="0" borderId="0" xfId="1" applyNumberFormat="1" applyFont="1" applyBorder="1" applyAlignment="1">
      <alignment horizontal="center" wrapText="1"/>
    </xf>
    <xf numFmtId="3" fontId="14" fillId="5" borderId="14" xfId="0" applyNumberFormat="1" applyFont="1" applyFill="1" applyBorder="1" applyAlignment="1">
      <alignment horizontal="center" vertical="center" wrapText="1"/>
    </xf>
    <xf numFmtId="3" fontId="28" fillId="11" borderId="7" xfId="0" applyNumberFormat="1" applyFont="1" applyFill="1" applyBorder="1" applyAlignment="1">
      <alignment horizontal="center" vertical="center" wrapText="1"/>
    </xf>
    <xf numFmtId="3" fontId="0" fillId="0" borderId="0" xfId="0" applyNumberFormat="1"/>
    <xf numFmtId="3" fontId="14" fillId="4" borderId="7" xfId="1" applyNumberFormat="1" applyFont="1" applyFill="1" applyBorder="1" applyAlignment="1">
      <alignment horizontal="center" vertical="center" wrapText="1"/>
    </xf>
    <xf numFmtId="3" fontId="0" fillId="0" borderId="0" xfId="0" applyNumberFormat="1" applyAlignment="1">
      <alignment horizontal="center" vertical="center"/>
    </xf>
    <xf numFmtId="1" fontId="14" fillId="4" borderId="7" xfId="1" applyNumberFormat="1" applyFont="1" applyFill="1" applyBorder="1" applyAlignment="1">
      <alignment horizontal="center" vertical="center" wrapText="1"/>
    </xf>
    <xf numFmtId="0" fontId="11" fillId="0" borderId="0" xfId="0" applyFont="1" applyFill="1"/>
    <xf numFmtId="3" fontId="10" fillId="2" borderId="1" xfId="0" applyNumberFormat="1" applyFont="1" applyFill="1" applyBorder="1" applyAlignment="1">
      <alignment vertical="center" wrapText="1"/>
    </xf>
    <xf numFmtId="3" fontId="11" fillId="4" borderId="1" xfId="0" applyNumberFormat="1" applyFont="1" applyFill="1" applyBorder="1" applyAlignment="1">
      <alignment horizontal="center" vertical="center" wrapText="1"/>
    </xf>
    <xf numFmtId="3" fontId="15" fillId="0" borderId="6" xfId="0" applyNumberFormat="1"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3" fontId="15" fillId="0" borderId="7" xfId="0" applyNumberFormat="1" applyFont="1" applyFill="1" applyBorder="1" applyAlignment="1">
      <alignment horizontal="center" vertical="center" wrapText="1"/>
    </xf>
    <xf numFmtId="3" fontId="19" fillId="0" borderId="7" xfId="0" applyNumberFormat="1" applyFont="1" applyFill="1" applyBorder="1" applyAlignment="1">
      <alignment horizontal="center" vertical="center" wrapText="1"/>
    </xf>
    <xf numFmtId="3" fontId="11" fillId="9" borderId="8" xfId="1" applyNumberFormat="1" applyFont="1" applyFill="1" applyBorder="1" applyAlignment="1">
      <alignment horizontal="center" wrapText="1"/>
    </xf>
    <xf numFmtId="3" fontId="11" fillId="0" borderId="0" xfId="1" applyNumberFormat="1" applyFont="1" applyBorder="1" applyAlignment="1">
      <alignment horizontal="center" wrapText="1"/>
    </xf>
    <xf numFmtId="3" fontId="11" fillId="10" borderId="7" xfId="1" applyNumberFormat="1" applyFont="1" applyFill="1" applyBorder="1" applyAlignment="1">
      <alignment horizontal="center" vertical="center" wrapText="1"/>
    </xf>
    <xf numFmtId="3" fontId="28" fillId="0" borderId="0" xfId="0" applyNumberFormat="1" applyFont="1" applyAlignment="1">
      <alignment horizontal="center" wrapText="1"/>
    </xf>
    <xf numFmtId="3" fontId="29" fillId="0" borderId="0" xfId="0" applyNumberFormat="1" applyFont="1"/>
    <xf numFmtId="0" fontId="0" fillId="0" borderId="0" xfId="0" applyAlignment="1">
      <alignment vertical="center"/>
    </xf>
    <xf numFmtId="0" fontId="0" fillId="0" borderId="0" xfId="0" applyFill="1" applyAlignment="1">
      <alignment vertical="center"/>
    </xf>
    <xf numFmtId="3" fontId="10" fillId="0" borderId="7" xfId="0" applyNumberFormat="1" applyFont="1" applyFill="1" applyBorder="1" applyAlignment="1">
      <alignment horizontal="center" vertical="center" wrapText="1"/>
    </xf>
    <xf numFmtId="0" fontId="11" fillId="0" borderId="0" xfId="0" applyFont="1"/>
    <xf numFmtId="0" fontId="10" fillId="0" borderId="0" xfId="0" applyFont="1" applyAlignment="1">
      <alignment horizontal="center"/>
    </xf>
    <xf numFmtId="1" fontId="10" fillId="0" borderId="0" xfId="0" applyNumberFormat="1" applyFont="1" applyAlignment="1">
      <alignment horizontal="center"/>
    </xf>
    <xf numFmtId="1" fontId="10" fillId="4" borderId="7" xfId="0" applyNumberFormat="1" applyFont="1" applyFill="1" applyBorder="1" applyAlignment="1">
      <alignment horizontal="center" vertical="center" wrapText="1"/>
    </xf>
    <xf numFmtId="1" fontId="10" fillId="9" borderId="9" xfId="1" applyNumberFormat="1" applyFont="1" applyFill="1" applyBorder="1" applyAlignment="1">
      <alignment horizontal="center" wrapText="1"/>
    </xf>
    <xf numFmtId="1" fontId="10" fillId="0" borderId="0" xfId="1" applyNumberFormat="1" applyFont="1" applyBorder="1" applyAlignment="1">
      <alignment horizontal="center" wrapText="1"/>
    </xf>
    <xf numFmtId="3" fontId="14" fillId="0" borderId="7" xfId="1" applyNumberFormat="1" applyFont="1" applyFill="1" applyBorder="1" applyAlignment="1">
      <alignment horizontal="center" vertical="center" wrapText="1"/>
    </xf>
    <xf numFmtId="1" fontId="14" fillId="0" borderId="7" xfId="1" applyNumberFormat="1" applyFont="1" applyFill="1" applyBorder="1" applyAlignment="1">
      <alignment horizontal="center" vertical="center" wrapText="1"/>
    </xf>
    <xf numFmtId="3" fontId="14" fillId="0" borderId="29" xfId="0" applyNumberFormat="1" applyFont="1" applyFill="1" applyBorder="1" applyAlignment="1">
      <alignment horizontal="center" vertical="center" wrapText="1"/>
    </xf>
    <xf numFmtId="3" fontId="21" fillId="0" borderId="29" xfId="0" applyNumberFormat="1" applyFont="1" applyFill="1" applyBorder="1" applyAlignment="1">
      <alignment horizontal="center" vertical="center" wrapText="1"/>
    </xf>
    <xf numFmtId="3" fontId="14" fillId="4" borderId="29" xfId="1" applyNumberFormat="1" applyFont="1" applyFill="1" applyBorder="1" applyAlignment="1">
      <alignment horizontal="center" vertical="center" wrapText="1"/>
    </xf>
    <xf numFmtId="3" fontId="21" fillId="0" borderId="29" xfId="1" applyNumberFormat="1" applyFont="1" applyFill="1" applyBorder="1" applyAlignment="1">
      <alignment horizontal="center" vertical="center" wrapText="1"/>
    </xf>
    <xf numFmtId="3" fontId="14" fillId="0" borderId="29" xfId="1" applyNumberFormat="1" applyFont="1" applyFill="1" applyBorder="1" applyAlignment="1">
      <alignment horizontal="center" vertical="center" wrapText="1"/>
    </xf>
    <xf numFmtId="3" fontId="14" fillId="4" borderId="29" xfId="0" applyNumberFormat="1" applyFont="1" applyFill="1" applyBorder="1" applyAlignment="1">
      <alignment horizontal="center" vertical="center" wrapText="1"/>
    </xf>
    <xf numFmtId="3" fontId="19" fillId="0" borderId="7"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10" fillId="0" borderId="7" xfId="0" applyNumberFormat="1" applyFont="1" applyFill="1" applyBorder="1" applyAlignment="1">
      <alignment horizontal="center" vertical="center"/>
    </xf>
    <xf numFmtId="167" fontId="11" fillId="0" borderId="0" xfId="1" applyNumberFormat="1" applyFont="1" applyFill="1" applyBorder="1" applyAlignment="1">
      <alignment horizontal="center" wrapText="1"/>
    </xf>
    <xf numFmtId="1" fontId="10" fillId="0" borderId="0"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0" fontId="11" fillId="9" borderId="13" xfId="0" applyFont="1" applyFill="1" applyBorder="1" applyAlignment="1">
      <alignment horizontal="right" vertical="center" wrapText="1"/>
    </xf>
    <xf numFmtId="0" fontId="10" fillId="0" borderId="3" xfId="0"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3" fontId="14" fillId="9" borderId="29" xfId="0" applyNumberFormat="1" applyFont="1" applyFill="1" applyBorder="1" applyAlignment="1">
      <alignment horizontal="center" vertical="center" wrapText="1"/>
    </xf>
    <xf numFmtId="3" fontId="0" fillId="0" borderId="7" xfId="0" applyNumberFormat="1" applyFill="1" applyBorder="1" applyAlignment="1">
      <alignment horizontal="center"/>
    </xf>
    <xf numFmtId="3" fontId="0" fillId="0" borderId="0" xfId="0" applyNumberFormat="1" applyAlignment="1">
      <alignment horizontal="center"/>
    </xf>
    <xf numFmtId="3" fontId="10" fillId="0" borderId="0" xfId="0" applyNumberFormat="1" applyFont="1" applyAlignment="1">
      <alignment horizontal="center"/>
    </xf>
    <xf numFmtId="3" fontId="10" fillId="0" borderId="7" xfId="0" applyNumberFormat="1" applyFont="1" applyFill="1" applyBorder="1" applyAlignment="1">
      <alignment horizontal="center"/>
    </xf>
    <xf numFmtId="0" fontId="11" fillId="9" borderId="13" xfId="0" applyFont="1" applyFill="1" applyBorder="1" applyAlignment="1">
      <alignment horizontal="right" vertical="center"/>
    </xf>
    <xf numFmtId="0" fontId="11" fillId="4" borderId="13" xfId="0" applyFont="1" applyFill="1" applyBorder="1" applyAlignment="1">
      <alignment horizontal="right" vertical="center"/>
    </xf>
    <xf numFmtId="165" fontId="10" fillId="0" borderId="7" xfId="0" applyNumberFormat="1" applyFont="1" applyFill="1" applyBorder="1" applyAlignment="1">
      <alignment horizontal="center" vertical="center"/>
    </xf>
    <xf numFmtId="165" fontId="11" fillId="4" borderId="7" xfId="0" applyNumberFormat="1" applyFont="1" applyFill="1" applyBorder="1" applyAlignment="1">
      <alignment horizontal="center" vertical="center"/>
    </xf>
    <xf numFmtId="165" fontId="11" fillId="21" borderId="7" xfId="0" applyNumberFormat="1" applyFont="1" applyFill="1" applyBorder="1" applyAlignment="1">
      <alignment horizontal="center" vertical="center" wrapText="1"/>
    </xf>
    <xf numFmtId="165" fontId="11" fillId="21" borderId="7" xfId="0" applyNumberFormat="1" applyFont="1" applyFill="1" applyBorder="1" applyAlignment="1">
      <alignment horizontal="center" vertical="center"/>
    </xf>
    <xf numFmtId="165" fontId="11" fillId="9" borderId="7" xfId="0" applyNumberFormat="1" applyFont="1" applyFill="1" applyBorder="1" applyAlignment="1">
      <alignment horizontal="center" vertical="center"/>
    </xf>
    <xf numFmtId="165" fontId="15" fillId="20" borderId="7" xfId="0" applyNumberFormat="1" applyFont="1" applyFill="1" applyBorder="1" applyAlignment="1">
      <alignment horizontal="center" vertical="center"/>
    </xf>
    <xf numFmtId="169" fontId="0" fillId="0" borderId="0" xfId="0" applyNumberFormat="1" applyFill="1" applyAlignment="1">
      <alignment horizontal="center"/>
    </xf>
    <xf numFmtId="169" fontId="0" fillId="0" borderId="0" xfId="0" applyNumberFormat="1" applyAlignment="1">
      <alignment horizontal="center"/>
    </xf>
    <xf numFmtId="0" fontId="11" fillId="0" borderId="12" xfId="0"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1" fontId="11" fillId="0" borderId="0" xfId="1" applyNumberFormat="1" applyFont="1" applyBorder="1" applyAlignment="1">
      <alignment horizontal="center" vertical="center" wrapText="1"/>
    </xf>
    <xf numFmtId="0" fontId="10" fillId="2" borderId="33" xfId="0" applyFont="1" applyFill="1" applyBorder="1" applyAlignment="1">
      <alignment vertical="center" wrapText="1"/>
    </xf>
    <xf numFmtId="3" fontId="11" fillId="0" borderId="0" xfId="0" applyNumberFormat="1" applyFont="1" applyBorder="1" applyAlignment="1">
      <alignment horizontal="center"/>
    </xf>
    <xf numFmtId="3" fontId="14" fillId="9" borderId="35" xfId="0" applyNumberFormat="1" applyFont="1" applyFill="1" applyBorder="1" applyAlignment="1">
      <alignment horizontal="center" vertical="center" wrapText="1"/>
    </xf>
    <xf numFmtId="3" fontId="14" fillId="4" borderId="35" xfId="0" applyNumberFormat="1" applyFont="1" applyFill="1" applyBorder="1" applyAlignment="1">
      <alignment horizontal="center" vertical="center" wrapText="1"/>
    </xf>
    <xf numFmtId="3" fontId="0" fillId="0" borderId="35" xfId="0" applyNumberFormat="1" applyFill="1" applyBorder="1" applyAlignment="1">
      <alignment horizontal="center" vertical="center"/>
    </xf>
    <xf numFmtId="3" fontId="14" fillId="0" borderId="35" xfId="0" applyNumberFormat="1" applyFont="1" applyFill="1" applyBorder="1" applyAlignment="1">
      <alignment horizontal="center" vertical="center" wrapText="1"/>
    </xf>
    <xf numFmtId="165" fontId="34" fillId="9" borderId="36" xfId="1" applyNumberFormat="1" applyFont="1" applyFill="1" applyBorder="1" applyAlignment="1">
      <alignment horizontal="center" vertical="center" wrapText="1"/>
    </xf>
    <xf numFmtId="167" fontId="34" fillId="9" borderId="36" xfId="1" applyNumberFormat="1" applyFont="1" applyFill="1" applyBorder="1" applyAlignment="1">
      <alignment horizontal="center" vertical="center" wrapText="1"/>
    </xf>
    <xf numFmtId="167" fontId="34" fillId="9" borderId="37" xfId="1" applyNumberFormat="1" applyFont="1" applyFill="1" applyBorder="1" applyAlignment="1">
      <alignment horizontal="center" vertical="center" wrapText="1"/>
    </xf>
    <xf numFmtId="167" fontId="34" fillId="9" borderId="38" xfId="1" applyNumberFormat="1" applyFont="1" applyFill="1" applyBorder="1" applyAlignment="1">
      <alignment horizontal="center" vertical="center" wrapText="1"/>
    </xf>
    <xf numFmtId="167" fontId="34" fillId="9" borderId="40" xfId="1" applyNumberFormat="1" applyFont="1" applyFill="1" applyBorder="1" applyAlignment="1">
      <alignment horizontal="center" vertical="center" wrapText="1"/>
    </xf>
    <xf numFmtId="3" fontId="11" fillId="19" borderId="47" xfId="0" applyNumberFormat="1" applyFont="1" applyFill="1" applyBorder="1" applyAlignment="1">
      <alignment horizontal="center" vertical="center"/>
    </xf>
    <xf numFmtId="0" fontId="0" fillId="5" borderId="4" xfId="0" applyFill="1" applyBorder="1" applyAlignment="1">
      <alignment horizontal="center" vertical="center" wrapText="1"/>
    </xf>
    <xf numFmtId="3" fontId="20" fillId="4" borderId="29" xfId="0" applyNumberFormat="1" applyFont="1" applyFill="1" applyBorder="1" applyAlignment="1">
      <alignment horizontal="center" vertical="center" wrapText="1"/>
    </xf>
    <xf numFmtId="0" fontId="11" fillId="9" borderId="47" xfId="0" applyFont="1" applyFill="1" applyBorder="1" applyAlignment="1">
      <alignment horizontal="justify" vertical="center" wrapText="1"/>
    </xf>
    <xf numFmtId="0" fontId="11" fillId="9" borderId="48" xfId="0" applyFont="1" applyFill="1" applyBorder="1" applyAlignment="1">
      <alignment horizontal="justify" vertical="center" wrapText="1"/>
    </xf>
    <xf numFmtId="3" fontId="14" fillId="9" borderId="46" xfId="0"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3" fontId="27" fillId="0" borderId="29" xfId="0" applyNumberFormat="1" applyFont="1" applyFill="1" applyBorder="1" applyAlignment="1">
      <alignment horizontal="center" vertical="center" wrapText="1"/>
    </xf>
    <xf numFmtId="3" fontId="27" fillId="0" borderId="7" xfId="0" applyNumberFormat="1" applyFont="1" applyFill="1" applyBorder="1" applyAlignment="1">
      <alignment horizontal="center" vertical="center" wrapText="1"/>
    </xf>
    <xf numFmtId="3" fontId="0" fillId="5" borderId="0" xfId="0" applyNumberFormat="1" applyFill="1" applyBorder="1" applyAlignment="1">
      <alignment horizontal="center" vertical="center"/>
    </xf>
    <xf numFmtId="3" fontId="0" fillId="5" borderId="43" xfId="0" applyNumberFormat="1" applyFill="1" applyBorder="1" applyAlignment="1">
      <alignment horizontal="center" vertical="center"/>
    </xf>
    <xf numFmtId="3" fontId="0" fillId="5" borderId="19"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51" xfId="0" applyNumberFormat="1" applyFill="1" applyBorder="1" applyAlignment="1">
      <alignment horizontal="center" vertical="center"/>
    </xf>
    <xf numFmtId="0" fontId="11" fillId="4" borderId="45" xfId="0" applyFont="1" applyFill="1" applyBorder="1" applyAlignment="1">
      <alignment horizontal="right" vertical="center"/>
    </xf>
    <xf numFmtId="169" fontId="0" fillId="5" borderId="16" xfId="0" applyNumberFormat="1" applyFill="1" applyBorder="1" applyAlignment="1">
      <alignment horizontal="center"/>
    </xf>
    <xf numFmtId="169" fontId="0" fillId="5" borderId="18" xfId="0" applyNumberFormat="1" applyFill="1" applyBorder="1" applyAlignment="1">
      <alignment horizontal="center"/>
    </xf>
    <xf numFmtId="169" fontId="0" fillId="5" borderId="2" xfId="0" applyNumberFormat="1" applyFill="1" applyBorder="1" applyAlignment="1">
      <alignment horizontal="center" vertical="center" wrapText="1"/>
    </xf>
    <xf numFmtId="169" fontId="11" fillId="5" borderId="1" xfId="0" applyNumberFormat="1" applyFont="1" applyFill="1" applyBorder="1" applyAlignment="1">
      <alignment horizontal="center" vertical="center" wrapText="1"/>
    </xf>
    <xf numFmtId="169" fontId="19" fillId="0" borderId="3" xfId="0" applyNumberFormat="1" applyFont="1" applyFill="1" applyBorder="1" applyAlignment="1">
      <alignment horizontal="center" vertical="center" wrapText="1"/>
    </xf>
    <xf numFmtId="169" fontId="11" fillId="9" borderId="3" xfId="0" applyNumberFormat="1" applyFont="1" applyFill="1" applyBorder="1" applyAlignment="1">
      <alignment horizontal="center" vertical="center" wrapText="1"/>
    </xf>
    <xf numFmtId="169" fontId="10" fillId="0" borderId="3" xfId="0" applyNumberFormat="1" applyFont="1" applyFill="1" applyBorder="1" applyAlignment="1">
      <alignment horizontal="center" vertical="center" wrapText="1"/>
    </xf>
    <xf numFmtId="169" fontId="11" fillId="4" borderId="3" xfId="0" applyNumberFormat="1" applyFont="1" applyFill="1" applyBorder="1" applyAlignment="1">
      <alignment horizontal="center" vertical="center" wrapText="1"/>
    </xf>
    <xf numFmtId="169" fontId="15" fillId="4" borderId="3" xfId="0" applyNumberFormat="1" applyFont="1" applyFill="1" applyBorder="1" applyAlignment="1">
      <alignment horizontal="center" vertical="center" wrapText="1"/>
    </xf>
    <xf numFmtId="169" fontId="11" fillId="9" borderId="5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center" wrapText="1"/>
    </xf>
    <xf numFmtId="169" fontId="11" fillId="0" borderId="0" xfId="1" applyNumberFormat="1" applyFont="1" applyBorder="1" applyAlignment="1">
      <alignment horizontal="center" wrapText="1"/>
    </xf>
    <xf numFmtId="169" fontId="0" fillId="5" borderId="0" xfId="0" applyNumberFormat="1" applyFill="1" applyBorder="1" applyAlignment="1">
      <alignment horizontal="center"/>
    </xf>
    <xf numFmtId="169" fontId="0" fillId="5" borderId="19" xfId="0" applyNumberFormat="1" applyFill="1" applyBorder="1" applyAlignment="1">
      <alignment horizontal="center"/>
    </xf>
    <xf numFmtId="169" fontId="0" fillId="5" borderId="2" xfId="0" applyNumberFormat="1" applyFill="1" applyBorder="1" applyAlignment="1">
      <alignment horizontal="center"/>
    </xf>
    <xf numFmtId="0" fontId="19" fillId="24" borderId="7" xfId="0" applyFont="1" applyFill="1" applyBorder="1" applyAlignment="1">
      <alignment horizontal="left" vertical="center"/>
    </xf>
    <xf numFmtId="0" fontId="19" fillId="24" borderId="23" xfId="0" applyFont="1" applyFill="1" applyBorder="1" applyAlignment="1">
      <alignment horizontal="left" vertical="center"/>
    </xf>
    <xf numFmtId="0" fontId="15" fillId="0" borderId="14" xfId="0" applyFont="1" applyFill="1" applyBorder="1" applyAlignment="1">
      <alignment horizontal="justify" vertical="center" wrapText="1"/>
    </xf>
    <xf numFmtId="0" fontId="15" fillId="0" borderId="27" xfId="0" applyFont="1" applyFill="1" applyBorder="1" applyAlignment="1">
      <alignment horizontal="justify" vertical="center" wrapText="1"/>
    </xf>
    <xf numFmtId="169" fontId="15" fillId="0" borderId="5" xfId="0" applyNumberFormat="1"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9" fontId="0" fillId="0" borderId="0" xfId="0" applyNumberFormat="1" applyFill="1" applyBorder="1" applyAlignment="1">
      <alignment horizontal="center"/>
    </xf>
    <xf numFmtId="3" fontId="0" fillId="0" borderId="0" xfId="0" applyNumberFormat="1" applyBorder="1" applyAlignment="1">
      <alignment horizontal="center" vertical="center"/>
    </xf>
    <xf numFmtId="169" fontId="0" fillId="0" borderId="0" xfId="0" applyNumberFormat="1" applyBorder="1" applyAlignment="1">
      <alignment horizontal="center"/>
    </xf>
    <xf numFmtId="3" fontId="11" fillId="0" borderId="0" xfId="1" applyNumberFormat="1" applyFont="1" applyFill="1" applyBorder="1" applyAlignment="1">
      <alignment horizontal="center" vertical="center" wrapText="1"/>
    </xf>
    <xf numFmtId="169" fontId="11" fillId="0" borderId="0" xfId="1" applyNumberFormat="1" applyFont="1" applyFill="1" applyBorder="1" applyAlignment="1">
      <alignment horizontal="center" vertical="center" wrapText="1"/>
    </xf>
    <xf numFmtId="3" fontId="14" fillId="5" borderId="31" xfId="0" applyNumberFormat="1" applyFont="1" applyFill="1" applyBorder="1" applyAlignment="1">
      <alignment horizontal="center" vertical="center" wrapText="1"/>
    </xf>
    <xf numFmtId="3" fontId="10" fillId="0" borderId="3" xfId="0" applyNumberFormat="1" applyFont="1" applyFill="1" applyBorder="1" applyAlignment="1">
      <alignment horizontal="center"/>
    </xf>
    <xf numFmtId="3" fontId="14" fillId="9" borderId="2"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wrapText="1"/>
    </xf>
    <xf numFmtId="169" fontId="14" fillId="5" borderId="52" xfId="0" applyNumberFormat="1" applyFont="1" applyFill="1" applyBorder="1" applyAlignment="1">
      <alignment horizontal="center" vertical="center" wrapText="1"/>
    </xf>
    <xf numFmtId="169" fontId="0" fillId="0" borderId="35" xfId="0" applyNumberFormat="1" applyFill="1" applyBorder="1" applyAlignment="1">
      <alignment horizontal="center"/>
    </xf>
    <xf numFmtId="169" fontId="0" fillId="0" borderId="35" xfId="0" applyNumberFormat="1" applyFill="1" applyBorder="1" applyAlignment="1">
      <alignment horizontal="center" vertical="center"/>
    </xf>
    <xf numFmtId="169" fontId="10" fillId="0" borderId="35" xfId="0" applyNumberFormat="1" applyFont="1" applyFill="1" applyBorder="1" applyAlignment="1">
      <alignment horizontal="center" vertical="center"/>
    </xf>
    <xf numFmtId="169" fontId="29" fillId="0" borderId="35" xfId="0" applyNumberFormat="1" applyFont="1" applyFill="1" applyBorder="1" applyAlignment="1">
      <alignment horizontal="center" vertical="center"/>
    </xf>
    <xf numFmtId="3" fontId="0" fillId="0" borderId="3" xfId="0" applyNumberFormat="1" applyFill="1" applyBorder="1" applyAlignment="1">
      <alignment horizontal="center" vertical="center"/>
    </xf>
    <xf numFmtId="3" fontId="16" fillId="0" borderId="3"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69" fontId="14" fillId="9" borderId="35" xfId="0" applyNumberFormat="1" applyFont="1" applyFill="1" applyBorder="1" applyAlignment="1">
      <alignment horizontal="center" vertical="center" wrapText="1"/>
    </xf>
    <xf numFmtId="169" fontId="14" fillId="4" borderId="35" xfId="0" applyNumberFormat="1" applyFont="1" applyFill="1" applyBorder="1" applyAlignment="1">
      <alignment horizontal="center" vertical="center" wrapText="1"/>
    </xf>
    <xf numFmtId="169" fontId="19" fillId="0" borderId="35" xfId="0" applyNumberFormat="1" applyFont="1" applyFill="1" applyBorder="1" applyAlignment="1">
      <alignment horizontal="center"/>
    </xf>
    <xf numFmtId="3" fontId="20" fillId="4" borderId="35" xfId="0" applyNumberFormat="1" applyFont="1" applyFill="1" applyBorder="1" applyAlignment="1">
      <alignment horizontal="center" vertical="center" wrapText="1"/>
    </xf>
    <xf numFmtId="169" fontId="0" fillId="0" borderId="53" xfId="0" applyNumberFormat="1" applyFill="1" applyBorder="1" applyAlignment="1">
      <alignment horizontal="center"/>
    </xf>
    <xf numFmtId="3" fontId="14" fillId="9" borderId="54" xfId="0" applyNumberFormat="1" applyFont="1" applyFill="1" applyBorder="1" applyAlignment="1">
      <alignment horizontal="center" vertical="center" wrapText="1"/>
    </xf>
    <xf numFmtId="3" fontId="11" fillId="18" borderId="3" xfId="0" applyNumberFormat="1" applyFont="1" applyFill="1" applyBorder="1" applyAlignment="1">
      <alignment horizontal="center" vertical="center"/>
    </xf>
    <xf numFmtId="3" fontId="14" fillId="4" borderId="3" xfId="1"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1" fillId="19" borderId="50" xfId="0" applyNumberFormat="1" applyFont="1" applyFill="1" applyBorder="1" applyAlignment="1">
      <alignment horizontal="center" vertical="center"/>
    </xf>
    <xf numFmtId="3" fontId="14" fillId="5" borderId="52" xfId="0" applyNumberFormat="1" applyFont="1" applyFill="1" applyBorder="1" applyAlignment="1">
      <alignment horizontal="center" vertical="center" wrapText="1"/>
    </xf>
    <xf numFmtId="0" fontId="0" fillId="0" borderId="35" xfId="0" applyFill="1" applyBorder="1" applyAlignment="1">
      <alignment horizontal="center" vertical="center"/>
    </xf>
    <xf numFmtId="168" fontId="14" fillId="4" borderId="35" xfId="1" applyNumberFormat="1" applyFont="1" applyFill="1" applyBorder="1" applyAlignment="1">
      <alignment horizontal="center" vertical="center" wrapText="1"/>
    </xf>
    <xf numFmtId="168" fontId="21" fillId="0" borderId="35" xfId="1" applyNumberFormat="1" applyFont="1" applyFill="1" applyBorder="1" applyAlignment="1">
      <alignment horizontal="center" vertical="center" wrapText="1"/>
    </xf>
    <xf numFmtId="168" fontId="14" fillId="0" borderId="35" xfId="1" applyNumberFormat="1" applyFont="1" applyFill="1" applyBorder="1" applyAlignment="1">
      <alignment horizontal="center" vertical="center" wrapText="1"/>
    </xf>
    <xf numFmtId="167" fontId="14" fillId="9" borderId="54" xfId="1" applyNumberFormat="1" applyFont="1" applyFill="1" applyBorder="1" applyAlignment="1">
      <alignment horizontal="center" wrapText="1"/>
    </xf>
    <xf numFmtId="3" fontId="14" fillId="5" borderId="7" xfId="0" applyNumberFormat="1" applyFont="1" applyFill="1" applyBorder="1" applyAlignment="1">
      <alignment horizontal="center" vertical="center" wrapText="1"/>
    </xf>
    <xf numFmtId="1" fontId="14" fillId="5" borderId="55" xfId="0" applyNumberFormat="1" applyFont="1" applyFill="1" applyBorder="1" applyAlignment="1">
      <alignment horizontal="center" vertical="center" wrapText="1"/>
    </xf>
    <xf numFmtId="0" fontId="16" fillId="0" borderId="7" xfId="0" applyFont="1" applyFill="1" applyBorder="1"/>
    <xf numFmtId="0" fontId="0" fillId="0" borderId="7" xfId="0" applyFill="1" applyBorder="1"/>
    <xf numFmtId="169" fontId="0" fillId="0" borderId="25" xfId="0" applyNumberFormat="1" applyBorder="1" applyAlignment="1">
      <alignment horizontal="center"/>
    </xf>
    <xf numFmtId="3" fontId="20" fillId="5" borderId="55" xfId="0" applyNumberFormat="1" applyFont="1" applyFill="1" applyBorder="1" applyAlignment="1">
      <alignment horizontal="center" vertical="center" wrapText="1"/>
    </xf>
    <xf numFmtId="3" fontId="20" fillId="5" borderId="44" xfId="0" applyNumberFormat="1" applyFont="1" applyFill="1" applyBorder="1" applyAlignment="1">
      <alignment horizontal="center" vertical="center" wrapText="1"/>
    </xf>
    <xf numFmtId="0" fontId="11" fillId="0" borderId="15"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1" fillId="0" borderId="30" xfId="0" applyFont="1" applyFill="1" applyBorder="1" applyAlignment="1">
      <alignment horizontal="justify" vertical="center" wrapText="1"/>
    </xf>
    <xf numFmtId="3" fontId="14" fillId="9" borderId="3" xfId="0" applyNumberFormat="1" applyFont="1" applyFill="1" applyBorder="1" applyAlignment="1">
      <alignment horizontal="center" vertical="center" wrapText="1"/>
    </xf>
    <xf numFmtId="167" fontId="14" fillId="9" borderId="9" xfId="1" applyNumberFormat="1" applyFont="1" applyFill="1" applyBorder="1" applyAlignment="1">
      <alignment horizontal="center" wrapText="1"/>
    </xf>
    <xf numFmtId="0" fontId="0" fillId="5" borderId="51" xfId="0" applyFill="1" applyBorder="1" applyAlignment="1"/>
    <xf numFmtId="3" fontId="33" fillId="21" borderId="7" xfId="2" applyNumberFormat="1" applyFont="1" applyFill="1" applyBorder="1" applyAlignment="1">
      <alignment horizontal="left" vertical="center"/>
    </xf>
    <xf numFmtId="3" fontId="33" fillId="21" borderId="14" xfId="2" applyNumberFormat="1" applyFont="1" applyFill="1" applyBorder="1" applyAlignment="1">
      <alignment horizontal="left" vertical="center"/>
    </xf>
    <xf numFmtId="3" fontId="33" fillId="21" borderId="27" xfId="2" applyNumberFormat="1" applyFont="1" applyFill="1" applyBorder="1" applyAlignment="1">
      <alignment horizontal="left" vertical="center"/>
    </xf>
    <xf numFmtId="3" fontId="33" fillId="24" borderId="7" xfId="2" applyNumberFormat="1" applyFont="1" applyFill="1" applyBorder="1" applyAlignment="1">
      <alignment horizontal="left" vertical="center"/>
    </xf>
    <xf numFmtId="3" fontId="33" fillId="24" borderId="14" xfId="2" applyNumberFormat="1" applyFont="1" applyFill="1" applyBorder="1" applyAlignment="1">
      <alignment horizontal="left" vertical="center"/>
    </xf>
    <xf numFmtId="3" fontId="33" fillId="24" borderId="27" xfId="2" applyNumberFormat="1" applyFont="1" applyFill="1" applyBorder="1" applyAlignment="1">
      <alignment horizontal="left" vertical="center"/>
    </xf>
    <xf numFmtId="3" fontId="11" fillId="0" borderId="0" xfId="1" applyNumberFormat="1" applyFont="1" applyBorder="1" applyAlignment="1">
      <alignment horizontal="center"/>
    </xf>
    <xf numFmtId="3" fontId="11" fillId="4" borderId="14" xfId="0" applyNumberFormat="1" applyFont="1" applyFill="1" applyBorder="1" applyAlignment="1">
      <alignment horizontal="center" vertical="center" wrapText="1"/>
    </xf>
    <xf numFmtId="3" fontId="33" fillId="16" borderId="7" xfId="1" applyNumberFormat="1" applyFont="1" applyFill="1" applyBorder="1" applyAlignment="1">
      <alignment horizontal="center" vertical="center"/>
    </xf>
    <xf numFmtId="3" fontId="11" fillId="4" borderId="7" xfId="0" applyNumberFormat="1" applyFont="1" applyFill="1" applyBorder="1" applyAlignment="1">
      <alignment horizontal="center" vertical="center"/>
    </xf>
    <xf numFmtId="3" fontId="0" fillId="5" borderId="2" xfId="0" applyNumberFormat="1" applyFill="1" applyBorder="1" applyAlignment="1">
      <alignment horizontal="center"/>
    </xf>
    <xf numFmtId="3" fontId="11" fillId="5" borderId="1" xfId="0" applyNumberFormat="1" applyFont="1" applyFill="1" applyBorder="1" applyAlignment="1">
      <alignment horizontal="center" vertical="center" wrapText="1"/>
    </xf>
    <xf numFmtId="0" fontId="10" fillId="0" borderId="7" xfId="0" applyFont="1" applyFill="1" applyBorder="1"/>
    <xf numFmtId="3" fontId="32" fillId="13" borderId="7" xfId="2" applyNumberFormat="1" applyFont="1" applyFill="1" applyBorder="1" applyAlignment="1">
      <alignment horizontal="left" vertical="center" wrapText="1"/>
    </xf>
    <xf numFmtId="1" fontId="0" fillId="5" borderId="0" xfId="0" applyNumberFormat="1" applyFill="1" applyBorder="1"/>
    <xf numFmtId="1" fontId="0" fillId="5" borderId="19" xfId="0" applyNumberFormat="1" applyFill="1" applyBorder="1"/>
    <xf numFmtId="1" fontId="20" fillId="0" borderId="7" xfId="0" applyNumberFormat="1" applyFont="1" applyFill="1" applyBorder="1" applyAlignment="1">
      <alignment horizontal="center" vertical="center" wrapText="1"/>
    </xf>
    <xf numFmtId="1" fontId="27" fillId="0" borderId="7" xfId="0" applyNumberFormat="1" applyFont="1" applyFill="1" applyBorder="1" applyAlignment="1">
      <alignment horizontal="center" vertical="center" wrapText="1"/>
    </xf>
    <xf numFmtId="3" fontId="0" fillId="5" borderId="0" xfId="0" applyNumberFormat="1" applyFill="1" applyBorder="1"/>
    <xf numFmtId="3" fontId="0" fillId="5" borderId="19" xfId="0" applyNumberFormat="1" applyFill="1" applyBorder="1"/>
    <xf numFmtId="3" fontId="0" fillId="5" borderId="2" xfId="0" applyNumberFormat="1" applyFill="1" applyBorder="1" applyAlignment="1"/>
    <xf numFmtId="3" fontId="19" fillId="0" borderId="3"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1" fontId="11" fillId="0" borderId="0" xfId="1"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3" fontId="20" fillId="5" borderId="56" xfId="0" applyNumberFormat="1" applyFont="1" applyFill="1" applyBorder="1" applyAlignment="1">
      <alignment horizontal="center" vertical="center" wrapText="1"/>
    </xf>
    <xf numFmtId="0" fontId="30" fillId="5" borderId="43" xfId="0" applyFont="1" applyFill="1" applyBorder="1" applyAlignment="1">
      <alignment horizontal="center" vertical="center" wrapText="1"/>
    </xf>
    <xf numFmtId="0" fontId="0" fillId="3" borderId="0" xfId="0" applyFill="1" applyAlignment="1">
      <alignment vertical="center" wrapText="1"/>
    </xf>
    <xf numFmtId="0" fontId="0" fillId="5" borderId="16" xfId="0" applyFill="1" applyBorder="1" applyAlignment="1">
      <alignment horizontal="center" vertical="center" wrapText="1"/>
    </xf>
    <xf numFmtId="0" fontId="0" fillId="3" borderId="0" xfId="0" applyFill="1" applyBorder="1" applyAlignment="1">
      <alignment vertical="center" wrapText="1"/>
    </xf>
    <xf numFmtId="3" fontId="0" fillId="3" borderId="0" xfId="0" applyNumberFormat="1" applyFill="1" applyBorder="1" applyAlignment="1">
      <alignment vertical="center" wrapText="1"/>
    </xf>
    <xf numFmtId="0" fontId="0" fillId="5" borderId="18" xfId="0" applyFill="1" applyBorder="1" applyAlignment="1">
      <alignment horizontal="center" vertical="center" wrapText="1"/>
    </xf>
    <xf numFmtId="0" fontId="0" fillId="5" borderId="51" xfId="0" applyFill="1" applyBorder="1" applyAlignment="1">
      <alignment vertical="center" wrapText="1"/>
    </xf>
    <xf numFmtId="0" fontId="30" fillId="5" borderId="58"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10" fillId="18" borderId="12" xfId="0" applyFont="1" applyFill="1" applyBorder="1" applyAlignment="1">
      <alignment horizontal="left" vertical="center"/>
    </xf>
    <xf numFmtId="0" fontId="12" fillId="18" borderId="0" xfId="0" applyFont="1" applyFill="1" applyBorder="1" applyAlignment="1">
      <alignment horizontal="center"/>
    </xf>
    <xf numFmtId="0" fontId="10" fillId="18" borderId="12" xfId="0" applyFont="1" applyFill="1" applyBorder="1" applyAlignment="1">
      <alignment vertical="center"/>
    </xf>
    <xf numFmtId="0" fontId="12" fillId="18" borderId="17" xfId="0" applyFont="1" applyFill="1" applyBorder="1" applyAlignment="1">
      <alignment horizontal="center"/>
    </xf>
    <xf numFmtId="0" fontId="12" fillId="18" borderId="0" xfId="0" applyFont="1" applyFill="1" applyBorder="1" applyAlignment="1">
      <alignment horizontal="center" vertical="center" wrapText="1"/>
    </xf>
    <xf numFmtId="170" fontId="13" fillId="18" borderId="0" xfId="1" applyNumberFormat="1" applyFont="1" applyFill="1" applyBorder="1" applyAlignment="1">
      <alignment horizontal="center" vertical="center" wrapText="1"/>
    </xf>
    <xf numFmtId="0" fontId="10" fillId="18" borderId="0" xfId="0" applyFont="1" applyFill="1" applyBorder="1" applyAlignment="1">
      <alignment horizontal="left" vertical="center" wrapText="1"/>
    </xf>
    <xf numFmtId="166" fontId="11" fillId="18" borderId="0" xfId="1" applyNumberFormat="1" applyFont="1" applyFill="1" applyBorder="1" applyAlignment="1">
      <alignment horizontal="center" vertical="center" wrapText="1"/>
    </xf>
    <xf numFmtId="0" fontId="10" fillId="18" borderId="0" xfId="0" applyFont="1" applyFill="1" applyBorder="1" applyAlignment="1">
      <alignment horizontal="left" wrapText="1"/>
    </xf>
    <xf numFmtId="0" fontId="10" fillId="18" borderId="17" xfId="0" applyFont="1" applyFill="1" applyBorder="1" applyAlignment="1">
      <alignment horizontal="left" wrapText="1"/>
    </xf>
    <xf numFmtId="0" fontId="0" fillId="18" borderId="20" xfId="0" applyFill="1" applyBorder="1"/>
    <xf numFmtId="3" fontId="11" fillId="18" borderId="0" xfId="0" applyNumberFormat="1" applyFont="1" applyFill="1" applyBorder="1" applyAlignment="1">
      <alignment horizontal="center"/>
    </xf>
    <xf numFmtId="170" fontId="13" fillId="18" borderId="14" xfId="1" applyNumberFormat="1" applyFont="1" applyFill="1" applyBorder="1" applyAlignment="1">
      <alignment horizontal="center"/>
    </xf>
    <xf numFmtId="0" fontId="10" fillId="18" borderId="7" xfId="0" applyFont="1" applyFill="1" applyBorder="1" applyAlignment="1">
      <alignment horizontal="left" wrapText="1"/>
    </xf>
    <xf numFmtId="3" fontId="11" fillId="0" borderId="0" xfId="0" applyNumberFormat="1" applyFont="1" applyBorder="1" applyAlignment="1">
      <alignment horizontal="center" vertical="center" wrapText="1"/>
    </xf>
    <xf numFmtId="167" fontId="28" fillId="11" borderId="0" xfId="0" applyNumberFormat="1" applyFont="1" applyFill="1" applyBorder="1" applyAlignment="1">
      <alignment horizontal="center" vertical="center" wrapText="1"/>
    </xf>
    <xf numFmtId="0" fontId="0" fillId="18" borderId="7" xfId="0" applyFill="1" applyBorder="1"/>
    <xf numFmtId="3" fontId="0" fillId="0" borderId="0" xfId="0" applyNumberFormat="1" applyFill="1"/>
    <xf numFmtId="3" fontId="10" fillId="0" borderId="7" xfId="0" applyNumberFormat="1" applyFont="1" applyFill="1" applyBorder="1"/>
    <xf numFmtId="3" fontId="0" fillId="0" borderId="7" xfId="0" applyNumberFormat="1" applyFill="1" applyBorder="1"/>
    <xf numFmtId="165" fontId="0" fillId="0" borderId="0" xfId="0" applyNumberFormat="1" applyFill="1"/>
    <xf numFmtId="3" fontId="13" fillId="18" borderId="7" xfId="1" applyNumberFormat="1" applyFont="1" applyFill="1" applyBorder="1" applyAlignment="1">
      <alignment horizontal="center" vertical="center" wrapText="1"/>
    </xf>
    <xf numFmtId="0" fontId="10" fillId="4" borderId="7" xfId="0" applyFont="1" applyFill="1" applyBorder="1" applyAlignment="1">
      <alignment horizontal="left" wrapText="1"/>
    </xf>
    <xf numFmtId="166" fontId="11" fillId="18" borderId="7" xfId="1" applyNumberFormat="1" applyFont="1" applyFill="1" applyBorder="1" applyAlignment="1">
      <alignment horizontal="center"/>
    </xf>
    <xf numFmtId="0" fontId="0" fillId="4" borderId="7" xfId="0" applyFill="1" applyBorder="1"/>
    <xf numFmtId="0" fontId="0" fillId="0" borderId="7" xfId="0" applyFill="1" applyBorder="1" applyAlignment="1">
      <alignment vertical="center"/>
    </xf>
    <xf numFmtId="3" fontId="0" fillId="0" borderId="53" xfId="0" applyNumberFormat="1" applyFill="1" applyBorder="1" applyAlignment="1">
      <alignment horizontal="center" vertical="center"/>
    </xf>
    <xf numFmtId="3" fontId="0" fillId="0" borderId="0" xfId="0" applyNumberFormat="1" applyBorder="1"/>
    <xf numFmtId="3" fontId="13" fillId="18" borderId="7" xfId="1" applyNumberFormat="1" applyFont="1" applyFill="1" applyBorder="1" applyAlignment="1">
      <alignment vertical="center" wrapText="1"/>
    </xf>
    <xf numFmtId="165" fontId="13" fillId="18" borderId="7" xfId="1" applyNumberFormat="1" applyFont="1" applyFill="1" applyBorder="1" applyAlignment="1">
      <alignment vertical="center" wrapText="1"/>
    </xf>
    <xf numFmtId="0" fontId="10" fillId="18" borderId="7" xfId="0" applyFont="1" applyFill="1" applyBorder="1" applyAlignment="1">
      <alignment horizontal="left" vertical="center" wrapText="1"/>
    </xf>
    <xf numFmtId="0" fontId="0" fillId="5" borderId="0" xfId="0" applyFill="1" applyBorder="1" applyAlignment="1">
      <alignment vertical="center" wrapText="1"/>
    </xf>
    <xf numFmtId="3" fontId="0" fillId="3" borderId="0" xfId="0" applyNumberFormat="1" applyFill="1" applyAlignment="1">
      <alignment vertical="center" wrapText="1"/>
    </xf>
    <xf numFmtId="0" fontId="10" fillId="0" borderId="7" xfId="0" applyFont="1" applyFill="1" applyBorder="1" applyAlignment="1">
      <alignment vertical="center"/>
    </xf>
    <xf numFmtId="0" fontId="11" fillId="19" borderId="7" xfId="0" applyFont="1" applyFill="1" applyBorder="1" applyAlignment="1">
      <alignment vertical="center"/>
    </xf>
    <xf numFmtId="0" fontId="0" fillId="19" borderId="7" xfId="0" applyFill="1" applyBorder="1" applyAlignment="1">
      <alignment vertical="center"/>
    </xf>
    <xf numFmtId="0" fontId="11" fillId="25" borderId="6" xfId="0" applyFont="1" applyFill="1" applyBorder="1" applyAlignment="1">
      <alignment horizontal="center" vertical="center" wrapText="1"/>
    </xf>
    <xf numFmtId="1" fontId="10" fillId="25" borderId="6" xfId="0" applyNumberFormat="1" applyFont="1" applyFill="1" applyBorder="1" applyAlignment="1">
      <alignment horizontal="center" vertical="center" wrapText="1"/>
    </xf>
    <xf numFmtId="3" fontId="18" fillId="25" borderId="6" xfId="0" applyNumberFormat="1" applyFont="1" applyFill="1" applyBorder="1" applyAlignment="1">
      <alignment horizontal="center" vertical="center" wrapText="1"/>
    </xf>
    <xf numFmtId="1" fontId="18" fillId="25" borderId="6" xfId="0" applyNumberFormat="1" applyFont="1" applyFill="1" applyBorder="1" applyAlignment="1">
      <alignment horizontal="center" vertical="center" wrapText="1"/>
    </xf>
    <xf numFmtId="3" fontId="18" fillId="25" borderId="49" xfId="0" applyNumberFormat="1" applyFont="1" applyFill="1" applyBorder="1" applyAlignment="1">
      <alignment horizontal="center" vertical="center" wrapText="1"/>
    </xf>
    <xf numFmtId="3" fontId="16" fillId="25" borderId="20" xfId="0" applyNumberFormat="1" applyFont="1" applyFill="1" applyBorder="1" applyAlignment="1">
      <alignment horizontal="center" vertical="center"/>
    </xf>
    <xf numFmtId="3" fontId="16" fillId="25" borderId="6" xfId="0" applyNumberFormat="1" applyFont="1" applyFill="1" applyBorder="1" applyAlignment="1">
      <alignment horizontal="center" vertical="center"/>
    </xf>
    <xf numFmtId="0" fontId="11" fillId="25" borderId="7" xfId="0" applyFont="1" applyFill="1" applyBorder="1" applyAlignment="1">
      <alignment horizontal="center" vertical="center"/>
    </xf>
    <xf numFmtId="3" fontId="16" fillId="25" borderId="7" xfId="0" applyNumberFormat="1" applyFont="1" applyFill="1" applyBorder="1"/>
    <xf numFmtId="0" fontId="11" fillId="23" borderId="7" xfId="0" applyFont="1" applyFill="1" applyBorder="1" applyAlignment="1">
      <alignment horizontal="center" vertical="center" wrapText="1"/>
    </xf>
    <xf numFmtId="1" fontId="10" fillId="23" borderId="7" xfId="0" applyNumberFormat="1" applyFont="1" applyFill="1" applyBorder="1" applyAlignment="1">
      <alignment horizontal="center" vertical="center" wrapText="1"/>
    </xf>
    <xf numFmtId="3" fontId="27" fillId="23" borderId="7" xfId="1" applyNumberFormat="1" applyFont="1" applyFill="1" applyBorder="1" applyAlignment="1">
      <alignment horizontal="center" vertical="center" wrapText="1"/>
    </xf>
    <xf numFmtId="1" fontId="27" fillId="23" borderId="7" xfId="1" applyNumberFormat="1" applyFont="1" applyFill="1" applyBorder="1" applyAlignment="1">
      <alignment horizontal="center" vertical="center" wrapText="1"/>
    </xf>
    <xf numFmtId="3" fontId="27" fillId="23" borderId="29" xfId="1" applyNumberFormat="1" applyFont="1" applyFill="1" applyBorder="1" applyAlignment="1">
      <alignment horizontal="center" vertical="center" wrapText="1"/>
    </xf>
    <xf numFmtId="168" fontId="27" fillId="23" borderId="35" xfId="1" applyNumberFormat="1" applyFont="1" applyFill="1" applyBorder="1" applyAlignment="1">
      <alignment horizontal="center" vertical="center" wrapText="1"/>
    </xf>
    <xf numFmtId="3" fontId="19" fillId="23" borderId="3" xfId="0" applyNumberFormat="1" applyFont="1" applyFill="1" applyBorder="1" applyAlignment="1">
      <alignment horizontal="center" vertical="center"/>
    </xf>
    <xf numFmtId="3" fontId="16" fillId="23" borderId="7" xfId="0" applyNumberFormat="1" applyFont="1" applyFill="1" applyBorder="1" applyAlignment="1">
      <alignment horizontal="center" vertical="center"/>
    </xf>
    <xf numFmtId="3" fontId="0" fillId="23" borderId="7" xfId="0" applyNumberFormat="1" applyFill="1" applyBorder="1" applyAlignment="1">
      <alignment horizontal="center" vertical="center"/>
    </xf>
    <xf numFmtId="0" fontId="16" fillId="23" borderId="7" xfId="0" applyFont="1" applyFill="1" applyBorder="1" applyAlignment="1">
      <alignment vertical="center"/>
    </xf>
    <xf numFmtId="3" fontId="16" fillId="23" borderId="7" xfId="0" applyNumberFormat="1" applyFont="1" applyFill="1" applyBorder="1"/>
    <xf numFmtId="3" fontId="23" fillId="7" borderId="3" xfId="0" applyNumberFormat="1" applyFont="1" applyFill="1" applyBorder="1" applyAlignment="1">
      <alignment horizontal="left" vertical="center" wrapText="1"/>
    </xf>
    <xf numFmtId="3" fontId="0" fillId="23" borderId="3" xfId="0" applyNumberFormat="1" applyFill="1" applyBorder="1" applyAlignment="1">
      <alignment horizontal="center" vertical="center"/>
    </xf>
    <xf numFmtId="3" fontId="14" fillId="4" borderId="35" xfId="1" applyNumberFormat="1" applyFont="1" applyFill="1" applyBorder="1" applyAlignment="1">
      <alignment horizontal="center" vertical="center" wrapText="1"/>
    </xf>
    <xf numFmtId="3" fontId="0" fillId="23" borderId="35" xfId="0" applyNumberFormat="1" applyFill="1" applyBorder="1" applyAlignment="1">
      <alignment horizontal="center" vertical="center"/>
    </xf>
    <xf numFmtId="3" fontId="11" fillId="19" borderId="54" xfId="0" applyNumberFormat="1" applyFont="1" applyFill="1" applyBorder="1" applyAlignment="1">
      <alignment horizontal="center" vertical="center"/>
    </xf>
    <xf numFmtId="3" fontId="0" fillId="0" borderId="3" xfId="0" applyNumberFormat="1" applyFill="1" applyBorder="1" applyAlignment="1">
      <alignment horizontal="center"/>
    </xf>
    <xf numFmtId="3" fontId="0" fillId="0" borderId="2" xfId="0" applyNumberFormat="1" applyFill="1" applyBorder="1" applyAlignment="1">
      <alignment horizontal="center" vertical="center"/>
    </xf>
    <xf numFmtId="3" fontId="21" fillId="0" borderId="0" xfId="0" applyNumberFormat="1" applyFont="1" applyAlignment="1">
      <alignment horizontal="right"/>
    </xf>
    <xf numFmtId="1" fontId="14" fillId="9" borderId="7"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5" borderId="14" xfId="0" applyNumberFormat="1" applyFont="1" applyFill="1" applyBorder="1" applyAlignment="1">
      <alignment horizontal="center" vertical="center" wrapText="1"/>
    </xf>
    <xf numFmtId="1" fontId="0" fillId="0" borderId="0" xfId="0" applyNumberFormat="1" applyBorder="1"/>
    <xf numFmtId="3" fontId="14" fillId="9" borderId="57" xfId="1" applyNumberFormat="1" applyFont="1" applyFill="1" applyBorder="1" applyAlignment="1">
      <alignment horizontal="center" wrapText="1"/>
    </xf>
    <xf numFmtId="0" fontId="34" fillId="0" borderId="12" xfId="0" applyFont="1" applyBorder="1" applyAlignment="1">
      <alignment wrapText="1"/>
    </xf>
    <xf numFmtId="3" fontId="34" fillId="11" borderId="7" xfId="0" applyNumberFormat="1" applyFont="1" applyFill="1" applyBorder="1" applyAlignment="1">
      <alignment horizontal="center" vertical="center" wrapText="1"/>
    </xf>
    <xf numFmtId="0" fontId="31" fillId="0" borderId="0" xfId="0" applyFont="1"/>
    <xf numFmtId="3" fontId="31" fillId="0" borderId="0" xfId="0" applyNumberFormat="1" applyFont="1"/>
    <xf numFmtId="0" fontId="10" fillId="0" borderId="7" xfId="0" applyFont="1" applyFill="1" applyBorder="1" applyAlignment="1"/>
    <xf numFmtId="0" fontId="11" fillId="5" borderId="51" xfId="0" applyFont="1" applyFill="1" applyBorder="1" applyAlignment="1"/>
    <xf numFmtId="3" fontId="11" fillId="0" borderId="0" xfId="0" applyNumberFormat="1" applyFont="1" applyAlignment="1">
      <alignment horizontal="center"/>
    </xf>
    <xf numFmtId="169" fontId="11" fillId="25" borderId="5" xfId="0" applyNumberFormat="1" applyFont="1" applyFill="1" applyBorder="1" applyAlignment="1">
      <alignment horizontal="center" vertical="center" wrapText="1"/>
    </xf>
    <xf numFmtId="3" fontId="0" fillId="25" borderId="15" xfId="0" applyNumberFormat="1" applyFill="1" applyBorder="1" applyAlignment="1">
      <alignment horizontal="center" vertical="center"/>
    </xf>
    <xf numFmtId="169" fontId="0" fillId="25" borderId="49" xfId="0" applyNumberFormat="1" applyFill="1" applyBorder="1" applyAlignment="1">
      <alignment horizontal="center"/>
    </xf>
    <xf numFmtId="3" fontId="0" fillId="25" borderId="20" xfId="0" applyNumberFormat="1" applyFill="1" applyBorder="1" applyAlignment="1">
      <alignment horizontal="center" vertical="center"/>
    </xf>
    <xf numFmtId="3" fontId="0" fillId="25" borderId="6" xfId="0" applyNumberFormat="1" applyFill="1" applyBorder="1" applyAlignment="1">
      <alignment horizontal="center" vertical="center"/>
    </xf>
    <xf numFmtId="0" fontId="0" fillId="25" borderId="7" xfId="0" applyFill="1" applyBorder="1"/>
    <xf numFmtId="169" fontId="0" fillId="25" borderId="35" xfId="0" applyNumberFormat="1" applyFill="1" applyBorder="1" applyAlignment="1">
      <alignment horizontal="center"/>
    </xf>
    <xf numFmtId="3" fontId="0" fillId="25" borderId="3" xfId="0" applyNumberFormat="1" applyFill="1" applyBorder="1" applyAlignment="1">
      <alignment horizontal="center" vertical="center"/>
    </xf>
    <xf numFmtId="3" fontId="0" fillId="25" borderId="7" xfId="0" applyNumberFormat="1" applyFill="1" applyBorder="1" applyAlignment="1">
      <alignment horizontal="center" vertical="center"/>
    </xf>
    <xf numFmtId="3" fontId="0" fillId="25" borderId="35" xfId="0" applyNumberFormat="1" applyFill="1" applyBorder="1" applyAlignment="1">
      <alignment horizontal="center" vertical="center"/>
    </xf>
    <xf numFmtId="169" fontId="17" fillId="23" borderId="3" xfId="0" applyNumberFormat="1" applyFont="1" applyFill="1" applyBorder="1" applyAlignment="1">
      <alignment horizontal="center" vertical="center" wrapText="1"/>
    </xf>
    <xf numFmtId="3" fontId="18" fillId="23" borderId="29" xfId="0" applyNumberFormat="1" applyFont="1" applyFill="1" applyBorder="1" applyAlignment="1">
      <alignment horizontal="center" vertical="center" wrapText="1"/>
    </xf>
    <xf numFmtId="169" fontId="16" fillId="23" borderId="35" xfId="0" applyNumberFormat="1" applyFont="1" applyFill="1" applyBorder="1" applyAlignment="1">
      <alignment horizontal="center"/>
    </xf>
    <xf numFmtId="3" fontId="16" fillId="23" borderId="3" xfId="0" applyNumberFormat="1" applyFont="1" applyFill="1" applyBorder="1" applyAlignment="1">
      <alignment horizontal="center" vertical="center"/>
    </xf>
    <xf numFmtId="3" fontId="16" fillId="23" borderId="35" xfId="0" applyNumberFormat="1" applyFont="1" applyFill="1" applyBorder="1" applyAlignment="1">
      <alignment horizontal="center" vertical="center"/>
    </xf>
    <xf numFmtId="169" fontId="11" fillId="23" borderId="3" xfId="0" applyNumberFormat="1" applyFont="1" applyFill="1" applyBorder="1" applyAlignment="1">
      <alignment horizontal="center" vertical="center" wrapText="1"/>
    </xf>
    <xf numFmtId="3" fontId="14" fillId="23" borderId="29" xfId="0" applyNumberFormat="1" applyFont="1" applyFill="1" applyBorder="1" applyAlignment="1">
      <alignment horizontal="center" vertical="center" wrapText="1"/>
    </xf>
    <xf numFmtId="169" fontId="0" fillId="23" borderId="35" xfId="0" applyNumberFormat="1" applyFill="1" applyBorder="1" applyAlignment="1">
      <alignment horizontal="center"/>
    </xf>
    <xf numFmtId="0" fontId="19" fillId="13" borderId="35" xfId="0" applyFont="1" applyFill="1" applyBorder="1" applyAlignment="1">
      <alignment horizontal="left" vertical="center"/>
    </xf>
    <xf numFmtId="3" fontId="18" fillId="22" borderId="29" xfId="0" applyNumberFormat="1" applyFont="1" applyFill="1" applyBorder="1" applyAlignment="1">
      <alignment horizontal="center" vertical="center" wrapText="1"/>
    </xf>
    <xf numFmtId="3" fontId="16" fillId="22" borderId="7" xfId="0" applyNumberFormat="1" applyFont="1" applyFill="1" applyBorder="1" applyAlignment="1">
      <alignment horizontal="center" vertical="center"/>
    </xf>
    <xf numFmtId="169" fontId="16" fillId="22" borderId="35" xfId="0" applyNumberFormat="1" applyFont="1" applyFill="1" applyBorder="1" applyAlignment="1">
      <alignment horizontal="center"/>
    </xf>
    <xf numFmtId="3" fontId="16" fillId="22" borderId="3" xfId="0" applyNumberFormat="1" applyFont="1" applyFill="1" applyBorder="1" applyAlignment="1">
      <alignment horizontal="center" vertical="center"/>
    </xf>
    <xf numFmtId="3" fontId="16" fillId="22" borderId="35" xfId="0" applyNumberFormat="1" applyFont="1" applyFill="1" applyBorder="1" applyAlignment="1">
      <alignment horizontal="center" vertical="center"/>
    </xf>
    <xf numFmtId="169" fontId="11" fillId="22" borderId="3" xfId="0" applyNumberFormat="1" applyFont="1" applyFill="1" applyBorder="1" applyAlignment="1">
      <alignment horizontal="center" vertical="center" wrapText="1"/>
    </xf>
    <xf numFmtId="169" fontId="0" fillId="28" borderId="35" xfId="0" applyNumberFormat="1" applyFill="1" applyBorder="1" applyAlignment="1">
      <alignment horizontal="center"/>
    </xf>
    <xf numFmtId="169" fontId="15" fillId="24" borderId="3" xfId="0" applyNumberFormat="1" applyFont="1" applyFill="1" applyBorder="1" applyAlignment="1">
      <alignment horizontal="center" vertical="center" wrapText="1"/>
    </xf>
    <xf numFmtId="3" fontId="20" fillId="24" borderId="29" xfId="0" applyNumberFormat="1" applyFont="1" applyFill="1" applyBorder="1" applyAlignment="1">
      <alignment horizontal="center" vertical="center" wrapText="1"/>
    </xf>
    <xf numFmtId="3" fontId="16" fillId="24" borderId="7" xfId="0" applyNumberFormat="1" applyFont="1" applyFill="1" applyBorder="1" applyAlignment="1">
      <alignment horizontal="center" vertical="center"/>
    </xf>
    <xf numFmtId="169" fontId="16" fillId="24" borderId="35" xfId="0" applyNumberFormat="1" applyFont="1" applyFill="1" applyBorder="1" applyAlignment="1">
      <alignment horizontal="center"/>
    </xf>
    <xf numFmtId="3" fontId="16" fillId="24" borderId="3" xfId="0" applyNumberFormat="1" applyFont="1" applyFill="1" applyBorder="1" applyAlignment="1">
      <alignment horizontal="center" vertical="center"/>
    </xf>
    <xf numFmtId="3" fontId="16" fillId="24" borderId="35" xfId="0" applyNumberFormat="1" applyFont="1" applyFill="1" applyBorder="1" applyAlignment="1">
      <alignment horizontal="center" vertical="center"/>
    </xf>
    <xf numFmtId="3" fontId="0" fillId="25" borderId="59" xfId="0" applyNumberFormat="1" applyFill="1" applyBorder="1" applyAlignment="1">
      <alignment horizontal="center" vertical="center"/>
    </xf>
    <xf numFmtId="3" fontId="0" fillId="25" borderId="60" xfId="0" applyNumberFormat="1" applyFill="1" applyBorder="1" applyAlignment="1">
      <alignment horizontal="center" vertical="center"/>
    </xf>
    <xf numFmtId="3" fontId="0" fillId="0" borderId="60" xfId="0" applyNumberFormat="1" applyFill="1" applyBorder="1" applyAlignment="1">
      <alignment horizontal="center" vertical="center"/>
    </xf>
    <xf numFmtId="3" fontId="16" fillId="23" borderId="60" xfId="0" applyNumberFormat="1" applyFont="1" applyFill="1" applyBorder="1" applyAlignment="1">
      <alignment horizontal="center" vertical="center"/>
    </xf>
    <xf numFmtId="3" fontId="0" fillId="23" borderId="60" xfId="0" applyNumberFormat="1" applyFill="1" applyBorder="1" applyAlignment="1">
      <alignment horizontal="center" vertical="center"/>
    </xf>
    <xf numFmtId="3" fontId="14" fillId="4" borderId="60" xfId="0" applyNumberFormat="1" applyFont="1" applyFill="1" applyBorder="1" applyAlignment="1">
      <alignment horizontal="center" vertical="center" wrapText="1"/>
    </xf>
    <xf numFmtId="3" fontId="16" fillId="22" borderId="60" xfId="0" applyNumberFormat="1" applyFont="1" applyFill="1" applyBorder="1" applyAlignment="1">
      <alignment horizontal="center" vertical="center"/>
    </xf>
    <xf numFmtId="0" fontId="19" fillId="13" borderId="60" xfId="0" applyFont="1" applyFill="1" applyBorder="1" applyAlignment="1">
      <alignment horizontal="left" vertical="center"/>
    </xf>
    <xf numFmtId="3" fontId="16" fillId="24" borderId="60" xfId="0" applyNumberFormat="1" applyFont="1" applyFill="1" applyBorder="1" applyAlignment="1">
      <alignment horizontal="center" vertical="center"/>
    </xf>
    <xf numFmtId="3" fontId="0" fillId="0" borderId="61" xfId="0" applyNumberFormat="1" applyFill="1" applyBorder="1" applyAlignment="1">
      <alignment horizontal="center" vertical="center"/>
    </xf>
    <xf numFmtId="3" fontId="0" fillId="25" borderId="63" xfId="0" applyNumberFormat="1" applyFill="1" applyBorder="1" applyAlignment="1">
      <alignment horizontal="center" vertical="center"/>
    </xf>
    <xf numFmtId="169" fontId="10" fillId="25" borderId="3" xfId="0" applyNumberFormat="1" applyFont="1" applyFill="1" applyBorder="1" applyAlignment="1">
      <alignment horizontal="center" vertical="center" wrapText="1"/>
    </xf>
    <xf numFmtId="3" fontId="14" fillId="25" borderId="29" xfId="0" applyNumberFormat="1" applyFont="1" applyFill="1" applyBorder="1" applyAlignment="1">
      <alignment horizontal="center" vertical="center" wrapText="1"/>
    </xf>
    <xf numFmtId="169" fontId="15" fillId="27" borderId="3" xfId="0" applyNumberFormat="1" applyFont="1" applyFill="1" applyBorder="1" applyAlignment="1">
      <alignment horizontal="center" vertical="center" wrapText="1"/>
    </xf>
    <xf numFmtId="3" fontId="11" fillId="0" borderId="0" xfId="0" applyNumberFormat="1" applyFont="1" applyAlignment="1">
      <alignment horizontal="center" vertical="center"/>
    </xf>
    <xf numFmtId="0" fontId="28" fillId="0" borderId="12" xfId="0"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0" fillId="0" borderId="0" xfId="0" applyNumberFormat="1" applyFill="1" applyBorder="1"/>
    <xf numFmtId="3" fontId="14" fillId="0" borderId="60" xfId="0" applyNumberFormat="1" applyFont="1" applyFill="1" applyBorder="1" applyAlignment="1">
      <alignment horizontal="center" vertical="center" wrapText="1"/>
    </xf>
    <xf numFmtId="3" fontId="11" fillId="0" borderId="35" xfId="0" applyNumberFormat="1" applyFont="1" applyFill="1" applyBorder="1" applyAlignment="1">
      <alignment horizontal="center" vertical="center"/>
    </xf>
    <xf numFmtId="3" fontId="18" fillId="25" borderId="18" xfId="0" applyNumberFormat="1" applyFont="1" applyFill="1" applyBorder="1" applyAlignment="1">
      <alignment horizontal="center" vertical="center" wrapText="1"/>
    </xf>
    <xf numFmtId="3" fontId="16" fillId="25" borderId="6" xfId="0" applyNumberFormat="1" applyFont="1" applyFill="1" applyBorder="1" applyAlignment="1">
      <alignment horizontal="center"/>
    </xf>
    <xf numFmtId="169" fontId="16" fillId="25" borderId="49" xfId="0" applyNumberFormat="1" applyFont="1" applyFill="1" applyBorder="1" applyAlignment="1">
      <alignment horizontal="center"/>
    </xf>
    <xf numFmtId="3" fontId="10" fillId="25" borderId="20" xfId="0" applyNumberFormat="1" applyFont="1" applyFill="1" applyBorder="1" applyAlignment="1">
      <alignment horizontal="center"/>
    </xf>
    <xf numFmtId="3" fontId="10" fillId="25" borderId="6" xfId="0" applyNumberFormat="1" applyFont="1" applyFill="1" applyBorder="1" applyAlignment="1">
      <alignment horizontal="center"/>
    </xf>
    <xf numFmtId="0" fontId="16" fillId="25" borderId="7" xfId="0" applyFont="1" applyFill="1" applyBorder="1"/>
    <xf numFmtId="3" fontId="10" fillId="25" borderId="7" xfId="0" applyNumberFormat="1" applyFont="1" applyFill="1" applyBorder="1" applyAlignment="1">
      <alignment horizontal="center"/>
    </xf>
    <xf numFmtId="3" fontId="0" fillId="25" borderId="7" xfId="0" applyNumberFormat="1" applyFill="1" applyBorder="1"/>
    <xf numFmtId="0" fontId="10" fillId="25" borderId="3" xfId="0" applyFont="1" applyFill="1" applyBorder="1" applyAlignment="1">
      <alignment horizontal="center" vertical="center" wrapText="1"/>
    </xf>
    <xf numFmtId="3" fontId="0" fillId="25" borderId="7" xfId="0" applyNumberFormat="1" applyFill="1" applyBorder="1" applyAlignment="1">
      <alignment horizontal="center"/>
    </xf>
    <xf numFmtId="3" fontId="10" fillId="25" borderId="3" xfId="0" applyNumberFormat="1" applyFont="1" applyFill="1" applyBorder="1" applyAlignment="1">
      <alignment horizontal="center"/>
    </xf>
    <xf numFmtId="0" fontId="0" fillId="25" borderId="3" xfId="0" applyFill="1" applyBorder="1" applyAlignment="1">
      <alignment horizontal="center"/>
    </xf>
    <xf numFmtId="3" fontId="16" fillId="23" borderId="7" xfId="0" applyNumberFormat="1" applyFont="1" applyFill="1" applyBorder="1" applyAlignment="1">
      <alignment horizontal="center"/>
    </xf>
    <xf numFmtId="3" fontId="10" fillId="23" borderId="3" xfId="0" applyNumberFormat="1" applyFont="1" applyFill="1" applyBorder="1" applyAlignment="1">
      <alignment horizontal="center"/>
    </xf>
    <xf numFmtId="3" fontId="10" fillId="23" borderId="7" xfId="0" applyNumberFormat="1" applyFont="1" applyFill="1" applyBorder="1" applyAlignment="1">
      <alignment horizontal="center"/>
    </xf>
    <xf numFmtId="0" fontId="16" fillId="23" borderId="7" xfId="0" applyFont="1" applyFill="1" applyBorder="1"/>
    <xf numFmtId="0" fontId="11" fillId="23" borderId="3" xfId="0" applyFont="1" applyFill="1" applyBorder="1" applyAlignment="1">
      <alignment horizontal="center" vertical="center" wrapText="1"/>
    </xf>
    <xf numFmtId="3" fontId="0" fillId="23" borderId="7" xfId="0" applyNumberFormat="1" applyFill="1" applyBorder="1"/>
    <xf numFmtId="3" fontId="18" fillId="28" borderId="29" xfId="0" applyNumberFormat="1" applyFont="1" applyFill="1" applyBorder="1" applyAlignment="1">
      <alignment horizontal="center" vertical="center" wrapText="1"/>
    </xf>
    <xf numFmtId="3" fontId="16" fillId="28" borderId="7" xfId="0" applyNumberFormat="1" applyFont="1" applyFill="1" applyBorder="1" applyAlignment="1">
      <alignment horizontal="center"/>
    </xf>
    <xf numFmtId="169" fontId="16" fillId="28" borderId="35" xfId="0" applyNumberFormat="1" applyFont="1" applyFill="1" applyBorder="1" applyAlignment="1">
      <alignment horizontal="center"/>
    </xf>
    <xf numFmtId="3" fontId="10" fillId="28" borderId="3" xfId="0" applyNumberFormat="1" applyFont="1" applyFill="1" applyBorder="1" applyAlignment="1">
      <alignment horizontal="center"/>
    </xf>
    <xf numFmtId="3" fontId="10" fillId="28" borderId="7" xfId="0" applyNumberFormat="1" applyFont="1" applyFill="1" applyBorder="1" applyAlignment="1">
      <alignment horizontal="center"/>
    </xf>
    <xf numFmtId="0" fontId="16" fillId="28" borderId="7" xfId="0" applyFont="1" applyFill="1" applyBorder="1"/>
    <xf numFmtId="3" fontId="16" fillId="28" borderId="7" xfId="0" applyNumberFormat="1" applyFont="1" applyFill="1" applyBorder="1"/>
    <xf numFmtId="169" fontId="0" fillId="28" borderId="35" xfId="0" applyNumberFormat="1" applyFill="1" applyBorder="1" applyAlignment="1">
      <alignment horizontal="center" vertical="center"/>
    </xf>
    <xf numFmtId="0" fontId="0" fillId="28" borderId="7" xfId="0" applyFill="1" applyBorder="1"/>
    <xf numFmtId="3" fontId="0" fillId="28" borderId="7" xfId="0" applyNumberFormat="1" applyFill="1" applyBorder="1"/>
    <xf numFmtId="0" fontId="11" fillId="28" borderId="3" xfId="0" applyFont="1" applyFill="1" applyBorder="1" applyAlignment="1">
      <alignment horizontal="center" vertical="center" wrapText="1"/>
    </xf>
    <xf numFmtId="3" fontId="14" fillId="28" borderId="29" xfId="0" applyNumberFormat="1" applyFont="1" applyFill="1" applyBorder="1" applyAlignment="1">
      <alignment horizontal="center" vertical="center" wrapText="1"/>
    </xf>
    <xf numFmtId="3" fontId="0" fillId="28" borderId="7" xfId="0" applyNumberFormat="1" applyFill="1" applyBorder="1" applyAlignment="1">
      <alignment horizontal="center"/>
    </xf>
    <xf numFmtId="3" fontId="16" fillId="25" borderId="59" xfId="0" applyNumberFormat="1" applyFont="1" applyFill="1" applyBorder="1" applyAlignment="1">
      <alignment horizontal="center" vertical="center"/>
    </xf>
    <xf numFmtId="3" fontId="14" fillId="4" borderId="60" xfId="1" applyNumberFormat="1" applyFont="1" applyFill="1" applyBorder="1" applyAlignment="1">
      <alignment horizontal="center" vertical="center" wrapText="1"/>
    </xf>
    <xf numFmtId="3" fontId="23" fillId="7" borderId="60" xfId="0" applyNumberFormat="1" applyFont="1" applyFill="1" applyBorder="1" applyAlignment="1">
      <alignment horizontal="left" vertical="center" wrapText="1"/>
    </xf>
    <xf numFmtId="3" fontId="11" fillId="19" borderId="62" xfId="0" applyNumberFormat="1" applyFont="1" applyFill="1" applyBorder="1" applyAlignment="1">
      <alignment horizontal="center" vertical="center"/>
    </xf>
    <xf numFmtId="0" fontId="11" fillId="5" borderId="0"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51" xfId="0" applyFont="1" applyFill="1" applyBorder="1" applyAlignment="1">
      <alignment vertical="center" wrapText="1"/>
    </xf>
    <xf numFmtId="3" fontId="17" fillId="25" borderId="49" xfId="0" applyNumberFormat="1" applyFont="1" applyFill="1" applyBorder="1" applyAlignment="1">
      <alignment horizontal="center" vertical="center"/>
    </xf>
    <xf numFmtId="3" fontId="37" fillId="7" borderId="35" xfId="0" applyNumberFormat="1" applyFont="1" applyFill="1" applyBorder="1" applyAlignment="1">
      <alignment horizontal="left" vertical="center" wrapText="1"/>
    </xf>
    <xf numFmtId="3" fontId="11" fillId="23" borderId="35" xfId="0" applyNumberFormat="1" applyFont="1" applyFill="1" applyBorder="1" applyAlignment="1">
      <alignment horizontal="center" vertical="center"/>
    </xf>
    <xf numFmtId="1" fontId="20" fillId="29" borderId="7" xfId="0" applyNumberFormat="1" applyFont="1" applyFill="1" applyBorder="1" applyAlignment="1">
      <alignment horizontal="center" vertical="center" wrapText="1"/>
    </xf>
    <xf numFmtId="3" fontId="20" fillId="29" borderId="7" xfId="0" applyNumberFormat="1" applyFont="1" applyFill="1" applyBorder="1" applyAlignment="1">
      <alignment horizontal="center" vertical="center" wrapText="1"/>
    </xf>
    <xf numFmtId="3" fontId="14" fillId="29" borderId="7" xfId="0" applyNumberFormat="1" applyFont="1" applyFill="1" applyBorder="1" applyAlignment="1">
      <alignment horizontal="center" vertical="center" wrapText="1"/>
    </xf>
    <xf numFmtId="1" fontId="20" fillId="21" borderId="7" xfId="0" applyNumberFormat="1" applyFont="1" applyFill="1" applyBorder="1" applyAlignment="1">
      <alignment horizontal="center" vertical="center" wrapText="1"/>
    </xf>
    <xf numFmtId="3" fontId="20" fillId="21" borderId="7" xfId="0" applyNumberFormat="1" applyFont="1" applyFill="1" applyBorder="1" applyAlignment="1">
      <alignment horizontal="center" vertical="center" wrapText="1"/>
    </xf>
    <xf numFmtId="1" fontId="20" fillId="24" borderId="7" xfId="0" applyNumberFormat="1" applyFont="1" applyFill="1" applyBorder="1" applyAlignment="1">
      <alignment horizontal="center" vertical="center" wrapText="1"/>
    </xf>
    <xf numFmtId="3" fontId="0" fillId="0" borderId="29" xfId="0" applyNumberFormat="1" applyFill="1" applyBorder="1" applyAlignment="1">
      <alignment horizontal="center"/>
    </xf>
    <xf numFmtId="3" fontId="10" fillId="0" borderId="2" xfId="0" applyNumberFormat="1" applyFont="1" applyFill="1" applyBorder="1" applyAlignment="1">
      <alignment horizontal="center"/>
    </xf>
    <xf numFmtId="3" fontId="10" fillId="0" borderId="29" xfId="0" applyNumberFormat="1" applyFont="1" applyFill="1" applyBorder="1" applyAlignment="1">
      <alignment horizontal="center"/>
    </xf>
    <xf numFmtId="0" fontId="0" fillId="19" borderId="7" xfId="0" applyFill="1" applyBorder="1"/>
    <xf numFmtId="1" fontId="14" fillId="25" borderId="15" xfId="0" applyNumberFormat="1" applyFont="1" applyFill="1" applyBorder="1" applyAlignment="1">
      <alignment horizontal="center" vertical="center" wrapText="1"/>
    </xf>
    <xf numFmtId="1" fontId="0" fillId="25" borderId="7" xfId="0" applyNumberFormat="1" applyFill="1" applyBorder="1"/>
    <xf numFmtId="1" fontId="14" fillId="25" borderId="7" xfId="0" applyNumberFormat="1" applyFont="1" applyFill="1" applyBorder="1" applyAlignment="1">
      <alignment horizontal="center" vertical="center" wrapText="1"/>
    </xf>
    <xf numFmtId="1" fontId="18" fillId="23" borderId="7" xfId="0" applyNumberFormat="1" applyFont="1" applyFill="1" applyBorder="1" applyAlignment="1">
      <alignment horizontal="center" vertical="center" wrapText="1"/>
    </xf>
    <xf numFmtId="1" fontId="14" fillId="23" borderId="7" xfId="0" applyNumberFormat="1" applyFont="1" applyFill="1" applyBorder="1" applyAlignment="1">
      <alignment horizontal="center" vertical="center" wrapText="1"/>
    </xf>
    <xf numFmtId="1" fontId="18" fillId="22" borderId="7" xfId="0" applyNumberFormat="1" applyFont="1" applyFill="1" applyBorder="1" applyAlignment="1">
      <alignment horizontal="center" vertical="center" wrapText="1"/>
    </xf>
    <xf numFmtId="1" fontId="20" fillId="4" borderId="7" xfId="0" applyNumberFormat="1" applyFont="1" applyFill="1" applyBorder="1" applyAlignment="1">
      <alignment horizontal="center" vertical="center" wrapText="1"/>
    </xf>
    <xf numFmtId="1" fontId="20" fillId="0" borderId="14" xfId="0" applyNumberFormat="1" applyFont="1" applyFill="1" applyBorder="1" applyAlignment="1">
      <alignment horizontal="center" vertical="center" wrapText="1"/>
    </xf>
    <xf numFmtId="1" fontId="14" fillId="9" borderId="47" xfId="0" applyNumberFormat="1" applyFont="1" applyFill="1" applyBorder="1" applyAlignment="1">
      <alignment horizontal="center" vertical="center" wrapText="1"/>
    </xf>
    <xf numFmtId="1" fontId="28" fillId="11" borderId="7" xfId="0" applyNumberFormat="1" applyFont="1" applyFill="1" applyBorder="1" applyAlignment="1">
      <alignment horizontal="center" vertical="center" wrapText="1"/>
    </xf>
    <xf numFmtId="1" fontId="11" fillId="0" borderId="0" xfId="0" applyNumberFormat="1" applyFont="1" applyAlignment="1">
      <alignment horizontal="center"/>
    </xf>
    <xf numFmtId="3" fontId="0" fillId="0" borderId="29" xfId="0" applyNumberFormat="1" applyFill="1" applyBorder="1" applyAlignment="1">
      <alignment horizontal="center" vertical="center"/>
    </xf>
    <xf numFmtId="3" fontId="0" fillId="5" borderId="2" xfId="0" applyNumberFormat="1" applyFill="1" applyBorder="1" applyAlignment="1">
      <alignment horizontal="center" vertical="center" wrapText="1"/>
    </xf>
    <xf numFmtId="3" fontId="11" fillId="25" borderId="5" xfId="0" applyNumberFormat="1" applyFont="1" applyFill="1" applyBorder="1" applyAlignment="1">
      <alignment horizontal="center" vertical="center" wrapText="1"/>
    </xf>
    <xf numFmtId="3" fontId="11" fillId="9" borderId="3" xfId="0" applyNumberFormat="1" applyFont="1" applyFill="1" applyBorder="1" applyAlignment="1">
      <alignment horizontal="center" vertical="center" wrapText="1"/>
    </xf>
    <xf numFmtId="3" fontId="10" fillId="25" borderId="3" xfId="0" applyNumberFormat="1" applyFont="1" applyFill="1" applyBorder="1" applyAlignment="1">
      <alignment horizontal="center" vertical="center" wrapText="1"/>
    </xf>
    <xf numFmtId="3" fontId="17" fillId="23" borderId="3" xfId="0" applyNumberFormat="1" applyFont="1" applyFill="1" applyBorder="1" applyAlignment="1">
      <alignment horizontal="center" vertical="center" wrapText="1"/>
    </xf>
    <xf numFmtId="3" fontId="11" fillId="23" borderId="3"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7" fillId="22" borderId="3"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9" fillId="13" borderId="7" xfId="0" applyNumberFormat="1" applyFont="1" applyFill="1" applyBorder="1" applyAlignment="1">
      <alignment horizontal="left" vertical="center"/>
    </xf>
    <xf numFmtId="3" fontId="15" fillId="27" borderId="3" xfId="0" applyNumberFormat="1" applyFont="1" applyFill="1" applyBorder="1" applyAlignment="1">
      <alignment horizontal="center" vertical="center" wrapText="1"/>
    </xf>
    <xf numFmtId="3" fontId="15" fillId="24" borderId="3" xfId="0" applyNumberFormat="1" applyFont="1" applyFill="1" applyBorder="1" applyAlignment="1">
      <alignment horizontal="center" vertical="center" wrapText="1"/>
    </xf>
    <xf numFmtId="3" fontId="15" fillId="4" borderId="3" xfId="0" applyNumberFormat="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3" fontId="11" fillId="9" borderId="5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30" fillId="5" borderId="0" xfId="0"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17" fillId="25" borderId="20" xfId="0" applyNumberFormat="1" applyFont="1" applyFill="1" applyBorder="1" applyAlignment="1">
      <alignment horizontal="center" vertical="center" wrapText="1"/>
    </xf>
    <xf numFmtId="3" fontId="17" fillId="28" borderId="3" xfId="0" applyNumberFormat="1" applyFont="1" applyFill="1" applyBorder="1" applyAlignment="1">
      <alignment horizontal="center" vertical="center" wrapText="1"/>
    </xf>
    <xf numFmtId="3" fontId="11" fillId="28" borderId="3"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3" fontId="34" fillId="9" borderId="37" xfId="1" applyNumberFormat="1" applyFont="1" applyFill="1" applyBorder="1" applyAlignment="1">
      <alignment horizontal="center" vertical="center" wrapText="1"/>
    </xf>
    <xf numFmtId="3" fontId="11" fillId="0" borderId="0" xfId="1" applyNumberFormat="1" applyFont="1" applyBorder="1" applyAlignment="1">
      <alignment horizontal="center" vertical="center" wrapText="1"/>
    </xf>
    <xf numFmtId="3" fontId="0" fillId="0" borderId="0" xfId="0" applyNumberFormat="1" applyBorder="1" applyAlignment="1">
      <alignment horizontal="center"/>
    </xf>
    <xf numFmtId="3" fontId="30" fillId="5" borderId="43" xfId="0" applyNumberFormat="1" applyFont="1" applyFill="1" applyBorder="1" applyAlignment="1">
      <alignment horizontal="center" vertical="center" wrapText="1"/>
    </xf>
    <xf numFmtId="3" fontId="0" fillId="5" borderId="0"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11" fillId="25" borderId="6" xfId="0" applyNumberFormat="1" applyFont="1" applyFill="1" applyBorder="1" applyAlignment="1">
      <alignment horizontal="center" vertical="center" wrapText="1"/>
    </xf>
    <xf numFmtId="3" fontId="11" fillId="23" borderId="7" xfId="0" applyNumberFormat="1" applyFont="1" applyFill="1" applyBorder="1" applyAlignment="1">
      <alignment horizontal="center" vertical="center" wrapText="1"/>
    </xf>
    <xf numFmtId="3" fontId="11" fillId="9" borderId="9" xfId="1" applyNumberFormat="1" applyFont="1" applyFill="1" applyBorder="1" applyAlignment="1">
      <alignment horizontal="center" wrapText="1"/>
    </xf>
    <xf numFmtId="3" fontId="15" fillId="20" borderId="7" xfId="0" applyNumberFormat="1" applyFont="1" applyFill="1" applyBorder="1" applyAlignment="1">
      <alignment horizontal="center" vertical="center" wrapText="1"/>
    </xf>
    <xf numFmtId="3" fontId="15" fillId="21" borderId="7" xfId="0" applyNumberFormat="1" applyFont="1" applyFill="1" applyBorder="1" applyAlignment="1">
      <alignment horizontal="center" vertical="center"/>
    </xf>
    <xf numFmtId="3" fontId="11" fillId="9" borderId="7"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3" fontId="15" fillId="4" borderId="7"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3" fontId="11" fillId="9" borderId="47" xfId="0" applyNumberFormat="1" applyFont="1" applyFill="1" applyBorder="1" applyAlignment="1">
      <alignment horizontal="center" vertical="center" wrapText="1"/>
    </xf>
    <xf numFmtId="3" fontId="11" fillId="0" borderId="0" xfId="0" applyNumberFormat="1" applyFont="1" applyFill="1" applyBorder="1" applyAlignment="1">
      <alignment horizontal="justify" vertical="center" wrapText="1"/>
    </xf>
    <xf numFmtId="3" fontId="34" fillId="0" borderId="0" xfId="1" applyNumberFormat="1" applyFont="1" applyBorder="1" applyAlignment="1">
      <alignment horizontal="center" wrapText="1"/>
    </xf>
    <xf numFmtId="3" fontId="0" fillId="0" borderId="25" xfId="0" applyNumberFormat="1" applyBorder="1" applyAlignment="1">
      <alignment horizontal="center"/>
    </xf>
    <xf numFmtId="165" fontId="27" fillId="0" borderId="7" xfId="0" applyNumberFormat="1" applyFont="1" applyFill="1" applyBorder="1" applyAlignment="1">
      <alignment horizontal="center" vertical="center" wrapText="1"/>
    </xf>
    <xf numFmtId="1" fontId="0" fillId="0" borderId="7" xfId="0" applyNumberFormat="1" applyFill="1" applyBorder="1" applyAlignment="1">
      <alignment horizontal="center"/>
    </xf>
    <xf numFmtId="10" fontId="14" fillId="4" borderId="35" xfId="0" applyNumberFormat="1" applyFont="1" applyFill="1" applyBorder="1" applyAlignment="1">
      <alignment horizontal="center" vertical="center" wrapText="1"/>
    </xf>
    <xf numFmtId="1" fontId="26" fillId="7" borderId="3" xfId="0" applyNumberFormat="1" applyFont="1" applyFill="1" applyBorder="1" applyAlignment="1">
      <alignment horizontal="left" vertical="center"/>
    </xf>
    <xf numFmtId="0" fontId="6" fillId="6" borderId="7" xfId="0" applyFont="1" applyFill="1" applyBorder="1" applyAlignment="1">
      <alignment horizontal="left" vertical="center"/>
    </xf>
    <xf numFmtId="169"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7" xfId="0" applyNumberFormat="1" applyFont="1" applyFill="1" applyBorder="1" applyAlignment="1">
      <alignment horizontal="center"/>
    </xf>
    <xf numFmtId="1" fontId="0" fillId="0" borderId="0" xfId="0" applyNumberFormat="1" applyAlignment="1">
      <alignment horizontal="center"/>
    </xf>
    <xf numFmtId="1" fontId="0" fillId="18" borderId="7" xfId="0" applyNumberFormat="1" applyFill="1" applyBorder="1" applyAlignment="1">
      <alignment horizontal="center"/>
    </xf>
    <xf numFmtId="1" fontId="16" fillId="23" borderId="7" xfId="0" applyNumberFormat="1" applyFont="1" applyFill="1" applyBorder="1" applyAlignment="1">
      <alignment horizontal="center"/>
    </xf>
    <xf numFmtId="1" fontId="0" fillId="0" borderId="0" xfId="0" applyNumberFormat="1" applyFill="1" applyAlignment="1">
      <alignment horizontal="center"/>
    </xf>
    <xf numFmtId="1" fontId="31" fillId="0" borderId="0" xfId="0" applyNumberFormat="1" applyFont="1" applyAlignment="1">
      <alignment horizontal="center"/>
    </xf>
    <xf numFmtId="0" fontId="6" fillId="0" borderId="7" xfId="0" applyFont="1" applyFill="1" applyBorder="1"/>
    <xf numFmtId="0" fontId="10" fillId="18" borderId="7" xfId="0" applyFont="1" applyFill="1" applyBorder="1" applyAlignment="1">
      <alignment horizontal="center" wrapText="1"/>
    </xf>
    <xf numFmtId="3" fontId="6" fillId="0" borderId="7" xfId="0" applyNumberFormat="1" applyFont="1" applyFill="1" applyBorder="1"/>
    <xf numFmtId="0" fontId="6" fillId="8" borderId="7" xfId="0" applyFont="1" applyFill="1" applyBorder="1" applyAlignment="1">
      <alignment horizontal="left" vertical="center"/>
    </xf>
    <xf numFmtId="3" fontId="6" fillId="23" borderId="3" xfId="0" applyNumberFormat="1" applyFont="1" applyFill="1" applyBorder="1" applyAlignment="1">
      <alignment horizontal="center" vertical="center" wrapText="1"/>
    </xf>
    <xf numFmtId="3" fontId="6" fillId="23" borderId="7" xfId="0" applyNumberFormat="1" applyFont="1" applyFill="1" applyBorder="1" applyAlignment="1">
      <alignment horizontal="center"/>
    </xf>
    <xf numFmtId="3" fontId="6" fillId="23" borderId="3" xfId="0" applyNumberFormat="1" applyFont="1" applyFill="1" applyBorder="1"/>
    <xf numFmtId="3" fontId="6" fillId="23" borderId="7" xfId="0" applyNumberFormat="1" applyFont="1" applyFill="1" applyBorder="1"/>
    <xf numFmtId="3" fontId="6" fillId="23" borderId="35" xfId="0" applyNumberFormat="1" applyFont="1" applyFill="1" applyBorder="1"/>
    <xf numFmtId="0" fontId="6" fillId="15" borderId="7" xfId="0" applyFont="1" applyFill="1" applyBorder="1" applyAlignment="1">
      <alignment horizontal="left" vertical="center"/>
    </xf>
    <xf numFmtId="3" fontId="6" fillId="15" borderId="7" xfId="0" applyNumberFormat="1" applyFont="1" applyFill="1" applyBorder="1" applyAlignment="1">
      <alignment horizontal="left" vertical="center"/>
    </xf>
    <xf numFmtId="1" fontId="6" fillId="15" borderId="7" xfId="0" applyNumberFormat="1" applyFont="1" applyFill="1" applyBorder="1" applyAlignment="1">
      <alignment horizontal="left" vertical="center"/>
    </xf>
    <xf numFmtId="3" fontId="6" fillId="0" borderId="14" xfId="0" applyNumberFormat="1" applyFont="1" applyFill="1" applyBorder="1" applyAlignment="1">
      <alignment horizontal="center"/>
    </xf>
    <xf numFmtId="3" fontId="6" fillId="0" borderId="5" xfId="0" applyNumberFormat="1" applyFont="1" applyFill="1" applyBorder="1"/>
    <xf numFmtId="3" fontId="6" fillId="0" borderId="14" xfId="0" applyNumberFormat="1" applyFont="1" applyFill="1" applyBorder="1"/>
    <xf numFmtId="3" fontId="6" fillId="0" borderId="53" xfId="0" applyNumberFormat="1" applyFont="1" applyFill="1" applyBorder="1"/>
    <xf numFmtId="3" fontId="6" fillId="0" borderId="0" xfId="0" applyNumberFormat="1" applyFont="1" applyAlignment="1">
      <alignment horizontal="center"/>
    </xf>
    <xf numFmtId="3" fontId="6" fillId="0" borderId="0" xfId="0" applyNumberFormat="1" applyFont="1"/>
    <xf numFmtId="3" fontId="0" fillId="5" borderId="4" xfId="0" applyNumberFormat="1" applyFill="1" applyBorder="1" applyAlignment="1"/>
    <xf numFmtId="3" fontId="34" fillId="9" borderId="39" xfId="1" applyNumberFormat="1" applyFont="1" applyFill="1" applyBorder="1" applyAlignment="1">
      <alignment horizontal="center" vertical="center" wrapText="1"/>
    </xf>
    <xf numFmtId="3" fontId="0" fillId="5" borderId="51" xfId="0" applyNumberFormat="1" applyFill="1" applyBorder="1" applyAlignment="1"/>
    <xf numFmtId="167" fontId="11" fillId="0" borderId="0" xfId="1" applyNumberFormat="1" applyFont="1" applyBorder="1" applyAlignment="1">
      <alignment horizontal="center" vertical="center" wrapText="1"/>
    </xf>
    <xf numFmtId="0" fontId="0" fillId="0" borderId="0" xfId="0" applyAlignment="1">
      <alignment horizontal="center" vertical="center"/>
    </xf>
    <xf numFmtId="3" fontId="0" fillId="0" borderId="0" xfId="0" applyNumberFormat="1" applyBorder="1" applyAlignment="1">
      <alignment vertical="center"/>
    </xf>
    <xf numFmtId="3" fontId="0" fillId="0" borderId="0" xfId="0" applyNumberFormat="1" applyAlignment="1">
      <alignment vertical="center"/>
    </xf>
    <xf numFmtId="167" fontId="11"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3" fontId="11" fillId="22" borderId="7" xfId="0" applyNumberFormat="1" applyFont="1" applyFill="1" applyBorder="1" applyAlignment="1">
      <alignment horizontal="center" vertical="center"/>
    </xf>
    <xf numFmtId="169" fontId="11" fillId="22" borderId="0" xfId="0" applyNumberFormat="1" applyFont="1" applyFill="1" applyBorder="1" applyAlignment="1">
      <alignment horizontal="center" vertical="center"/>
    </xf>
    <xf numFmtId="3" fontId="26" fillId="7" borderId="3" xfId="0" applyNumberFormat="1" applyFont="1" applyFill="1" applyBorder="1" applyAlignment="1">
      <alignment horizontal="center" vertical="center"/>
    </xf>
    <xf numFmtId="3" fontId="6" fillId="15" borderId="7" xfId="0" applyNumberFormat="1" applyFont="1" applyFill="1" applyBorder="1" applyAlignment="1">
      <alignment horizontal="center" vertical="center"/>
    </xf>
    <xf numFmtId="3" fontId="15" fillId="0" borderId="0" xfId="0" applyNumberFormat="1" applyFont="1" applyAlignment="1">
      <alignment horizontal="center"/>
    </xf>
    <xf numFmtId="0" fontId="0" fillId="18" borderId="0" xfId="0" applyFill="1" applyBorder="1" applyAlignment="1">
      <alignment vertical="center" wrapText="1"/>
    </xf>
    <xf numFmtId="3" fontId="0" fillId="0" borderId="14" xfId="0" applyNumberFormat="1" applyFill="1" applyBorder="1" applyAlignment="1">
      <alignment horizontal="center" vertical="center"/>
    </xf>
    <xf numFmtId="0" fontId="28" fillId="0" borderId="0" xfId="0" applyFont="1" applyFill="1" applyBorder="1" applyAlignment="1">
      <alignment horizontal="center" vertical="center" wrapText="1"/>
    </xf>
    <xf numFmtId="172" fontId="13" fillId="18" borderId="14" xfId="1" applyNumberFormat="1" applyFont="1" applyFill="1" applyBorder="1" applyAlignment="1">
      <alignment horizontal="center"/>
    </xf>
    <xf numFmtId="3" fontId="10" fillId="2" borderId="33" xfId="0" applyNumberFormat="1" applyFont="1" applyFill="1" applyBorder="1" applyAlignment="1">
      <alignment vertical="center" wrapText="1"/>
    </xf>
    <xf numFmtId="0" fontId="30" fillId="5" borderId="78" xfId="0" applyFont="1" applyFill="1" applyBorder="1" applyAlignment="1">
      <alignment horizontal="center" vertical="center" wrapText="1"/>
    </xf>
    <xf numFmtId="0" fontId="0" fillId="5" borderId="79" xfId="0" applyFill="1" applyBorder="1" applyAlignment="1">
      <alignment horizontal="center" vertical="center" wrapText="1"/>
    </xf>
    <xf numFmtId="0" fontId="11" fillId="18" borderId="12" xfId="0" applyFont="1" applyFill="1" applyBorder="1" applyAlignment="1">
      <alignment vertical="center" wrapText="1"/>
    </xf>
    <xf numFmtId="0" fontId="11" fillId="26" borderId="12" xfId="0" applyFont="1" applyFill="1" applyBorder="1" applyAlignment="1">
      <alignment vertical="center" wrapText="1"/>
    </xf>
    <xf numFmtId="0" fontId="13" fillId="18" borderId="12" xfId="0" applyFont="1" applyFill="1" applyBorder="1" applyAlignment="1">
      <alignment vertical="center" wrapText="1"/>
    </xf>
    <xf numFmtId="0" fontId="0" fillId="5" borderId="59" xfId="0" applyFill="1" applyBorder="1" applyAlignment="1">
      <alignment horizontal="center" vertical="center" wrapText="1"/>
    </xf>
    <xf numFmtId="0" fontId="11" fillId="18" borderId="12" xfId="0" applyFont="1" applyFill="1" applyBorder="1" applyAlignment="1">
      <alignment horizontal="center" vertical="center" wrapText="1"/>
    </xf>
    <xf numFmtId="0" fontId="0" fillId="5" borderId="62" xfId="0" applyFill="1" applyBorder="1" applyAlignment="1">
      <alignment vertical="center" wrapText="1"/>
    </xf>
    <xf numFmtId="0" fontId="11" fillId="4" borderId="34" xfId="0" applyFont="1" applyFill="1" applyBorder="1" applyAlignment="1">
      <alignment horizontal="center" vertical="center" wrapText="1"/>
    </xf>
    <xf numFmtId="0" fontId="11" fillId="4" borderId="13" xfId="0" applyFont="1" applyFill="1" applyBorder="1" applyAlignment="1">
      <alignment horizontal="right" vertical="center" wrapText="1"/>
    </xf>
    <xf numFmtId="3" fontId="22" fillId="7" borderId="13" xfId="0" applyNumberFormat="1" applyFont="1" applyFill="1" applyBorder="1" applyAlignment="1">
      <alignment horizontal="left" vertical="center" wrapText="1"/>
    </xf>
    <xf numFmtId="3" fontId="25" fillId="7" borderId="13" xfId="0" applyNumberFormat="1" applyFont="1" applyFill="1" applyBorder="1" applyAlignment="1">
      <alignment horizontal="left" vertical="center" wrapText="1"/>
    </xf>
    <xf numFmtId="3" fontId="24" fillId="4" borderId="13" xfId="0" applyNumberFormat="1" applyFont="1" applyFill="1" applyBorder="1" applyAlignment="1">
      <alignment horizontal="right" vertical="center" wrapText="1"/>
    </xf>
    <xf numFmtId="0" fontId="15" fillId="8" borderId="13" xfId="0" applyFont="1" applyFill="1" applyBorder="1" applyAlignment="1">
      <alignment horizontal="left" vertical="center" wrapText="1"/>
    </xf>
    <xf numFmtId="0" fontId="19" fillId="8" borderId="13" xfId="0" applyFont="1" applyFill="1" applyBorder="1" applyAlignment="1">
      <alignment horizontal="left" vertical="center"/>
    </xf>
    <xf numFmtId="0" fontId="0" fillId="0" borderId="0" xfId="0" applyFill="1" applyBorder="1"/>
    <xf numFmtId="3" fontId="24" fillId="0" borderId="12" xfId="0" applyNumberFormat="1" applyFont="1" applyFill="1" applyBorder="1" applyAlignment="1">
      <alignment horizontal="left" vertical="center" wrapText="1"/>
    </xf>
    <xf numFmtId="0" fontId="11" fillId="9" borderId="81" xfId="0" applyFont="1" applyFill="1" applyBorder="1" applyAlignment="1">
      <alignment wrapText="1"/>
    </xf>
    <xf numFmtId="3" fontId="11" fillId="0" borderId="0" xfId="0" applyNumberFormat="1" applyFont="1" applyBorder="1" applyAlignment="1">
      <alignment horizontal="center" vertical="center"/>
    </xf>
    <xf numFmtId="3" fontId="0" fillId="0" borderId="79" xfId="0" applyNumberFormat="1" applyBorder="1" applyAlignment="1">
      <alignment horizontal="center" vertical="center"/>
    </xf>
    <xf numFmtId="0" fontId="11" fillId="22" borderId="0" xfId="0" applyFont="1" applyFill="1" applyBorder="1" applyAlignment="1">
      <alignment horizontal="center" vertical="center"/>
    </xf>
    <xf numFmtId="3" fontId="11" fillId="22" borderId="35" xfId="0" applyNumberFormat="1" applyFont="1" applyFill="1" applyBorder="1" applyAlignment="1">
      <alignment horizontal="center" vertical="center"/>
    </xf>
    <xf numFmtId="3" fontId="28" fillId="11" borderId="35" xfId="0" applyNumberFormat="1" applyFont="1" applyFill="1" applyBorder="1" applyAlignment="1">
      <alignment horizontal="center" vertical="center" wrapText="1"/>
    </xf>
    <xf numFmtId="0" fontId="29" fillId="0" borderId="24" xfId="0" applyFont="1" applyBorder="1"/>
    <xf numFmtId="3" fontId="0" fillId="0" borderId="25" xfId="0" applyNumberFormat="1" applyBorder="1"/>
    <xf numFmtId="0" fontId="10" fillId="0" borderId="25" xfId="0" applyFont="1" applyBorder="1" applyAlignment="1">
      <alignment horizontal="center"/>
    </xf>
    <xf numFmtId="3" fontId="10" fillId="0" borderId="25" xfId="0" applyNumberFormat="1" applyFont="1" applyBorder="1" applyAlignment="1">
      <alignment horizontal="center"/>
    </xf>
    <xf numFmtId="1" fontId="10" fillId="0" borderId="25" xfId="0" applyNumberFormat="1" applyFont="1" applyBorder="1" applyAlignment="1">
      <alignment horizontal="center"/>
    </xf>
    <xf numFmtId="0" fontId="0" fillId="0" borderId="25" xfId="0" applyBorder="1" applyAlignment="1">
      <alignment horizontal="center"/>
    </xf>
    <xf numFmtId="3" fontId="0" fillId="0" borderId="25" xfId="0" applyNumberFormat="1" applyBorder="1" applyAlignment="1">
      <alignment horizontal="center" vertical="center"/>
    </xf>
    <xf numFmtId="3" fontId="11" fillId="0" borderId="25" xfId="0" applyNumberFormat="1" applyFont="1" applyBorder="1" applyAlignment="1">
      <alignment horizontal="center" vertical="center"/>
    </xf>
    <xf numFmtId="3" fontId="0" fillId="0" borderId="82" xfId="0" applyNumberFormat="1" applyBorder="1" applyAlignment="1">
      <alignment horizontal="center" vertical="center"/>
    </xf>
    <xf numFmtId="167" fontId="11" fillId="0" borderId="0" xfId="1" applyNumberFormat="1" applyFont="1" applyBorder="1" applyAlignment="1">
      <alignment wrapText="1"/>
    </xf>
    <xf numFmtId="167" fontId="11" fillId="0" borderId="25" xfId="1" applyNumberFormat="1" applyFont="1" applyBorder="1" applyAlignment="1">
      <alignment wrapText="1"/>
    </xf>
    <xf numFmtId="0" fontId="6" fillId="8" borderId="13" xfId="0" applyFont="1" applyFill="1" applyBorder="1" applyAlignment="1">
      <alignment horizontal="left" vertical="center"/>
    </xf>
    <xf numFmtId="0" fontId="0" fillId="25" borderId="0" xfId="0" applyFill="1" applyBorder="1"/>
    <xf numFmtId="3" fontId="10" fillId="0" borderId="0" xfId="0" applyNumberFormat="1" applyFont="1" applyBorder="1" applyAlignment="1">
      <alignment horizontal="center"/>
    </xf>
    <xf numFmtId="167" fontId="28" fillId="0" borderId="79" xfId="0" applyNumberFormat="1" applyFont="1" applyFill="1" applyBorder="1" applyAlignment="1">
      <alignment horizontal="center" vertical="center" wrapText="1"/>
    </xf>
    <xf numFmtId="0" fontId="29" fillId="0" borderId="12" xfId="0" applyFont="1" applyBorder="1"/>
    <xf numFmtId="0" fontId="28" fillId="0" borderId="24" xfId="0" applyFont="1" applyFill="1" applyBorder="1" applyAlignment="1">
      <alignment horizontal="center" vertical="center" wrapText="1"/>
    </xf>
    <xf numFmtId="165" fontId="11" fillId="0" borderId="25" xfId="1" applyNumberFormat="1" applyFont="1" applyFill="1" applyBorder="1" applyAlignment="1">
      <alignment horizontal="center" vertical="center" wrapText="1"/>
    </xf>
    <xf numFmtId="167" fontId="11" fillId="0" borderId="25" xfId="1" applyNumberFormat="1" applyFont="1" applyFill="1" applyBorder="1" applyAlignment="1">
      <alignment horizontal="center" wrapText="1"/>
    </xf>
    <xf numFmtId="0" fontId="0" fillId="0" borderId="25" xfId="0" applyFill="1" applyBorder="1"/>
    <xf numFmtId="1" fontId="11" fillId="0" borderId="25" xfId="1" applyNumberFormat="1" applyFont="1" applyFill="1" applyBorder="1" applyAlignment="1">
      <alignment horizontal="center" vertical="center" wrapText="1"/>
    </xf>
    <xf numFmtId="3" fontId="11" fillId="0" borderId="25" xfId="1" applyNumberFormat="1" applyFont="1" applyFill="1" applyBorder="1" applyAlignment="1">
      <alignment horizontal="center" vertical="center" wrapText="1"/>
    </xf>
    <xf numFmtId="3" fontId="14" fillId="0" borderId="25" xfId="0" applyNumberFormat="1" applyFont="1" applyFill="1" applyBorder="1" applyAlignment="1">
      <alignment horizontal="center" vertical="center" wrapText="1"/>
    </xf>
    <xf numFmtId="3" fontId="28" fillId="0" borderId="25" xfId="0" applyNumberFormat="1" applyFont="1" applyFill="1" applyBorder="1" applyAlignment="1">
      <alignment horizontal="center" vertical="center" wrapText="1"/>
    </xf>
    <xf numFmtId="169" fontId="0" fillId="0" borderId="25" xfId="0" applyNumberFormat="1" applyFill="1" applyBorder="1" applyAlignment="1">
      <alignment horizontal="center"/>
    </xf>
    <xf numFmtId="167" fontId="28" fillId="0" borderId="82"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3" fontId="15" fillId="20" borderId="29"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3" fontId="0" fillId="5" borderId="78" xfId="0" applyNumberFormat="1" applyFill="1" applyBorder="1" applyAlignment="1">
      <alignment horizontal="center" vertical="center"/>
    </xf>
    <xf numFmtId="3" fontId="0" fillId="5" borderId="79" xfId="0" applyNumberFormat="1" applyFill="1" applyBorder="1" applyAlignment="1">
      <alignment horizontal="center" vertical="center"/>
    </xf>
    <xf numFmtId="3" fontId="0" fillId="5" borderId="59" xfId="0" applyNumberFormat="1" applyFill="1" applyBorder="1" applyAlignment="1">
      <alignment horizontal="center" vertical="center"/>
    </xf>
    <xf numFmtId="3" fontId="0" fillId="5" borderId="62" xfId="0" applyNumberFormat="1" applyFill="1" applyBorder="1" applyAlignment="1">
      <alignment horizontal="center" vertical="center"/>
    </xf>
    <xf numFmtId="0" fontId="15" fillId="6" borderId="13" xfId="0" applyFont="1" applyFill="1" applyBorder="1" applyAlignment="1">
      <alignment horizontal="center" vertical="center" wrapText="1"/>
    </xf>
    <xf numFmtId="165" fontId="11" fillId="0" borderId="12" xfId="0" applyNumberFormat="1" applyFont="1" applyFill="1" applyBorder="1" applyAlignment="1">
      <alignment horizontal="justify" vertical="center" wrapText="1"/>
    </xf>
    <xf numFmtId="3" fontId="0" fillId="0" borderId="79" xfId="0" applyNumberFormat="1" applyFill="1" applyBorder="1" applyAlignment="1">
      <alignment horizontal="center" vertical="center"/>
    </xf>
    <xf numFmtId="0" fontId="28" fillId="0" borderId="24" xfId="0" applyFont="1" applyBorder="1" applyAlignment="1">
      <alignment horizontal="right" wrapText="1"/>
    </xf>
    <xf numFmtId="3" fontId="28" fillId="0" borderId="25" xfId="0" applyNumberFormat="1" applyFont="1" applyBorder="1" applyAlignment="1">
      <alignment horizontal="center" wrapText="1"/>
    </xf>
    <xf numFmtId="0" fontId="28" fillId="0" borderId="25" xfId="0" applyFont="1" applyBorder="1" applyAlignment="1">
      <alignment horizontal="right"/>
    </xf>
    <xf numFmtId="0" fontId="28" fillId="0" borderId="25" xfId="0" applyFont="1" applyBorder="1" applyAlignment="1">
      <alignment horizontal="left"/>
    </xf>
    <xf numFmtId="0" fontId="15" fillId="10" borderId="13" xfId="0" applyFont="1" applyFill="1" applyBorder="1" applyAlignment="1">
      <alignment horizontal="left" vertical="center" wrapText="1"/>
    </xf>
    <xf numFmtId="0" fontId="19" fillId="14" borderId="7" xfId="0" applyFont="1" applyFill="1" applyBorder="1" applyAlignment="1">
      <alignment horizontal="left" vertical="center" wrapText="1"/>
    </xf>
    <xf numFmtId="0" fontId="19" fillId="14" borderId="23" xfId="0" applyFont="1" applyFill="1" applyBorder="1" applyAlignment="1">
      <alignment horizontal="left" vertical="center" wrapText="1"/>
    </xf>
    <xf numFmtId="0" fontId="15" fillId="14" borderId="13" xfId="0" applyFont="1" applyFill="1" applyBorder="1" applyAlignment="1">
      <alignment horizontal="left" vertical="center" wrapText="1"/>
    </xf>
    <xf numFmtId="0" fontId="10" fillId="12" borderId="7" xfId="0" applyFont="1" applyFill="1" applyBorder="1" applyAlignment="1">
      <alignment horizontal="left" vertical="center" wrapText="1"/>
    </xf>
    <xf numFmtId="0" fontId="10" fillId="12" borderId="23" xfId="0" applyFont="1" applyFill="1" applyBorder="1" applyAlignment="1">
      <alignment horizontal="left" vertical="center" wrapText="1"/>
    </xf>
    <xf numFmtId="0" fontId="11" fillId="25" borderId="20" xfId="0" applyFont="1" applyFill="1" applyBorder="1" applyAlignment="1">
      <alignment horizontal="center" vertical="center" wrapText="1"/>
    </xf>
    <xf numFmtId="0" fontId="15" fillId="6" borderId="80" xfId="0" applyFont="1" applyFill="1" applyBorder="1" applyAlignment="1">
      <alignment horizontal="left" vertical="center"/>
    </xf>
    <xf numFmtId="1" fontId="10" fillId="0" borderId="7" xfId="0" applyNumberFormat="1" applyFont="1" applyFill="1" applyBorder="1" applyAlignment="1">
      <alignment horizontal="center" vertical="center"/>
    </xf>
    <xf numFmtId="3" fontId="21" fillId="0" borderId="7" xfId="0" applyNumberFormat="1" applyFont="1" applyFill="1" applyBorder="1" applyAlignment="1">
      <alignment vertical="center"/>
    </xf>
    <xf numFmtId="1" fontId="21" fillId="0" borderId="7" xfId="0" applyNumberFormat="1" applyFont="1" applyFill="1" applyBorder="1" applyAlignment="1">
      <alignment horizontal="center" vertical="center"/>
    </xf>
    <xf numFmtId="3" fontId="21" fillId="0" borderId="29" xfId="0" applyNumberFormat="1" applyFont="1" applyFill="1" applyBorder="1" applyAlignment="1">
      <alignment horizontal="center" vertical="center"/>
    </xf>
    <xf numFmtId="3" fontId="0" fillId="0" borderId="7" xfId="0" applyNumberFormat="1" applyFill="1" applyBorder="1" applyAlignment="1"/>
    <xf numFmtId="0" fontId="0" fillId="0" borderId="0" xfId="0" applyFill="1" applyAlignment="1"/>
    <xf numFmtId="3" fontId="56" fillId="7" borderId="7" xfId="0" applyNumberFormat="1" applyFont="1" applyFill="1" applyBorder="1" applyAlignment="1">
      <alignment horizontal="center" vertical="center" wrapText="1"/>
    </xf>
    <xf numFmtId="0" fontId="35" fillId="0" borderId="42" xfId="0" applyFont="1" applyBorder="1" applyAlignment="1">
      <alignment vertical="center" wrapText="1"/>
    </xf>
    <xf numFmtId="0" fontId="35" fillId="0" borderId="31" xfId="0" applyFont="1" applyBorder="1" applyAlignment="1">
      <alignment vertical="center" wrapText="1"/>
    </xf>
    <xf numFmtId="0" fontId="35" fillId="0" borderId="75" xfId="0" applyFont="1" applyBorder="1" applyAlignment="1">
      <alignment vertical="center" wrapText="1"/>
    </xf>
    <xf numFmtId="0" fontId="35" fillId="0" borderId="76" xfId="0" applyFont="1" applyBorder="1" applyAlignment="1">
      <alignment vertical="center" wrapText="1"/>
    </xf>
    <xf numFmtId="3" fontId="26" fillId="7" borderId="3" xfId="0" applyNumberFormat="1"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15" borderId="7" xfId="0" applyFont="1" applyFill="1" applyBorder="1" applyAlignment="1">
      <alignment horizontal="left" vertical="center" wrapText="1"/>
    </xf>
    <xf numFmtId="0" fontId="6" fillId="15" borderId="3" xfId="0" applyFont="1" applyFill="1" applyBorder="1" applyAlignment="1">
      <alignment horizontal="left" vertical="center"/>
    </xf>
    <xf numFmtId="3" fontId="0" fillId="5" borderId="78" xfId="0" applyNumberFormat="1" applyFill="1" applyBorder="1"/>
    <xf numFmtId="3" fontId="0" fillId="5" borderId="79" xfId="0" applyNumberFormat="1" applyFill="1" applyBorder="1"/>
    <xf numFmtId="0" fontId="28" fillId="26" borderId="12" xfId="0" applyFont="1" applyFill="1" applyBorder="1" applyAlignment="1">
      <alignment vertical="center"/>
    </xf>
    <xf numFmtId="3" fontId="0" fillId="5" borderId="59" xfId="0" applyNumberFormat="1" applyFill="1" applyBorder="1"/>
    <xf numFmtId="3" fontId="0" fillId="5" borderId="62" xfId="0" applyNumberFormat="1" applyFill="1" applyBorder="1" applyAlignment="1"/>
    <xf numFmtId="3" fontId="22" fillId="7" borderId="13" xfId="0" applyNumberFormat="1" applyFont="1" applyFill="1" applyBorder="1" applyAlignment="1">
      <alignment horizontal="center" vertical="center" wrapText="1"/>
    </xf>
    <xf numFmtId="3" fontId="26" fillId="7" borderId="60" xfId="0" applyNumberFormat="1" applyFont="1" applyFill="1" applyBorder="1" applyAlignment="1">
      <alignment horizontal="left" vertical="center"/>
    </xf>
    <xf numFmtId="0" fontId="15" fillId="15" borderId="13" xfId="0" applyFont="1" applyFill="1" applyBorder="1" applyAlignment="1">
      <alignment horizontal="left" vertical="center" wrapText="1"/>
    </xf>
    <xf numFmtId="3" fontId="6" fillId="15" borderId="35" xfId="0" applyNumberFormat="1" applyFont="1" applyFill="1" applyBorder="1" applyAlignment="1">
      <alignment horizontal="left" vertical="center"/>
    </xf>
    <xf numFmtId="0" fontId="11" fillId="0" borderId="12" xfId="0" applyFont="1" applyFill="1" applyBorder="1" applyAlignment="1">
      <alignment horizontal="right" vertical="center" wrapText="1"/>
    </xf>
    <xf numFmtId="3" fontId="6" fillId="0" borderId="0" xfId="0" applyNumberFormat="1" applyFont="1" applyBorder="1" applyAlignment="1">
      <alignment horizontal="center"/>
    </xf>
    <xf numFmtId="1" fontId="0" fillId="0" borderId="0" xfId="0" applyNumberFormat="1" applyBorder="1" applyAlignment="1">
      <alignment horizontal="center"/>
    </xf>
    <xf numFmtId="3" fontId="6" fillId="0" borderId="0" xfId="0" applyNumberFormat="1" applyFont="1" applyBorder="1"/>
    <xf numFmtId="3" fontId="6" fillId="0" borderId="79" xfId="0" applyNumberFormat="1" applyFont="1" applyBorder="1"/>
    <xf numFmtId="3" fontId="15" fillId="22" borderId="79" xfId="0" applyNumberFormat="1" applyFont="1" applyFill="1" applyBorder="1" applyAlignment="1">
      <alignment horizontal="center" vertical="center"/>
    </xf>
    <xf numFmtId="3" fontId="34" fillId="11" borderId="35" xfId="0" applyNumberFormat="1" applyFont="1" applyFill="1" applyBorder="1" applyAlignment="1">
      <alignment horizontal="center" vertical="center" wrapText="1"/>
    </xf>
    <xf numFmtId="3" fontId="6" fillId="0" borderId="25" xfId="0" applyNumberFormat="1" applyFont="1" applyBorder="1" applyAlignment="1">
      <alignment horizontal="center"/>
    </xf>
    <xf numFmtId="1" fontId="0" fillId="0" borderId="25" xfId="0" applyNumberFormat="1" applyBorder="1" applyAlignment="1">
      <alignment horizontal="center"/>
    </xf>
    <xf numFmtId="3" fontId="6" fillId="0" borderId="25" xfId="0" applyNumberFormat="1" applyFont="1" applyBorder="1"/>
    <xf numFmtId="3" fontId="6" fillId="0" borderId="82" xfId="0" applyNumberFormat="1" applyFont="1" applyBorder="1"/>
    <xf numFmtId="3" fontId="33" fillId="13" borderId="5" xfId="2" applyNumberFormat="1" applyFont="1" applyFill="1" applyBorder="1" applyAlignment="1">
      <alignment horizontal="left" vertical="center"/>
    </xf>
    <xf numFmtId="3" fontId="33" fillId="13" borderId="53" xfId="2" applyNumberFormat="1" applyFont="1" applyFill="1" applyBorder="1" applyAlignment="1">
      <alignment horizontal="left" vertical="center"/>
    </xf>
    <xf numFmtId="0" fontId="21" fillId="0" borderId="0" xfId="0" applyFont="1"/>
    <xf numFmtId="169" fontId="21" fillId="5" borderId="16" xfId="0" applyNumberFormat="1" applyFont="1" applyFill="1" applyBorder="1" applyAlignment="1">
      <alignment horizontal="center"/>
    </xf>
    <xf numFmtId="3" fontId="21" fillId="5" borderId="0" xfId="0" applyNumberFormat="1" applyFont="1" applyFill="1" applyBorder="1" applyAlignment="1">
      <alignment horizontal="center"/>
    </xf>
    <xf numFmtId="1" fontId="21" fillId="5" borderId="0" xfId="0" applyNumberFormat="1" applyFont="1" applyFill="1" applyBorder="1" applyAlignment="1"/>
    <xf numFmtId="3" fontId="21" fillId="5" borderId="0" xfId="0" applyNumberFormat="1" applyFont="1" applyFill="1" applyBorder="1" applyAlignment="1"/>
    <xf numFmtId="3" fontId="27" fillId="5" borderId="0" xfId="0" applyNumberFormat="1" applyFont="1" applyFill="1" applyBorder="1" applyAlignment="1">
      <alignment horizontal="center" vertical="center"/>
    </xf>
    <xf numFmtId="3" fontId="27" fillId="5" borderId="79" xfId="0" applyNumberFormat="1" applyFont="1" applyFill="1" applyBorder="1" applyAlignment="1">
      <alignment horizontal="center" vertical="center"/>
    </xf>
    <xf numFmtId="0" fontId="21" fillId="0" borderId="0" xfId="0" applyFont="1" applyFill="1"/>
    <xf numFmtId="0" fontId="21" fillId="18" borderId="12" xfId="0" applyFont="1" applyFill="1" applyBorder="1" applyAlignment="1">
      <alignment horizontal="left" vertical="center"/>
    </xf>
    <xf numFmtId="0" fontId="58" fillId="18" borderId="0" xfId="0" applyFont="1" applyFill="1" applyBorder="1" applyAlignment="1">
      <alignment horizontal="center"/>
    </xf>
    <xf numFmtId="0" fontId="58" fillId="18" borderId="17" xfId="0" applyFont="1" applyFill="1" applyBorder="1" applyAlignment="1">
      <alignment horizontal="center"/>
    </xf>
    <xf numFmtId="1" fontId="21" fillId="5" borderId="0" xfId="0" applyNumberFormat="1" applyFont="1" applyFill="1" applyBorder="1"/>
    <xf numFmtId="3" fontId="21" fillId="5" borderId="0" xfId="0" applyNumberFormat="1" applyFont="1" applyFill="1" applyBorder="1"/>
    <xf numFmtId="0" fontId="21" fillId="18" borderId="12" xfId="0" applyFont="1" applyFill="1" applyBorder="1" applyAlignment="1">
      <alignment vertical="center"/>
    </xf>
    <xf numFmtId="0" fontId="14" fillId="0" borderId="12" xfId="0" applyFont="1" applyBorder="1" applyAlignment="1">
      <alignment vertical="center"/>
    </xf>
    <xf numFmtId="170" fontId="59" fillId="18" borderId="7" xfId="1" applyNumberFormat="1" applyFont="1" applyFill="1" applyBorder="1" applyAlignment="1">
      <alignment horizontal="center"/>
    </xf>
    <xf numFmtId="0" fontId="21" fillId="4" borderId="0" xfId="0" applyFont="1" applyFill="1" applyBorder="1" applyAlignment="1">
      <alignment horizontal="left" wrapText="1"/>
    </xf>
    <xf numFmtId="0" fontId="21" fillId="4" borderId="17" xfId="0" applyFont="1" applyFill="1" applyBorder="1" applyAlignment="1">
      <alignment horizontal="left" wrapText="1"/>
    </xf>
    <xf numFmtId="0" fontId="59" fillId="4" borderId="13" xfId="0" applyFont="1" applyFill="1" applyBorder="1" applyAlignment="1">
      <alignment vertical="center"/>
    </xf>
    <xf numFmtId="3" fontId="59" fillId="4" borderId="14" xfId="1" applyNumberFormat="1" applyFont="1" applyFill="1" applyBorder="1" applyAlignment="1">
      <alignment horizontal="center"/>
    </xf>
    <xf numFmtId="0" fontId="14" fillId="4" borderId="0" xfId="0" applyFont="1" applyFill="1" applyBorder="1" applyAlignment="1">
      <alignment horizontal="center" wrapText="1"/>
    </xf>
    <xf numFmtId="169" fontId="21" fillId="5" borderId="18" xfId="0" applyNumberFormat="1" applyFont="1" applyFill="1" applyBorder="1" applyAlignment="1">
      <alignment horizontal="center"/>
    </xf>
    <xf numFmtId="3" fontId="21" fillId="5" borderId="19" xfId="0" applyNumberFormat="1" applyFont="1" applyFill="1" applyBorder="1" applyAlignment="1">
      <alignment horizontal="center"/>
    </xf>
    <xf numFmtId="1" fontId="21" fillId="5" borderId="19" xfId="0" applyNumberFormat="1" applyFont="1" applyFill="1" applyBorder="1"/>
    <xf numFmtId="3" fontId="21" fillId="5" borderId="19" xfId="0" applyNumberFormat="1" applyFont="1" applyFill="1" applyBorder="1"/>
    <xf numFmtId="3" fontId="27" fillId="5" borderId="19" xfId="0" applyNumberFormat="1" applyFont="1" applyFill="1" applyBorder="1" applyAlignment="1">
      <alignment horizontal="center" vertical="center"/>
    </xf>
    <xf numFmtId="3" fontId="27" fillId="5" borderId="59" xfId="0" applyNumberFormat="1" applyFont="1" applyFill="1" applyBorder="1" applyAlignment="1">
      <alignment horizontal="center" vertical="center"/>
    </xf>
    <xf numFmtId="0" fontId="14" fillId="4" borderId="21" xfId="0" applyFont="1" applyFill="1" applyBorder="1" applyAlignment="1">
      <alignment horizontal="center" wrapText="1"/>
    </xf>
    <xf numFmtId="3" fontId="14" fillId="0" borderId="0" xfId="1" applyNumberFormat="1" applyFont="1" applyBorder="1" applyAlignment="1">
      <alignment horizontal="center"/>
    </xf>
    <xf numFmtId="166" fontId="14" fillId="18" borderId="0" xfId="1" applyNumberFormat="1" applyFont="1" applyFill="1" applyBorder="1" applyAlignment="1">
      <alignment horizontal="center"/>
    </xf>
    <xf numFmtId="0" fontId="21" fillId="4" borderId="19" xfId="0" applyFont="1" applyFill="1" applyBorder="1" applyAlignment="1"/>
    <xf numFmtId="0" fontId="21" fillId="4" borderId="20" xfId="0" applyFont="1" applyFill="1" applyBorder="1" applyAlignment="1"/>
    <xf numFmtId="169" fontId="21" fillId="5" borderId="2" xfId="0" applyNumberFormat="1" applyFont="1" applyFill="1" applyBorder="1" applyAlignment="1">
      <alignment horizontal="center" wrapText="1"/>
    </xf>
    <xf numFmtId="3" fontId="21" fillId="5" borderId="2" xfId="0" applyNumberFormat="1" applyFont="1" applyFill="1" applyBorder="1" applyAlignment="1">
      <alignment horizontal="center" wrapText="1"/>
    </xf>
    <xf numFmtId="1" fontId="21" fillId="5" borderId="2" xfId="0" applyNumberFormat="1" applyFont="1" applyFill="1" applyBorder="1" applyAlignment="1">
      <alignment horizontal="center" wrapText="1"/>
    </xf>
    <xf numFmtId="3" fontId="21" fillId="5" borderId="2" xfId="0" applyNumberFormat="1" applyFont="1" applyFill="1" applyBorder="1" applyAlignment="1">
      <alignment horizontal="center"/>
    </xf>
    <xf numFmtId="3" fontId="27" fillId="5" borderId="2" xfId="0" applyNumberFormat="1" applyFont="1" applyFill="1" applyBorder="1" applyAlignment="1">
      <alignment horizontal="center"/>
    </xf>
    <xf numFmtId="3" fontId="27" fillId="5" borderId="60" xfId="0" applyNumberFormat="1" applyFont="1" applyFill="1" applyBorder="1" applyAlignment="1">
      <alignment horizontal="center"/>
    </xf>
    <xf numFmtId="0" fontId="21" fillId="0" borderId="0" xfId="0" applyFont="1" applyAlignment="1"/>
    <xf numFmtId="3" fontId="21" fillId="0" borderId="0" xfId="0" applyNumberFormat="1" applyFont="1" applyAlignment="1">
      <alignment horizontal="center"/>
    </xf>
    <xf numFmtId="0" fontId="14" fillId="4" borderId="22" xfId="0" applyFont="1" applyFill="1" applyBorder="1" applyAlignment="1">
      <alignment horizontal="center" vertical="center" wrapText="1"/>
    </xf>
    <xf numFmtId="3" fontId="14" fillId="4" borderId="14"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69" fontId="14" fillId="5" borderId="1" xfId="0" applyNumberFormat="1" applyFont="1" applyFill="1" applyBorder="1" applyAlignment="1">
      <alignment horizontal="center" vertical="center" wrapText="1"/>
    </xf>
    <xf numFmtId="0" fontId="14" fillId="0" borderId="0" xfId="0" applyFont="1"/>
    <xf numFmtId="0" fontId="14" fillId="13" borderId="13" xfId="0" applyFont="1" applyFill="1" applyBorder="1" applyAlignment="1">
      <alignment horizontal="center" vertical="center" wrapText="1"/>
    </xf>
    <xf numFmtId="165" fontId="20" fillId="20" borderId="7" xfId="0" applyNumberFormat="1" applyFont="1" applyFill="1" applyBorder="1" applyAlignment="1">
      <alignment horizontal="center" vertical="center" wrapText="1"/>
    </xf>
    <xf numFmtId="169" fontId="14" fillId="29" borderId="3" xfId="0" applyNumberFormat="1" applyFont="1" applyFill="1" applyBorder="1" applyAlignment="1">
      <alignment horizontal="center" vertical="center" wrapText="1"/>
    </xf>
    <xf numFmtId="3" fontId="14" fillId="29" borderId="3" xfId="0" applyNumberFormat="1" applyFont="1" applyFill="1" applyBorder="1" applyAlignment="1">
      <alignment horizontal="center" vertical="center" wrapText="1"/>
    </xf>
    <xf numFmtId="1" fontId="14" fillId="29" borderId="7" xfId="0" applyNumberFormat="1" applyFont="1" applyFill="1" applyBorder="1" applyAlignment="1">
      <alignment horizontal="center" vertical="center" wrapText="1"/>
    </xf>
    <xf numFmtId="3" fontId="21" fillId="29" borderId="7" xfId="0" applyNumberFormat="1" applyFont="1" applyFill="1" applyBorder="1" applyAlignment="1">
      <alignment horizontal="center"/>
    </xf>
    <xf numFmtId="3" fontId="27" fillId="29" borderId="3" xfId="0" applyNumberFormat="1" applyFont="1" applyFill="1" applyBorder="1" applyAlignment="1">
      <alignment horizontal="center" vertical="center"/>
    </xf>
    <xf numFmtId="3" fontId="27" fillId="29" borderId="7" xfId="0" applyNumberFormat="1" applyFont="1" applyFill="1" applyBorder="1" applyAlignment="1">
      <alignment horizontal="center" vertical="center"/>
    </xf>
    <xf numFmtId="3" fontId="27" fillId="29" borderId="35" xfId="0" applyNumberFormat="1" applyFont="1" applyFill="1" applyBorder="1" applyAlignment="1">
      <alignment horizontal="center" vertical="center"/>
    </xf>
    <xf numFmtId="165" fontId="20" fillId="21" borderId="7" xfId="0" applyNumberFormat="1" applyFont="1" applyFill="1" applyBorder="1" applyAlignment="1">
      <alignment horizontal="center" vertical="center"/>
    </xf>
    <xf numFmtId="169" fontId="27" fillId="29" borderId="3" xfId="0" applyNumberFormat="1" applyFont="1" applyFill="1" applyBorder="1" applyAlignment="1">
      <alignment horizontal="center" vertical="center" wrapText="1"/>
    </xf>
    <xf numFmtId="3" fontId="27" fillId="29" borderId="3" xfId="0" applyNumberFormat="1" applyFont="1" applyFill="1" applyBorder="1" applyAlignment="1">
      <alignment horizontal="center" vertical="center" wrapText="1"/>
    </xf>
    <xf numFmtId="3" fontId="18" fillId="29" borderId="7" xfId="0" applyNumberFormat="1" applyFont="1" applyFill="1" applyBorder="1" applyAlignment="1">
      <alignment horizontal="center"/>
    </xf>
    <xf numFmtId="0" fontId="18" fillId="0" borderId="0" xfId="0" applyFont="1" applyFill="1"/>
    <xf numFmtId="0" fontId="27" fillId="13" borderId="13" xfId="0" applyFont="1" applyFill="1" applyBorder="1" applyAlignment="1">
      <alignment horizontal="left" vertical="center"/>
    </xf>
    <xf numFmtId="169" fontId="27" fillId="0" borderId="3" xfId="0" applyNumberFormat="1" applyFont="1" applyFill="1" applyBorder="1" applyAlignment="1">
      <alignment horizontal="center" vertical="center" wrapText="1"/>
    </xf>
    <xf numFmtId="3" fontId="27" fillId="0" borderId="3"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xf>
    <xf numFmtId="3" fontId="27" fillId="0" borderId="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3" fontId="21" fillId="0" borderId="7" xfId="0" applyNumberFormat="1" applyFont="1" applyFill="1" applyBorder="1" applyAlignment="1">
      <alignment horizontal="center"/>
    </xf>
    <xf numFmtId="3" fontId="21" fillId="0" borderId="3" xfId="0" applyNumberFormat="1" applyFont="1" applyFill="1" applyBorder="1" applyAlignment="1">
      <alignment horizontal="center" vertical="center"/>
    </xf>
    <xf numFmtId="0" fontId="14" fillId="4" borderId="13" xfId="0" applyFont="1" applyFill="1" applyBorder="1" applyAlignment="1">
      <alignment horizontal="right" vertical="center"/>
    </xf>
    <xf numFmtId="3" fontId="14" fillId="4" borderId="7" xfId="0" applyNumberFormat="1" applyFont="1" applyFill="1" applyBorder="1" applyAlignment="1">
      <alignment horizontal="center" vertical="center"/>
    </xf>
    <xf numFmtId="0" fontId="14" fillId="4" borderId="7" xfId="0" applyFont="1" applyFill="1" applyBorder="1" applyAlignment="1">
      <alignment horizontal="left" vertical="center"/>
    </xf>
    <xf numFmtId="0" fontId="14" fillId="4" borderId="23" xfId="0" applyFont="1" applyFill="1" applyBorder="1" applyAlignment="1">
      <alignment horizontal="left" vertical="center"/>
    </xf>
    <xf numFmtId="169" fontId="14" fillId="4" borderId="3" xfId="0" applyNumberFormat="1" applyFont="1" applyFill="1" applyBorder="1" applyAlignment="1">
      <alignment horizontal="center" vertical="center" wrapText="1"/>
    </xf>
    <xf numFmtId="1" fontId="27" fillId="29" borderId="3"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0" fontId="14" fillId="4" borderId="14" xfId="0" applyFont="1" applyFill="1" applyBorder="1" applyAlignment="1">
      <alignment horizontal="left" vertical="center"/>
    </xf>
    <xf numFmtId="0" fontId="14" fillId="4" borderId="27" xfId="0" applyFont="1" applyFill="1" applyBorder="1" applyAlignment="1">
      <alignment horizontal="left" vertical="center"/>
    </xf>
    <xf numFmtId="0" fontId="27" fillId="13" borderId="22" xfId="0" applyFont="1" applyFill="1" applyBorder="1" applyAlignment="1">
      <alignment horizontal="left" vertical="center"/>
    </xf>
    <xf numFmtId="169" fontId="21" fillId="0" borderId="3"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xf>
    <xf numFmtId="0" fontId="14" fillId="4" borderId="22" xfId="0" applyFont="1" applyFill="1" applyBorder="1" applyAlignment="1">
      <alignment horizontal="right" vertical="center"/>
    </xf>
    <xf numFmtId="165" fontId="27" fillId="0" borderId="7" xfId="0" applyNumberFormat="1" applyFont="1" applyFill="1" applyBorder="1" applyAlignment="1">
      <alignment horizontal="center" vertical="center"/>
    </xf>
    <xf numFmtId="3" fontId="21" fillId="0" borderId="14" xfId="0" applyNumberFormat="1" applyFont="1" applyFill="1" applyBorder="1" applyAlignment="1">
      <alignment horizontal="center"/>
    </xf>
    <xf numFmtId="3" fontId="27" fillId="0" borderId="5" xfId="0" applyNumberFormat="1" applyFont="1" applyFill="1" applyBorder="1" applyAlignment="1">
      <alignment horizontal="center" vertical="center"/>
    </xf>
    <xf numFmtId="3" fontId="27" fillId="0" borderId="14" xfId="0" applyNumberFormat="1" applyFont="1" applyFill="1" applyBorder="1" applyAlignment="1">
      <alignment horizontal="center" vertical="center"/>
    </xf>
    <xf numFmtId="169" fontId="14" fillId="4" borderId="5" xfId="0" applyNumberFormat="1" applyFont="1" applyFill="1" applyBorder="1" applyAlignment="1">
      <alignment horizontal="center" vertical="center" wrapText="1"/>
    </xf>
    <xf numFmtId="3" fontId="14" fillId="4" borderId="5" xfId="0" applyNumberFormat="1" applyFont="1" applyFill="1" applyBorder="1" applyAlignment="1">
      <alignment horizontal="center" vertical="center" wrapText="1"/>
    </xf>
    <xf numFmtId="1" fontId="14" fillId="4" borderId="14" xfId="0" applyNumberFormat="1" applyFont="1" applyFill="1" applyBorder="1" applyAlignment="1">
      <alignment horizontal="center" vertical="center" wrapText="1"/>
    </xf>
    <xf numFmtId="3" fontId="14" fillId="4" borderId="53" xfId="0" applyNumberFormat="1" applyFont="1" applyFill="1" applyBorder="1" applyAlignment="1">
      <alignment horizontal="center" vertical="center" wrapText="1"/>
    </xf>
    <xf numFmtId="3" fontId="27" fillId="0" borderId="35" xfId="0" applyNumberFormat="1" applyFont="1" applyFill="1" applyBorder="1" applyAlignment="1">
      <alignment horizontal="center" vertical="center"/>
    </xf>
    <xf numFmtId="169" fontId="27" fillId="21" borderId="3" xfId="0" applyNumberFormat="1" applyFont="1" applyFill="1" applyBorder="1" applyAlignment="1">
      <alignment horizontal="center" vertical="center" wrapText="1"/>
    </xf>
    <xf numFmtId="3" fontId="20" fillId="21" borderId="3" xfId="0" applyNumberFormat="1" applyFont="1" applyFill="1" applyBorder="1" applyAlignment="1">
      <alignment horizontal="center" vertical="center" wrapText="1"/>
    </xf>
    <xf numFmtId="3" fontId="18" fillId="21" borderId="7" xfId="0" applyNumberFormat="1" applyFont="1" applyFill="1" applyBorder="1" applyAlignment="1">
      <alignment horizontal="center"/>
    </xf>
    <xf numFmtId="3" fontId="27" fillId="21" borderId="3" xfId="0" applyNumberFormat="1" applyFont="1" applyFill="1" applyBorder="1" applyAlignment="1">
      <alignment horizontal="center" vertical="center"/>
    </xf>
    <xf numFmtId="3" fontId="27" fillId="21" borderId="7" xfId="0" applyNumberFormat="1" applyFont="1" applyFill="1" applyBorder="1" applyAlignment="1">
      <alignment horizontal="center" vertical="center"/>
    </xf>
    <xf numFmtId="3" fontId="27" fillId="21" borderId="35" xfId="0" applyNumberFormat="1" applyFont="1" applyFill="1" applyBorder="1" applyAlignment="1">
      <alignment horizontal="center" vertical="center"/>
    </xf>
    <xf numFmtId="0" fontId="27" fillId="21" borderId="13" xfId="0" applyFont="1" applyFill="1" applyBorder="1" applyAlignment="1">
      <alignment horizontal="left" vertical="center"/>
    </xf>
    <xf numFmtId="169" fontId="14" fillId="24" borderId="5" xfId="0" applyNumberFormat="1" applyFont="1" applyFill="1" applyBorder="1" applyAlignment="1">
      <alignment horizontal="center" vertical="center" wrapText="1"/>
    </xf>
    <xf numFmtId="3" fontId="14" fillId="24" borderId="5" xfId="0" applyNumberFormat="1" applyFont="1" applyFill="1" applyBorder="1" applyAlignment="1">
      <alignment horizontal="center" vertical="center" wrapText="1"/>
    </xf>
    <xf numFmtId="1" fontId="14" fillId="24" borderId="14" xfId="0" applyNumberFormat="1" applyFont="1" applyFill="1" applyBorder="1" applyAlignment="1">
      <alignment horizontal="center" vertical="center" wrapText="1"/>
    </xf>
    <xf numFmtId="3" fontId="14" fillId="24" borderId="14" xfId="0" applyNumberFormat="1" applyFont="1" applyFill="1" applyBorder="1" applyAlignment="1">
      <alignment horizontal="center" vertical="center" wrapText="1"/>
    </xf>
    <xf numFmtId="3" fontId="21" fillId="24" borderId="7" xfId="0" applyNumberFormat="1" applyFont="1" applyFill="1" applyBorder="1" applyAlignment="1">
      <alignment horizontal="center"/>
    </xf>
    <xf numFmtId="3" fontId="27" fillId="24" borderId="3" xfId="0" applyNumberFormat="1" applyFont="1" applyFill="1" applyBorder="1" applyAlignment="1">
      <alignment horizontal="center" vertical="center"/>
    </xf>
    <xf numFmtId="3" fontId="27" fillId="24" borderId="7" xfId="0" applyNumberFormat="1" applyFont="1" applyFill="1" applyBorder="1" applyAlignment="1">
      <alignment horizontal="center" vertical="center"/>
    </xf>
    <xf numFmtId="3" fontId="27" fillId="24" borderId="35" xfId="0" applyNumberFormat="1" applyFont="1" applyFill="1" applyBorder="1" applyAlignment="1">
      <alignment horizontal="center" vertical="center"/>
    </xf>
    <xf numFmtId="0" fontId="27" fillId="24" borderId="13" xfId="0" applyFont="1" applyFill="1" applyBorder="1" applyAlignment="1">
      <alignment horizontal="left" vertical="center"/>
    </xf>
    <xf numFmtId="0" fontId="20" fillId="6" borderId="13" xfId="0" applyFont="1" applyFill="1" applyBorder="1" applyAlignment="1">
      <alignment horizontal="center" vertical="center" wrapText="1"/>
    </xf>
    <xf numFmtId="0" fontId="27" fillId="6" borderId="13" xfId="0" applyFont="1" applyFill="1" applyBorder="1" applyAlignment="1">
      <alignment horizontal="left" vertical="center"/>
    </xf>
    <xf numFmtId="0" fontId="27" fillId="17" borderId="28" xfId="0" applyFont="1" applyFill="1" applyBorder="1" applyAlignment="1">
      <alignment horizontal="left" vertical="center"/>
    </xf>
    <xf numFmtId="0" fontId="27" fillId="6" borderId="23" xfId="0" applyFont="1" applyFill="1" applyBorder="1" applyAlignment="1">
      <alignment horizontal="left" vertical="center"/>
    </xf>
    <xf numFmtId="3" fontId="27" fillId="0" borderId="7" xfId="0" applyNumberFormat="1" applyFont="1" applyFill="1" applyBorder="1" applyAlignment="1">
      <alignment horizontal="center"/>
    </xf>
    <xf numFmtId="0" fontId="14" fillId="4" borderId="1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22" xfId="0" applyFont="1" applyFill="1" applyBorder="1" applyAlignment="1">
      <alignment horizontal="right" vertical="center"/>
    </xf>
    <xf numFmtId="3" fontId="14" fillId="0" borderId="14" xfId="0" applyNumberFormat="1" applyFont="1" applyFill="1" applyBorder="1" applyAlignment="1">
      <alignment horizontal="center" vertical="center"/>
    </xf>
    <xf numFmtId="0" fontId="14" fillId="0" borderId="14" xfId="0" applyFont="1" applyFill="1" applyBorder="1" applyAlignment="1">
      <alignment horizontal="left" vertical="center"/>
    </xf>
    <xf numFmtId="0" fontId="14" fillId="0" borderId="27" xfId="0" applyFont="1" applyFill="1" applyBorder="1" applyAlignment="1">
      <alignment horizontal="left" vertical="center"/>
    </xf>
    <xf numFmtId="169" fontId="14"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3" fontId="27" fillId="0" borderId="53" xfId="0" applyNumberFormat="1" applyFont="1" applyFill="1" applyBorder="1" applyAlignment="1">
      <alignment horizontal="center" vertical="center"/>
    </xf>
    <xf numFmtId="0" fontId="14" fillId="4" borderId="83" xfId="0" applyFont="1" applyFill="1" applyBorder="1" applyAlignment="1">
      <alignment horizontal="center" vertical="center" wrapText="1"/>
    </xf>
    <xf numFmtId="3" fontId="14" fillId="4" borderId="47" xfId="0" applyNumberFormat="1"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169" fontId="14" fillId="4" borderId="50" xfId="0" applyNumberFormat="1" applyFont="1" applyFill="1" applyBorder="1" applyAlignment="1">
      <alignment horizontal="center" vertical="center" wrapText="1"/>
    </xf>
    <xf numFmtId="3" fontId="14" fillId="4" borderId="50" xfId="0" applyNumberFormat="1" applyFont="1" applyFill="1" applyBorder="1" applyAlignment="1">
      <alignment horizontal="center" vertical="center" wrapText="1"/>
    </xf>
    <xf numFmtId="1" fontId="14" fillId="4" borderId="47" xfId="0" applyNumberFormat="1" applyFont="1" applyFill="1" applyBorder="1" applyAlignment="1">
      <alignment horizontal="center" vertical="center" wrapText="1"/>
    </xf>
    <xf numFmtId="3" fontId="14" fillId="4" borderId="54" xfId="0" applyNumberFormat="1" applyFont="1" applyFill="1" applyBorder="1" applyAlignment="1">
      <alignment horizontal="center" vertical="center" wrapText="1"/>
    </xf>
    <xf numFmtId="167" fontId="14" fillId="16" borderId="12" xfId="1" applyNumberFormat="1" applyFont="1" applyFill="1" applyBorder="1" applyAlignment="1">
      <alignment horizontal="center" wrapText="1"/>
    </xf>
    <xf numFmtId="3" fontId="14" fillId="16" borderId="0" xfId="1" applyNumberFormat="1" applyFont="1" applyFill="1" applyBorder="1" applyAlignment="1">
      <alignment horizontal="center" wrapText="1"/>
    </xf>
    <xf numFmtId="167" fontId="14" fillId="16" borderId="0" xfId="1" applyNumberFormat="1" applyFont="1" applyFill="1" applyBorder="1" applyAlignment="1">
      <alignment horizontal="center" wrapText="1"/>
    </xf>
    <xf numFmtId="169" fontId="14" fillId="16" borderId="0" xfId="1" applyNumberFormat="1" applyFont="1" applyFill="1" applyBorder="1" applyAlignment="1">
      <alignment horizontal="center" wrapText="1"/>
    </xf>
    <xf numFmtId="1" fontId="14" fillId="16" borderId="0" xfId="1" applyNumberFormat="1" applyFont="1" applyFill="1" applyBorder="1" applyAlignment="1">
      <alignment horizontal="center" wrapText="1"/>
    </xf>
    <xf numFmtId="3" fontId="21" fillId="16" borderId="0" xfId="0" applyNumberFormat="1" applyFont="1" applyFill="1" applyBorder="1" applyAlignment="1">
      <alignment horizontal="center"/>
    </xf>
    <xf numFmtId="3" fontId="27" fillId="16" borderId="0" xfId="0" applyNumberFormat="1" applyFont="1" applyFill="1" applyBorder="1" applyAlignment="1">
      <alignment horizontal="center" vertical="center"/>
    </xf>
    <xf numFmtId="3" fontId="27" fillId="16" borderId="79" xfId="0" applyNumberFormat="1" applyFont="1" applyFill="1" applyBorder="1" applyAlignment="1">
      <alignment horizontal="center" vertical="center"/>
    </xf>
    <xf numFmtId="0" fontId="21" fillId="16" borderId="0" xfId="0" applyFont="1" applyFill="1"/>
    <xf numFmtId="0" fontId="14" fillId="16" borderId="12" xfId="0" applyFont="1" applyFill="1" applyBorder="1" applyAlignment="1">
      <alignment wrapText="1"/>
    </xf>
    <xf numFmtId="0" fontId="14" fillId="10" borderId="13" xfId="0" applyFont="1" applyFill="1" applyBorder="1" applyAlignment="1">
      <alignment wrapText="1"/>
    </xf>
    <xf numFmtId="167" fontId="14" fillId="0" borderId="0" xfId="1" applyNumberFormat="1" applyFont="1" applyFill="1" applyBorder="1" applyAlignment="1">
      <alignment horizontal="center" wrapText="1"/>
    </xf>
    <xf numFmtId="169" fontId="14" fillId="0" borderId="0" xfId="1" applyNumberFormat="1" applyFont="1" applyFill="1" applyBorder="1" applyAlignment="1">
      <alignment horizontal="center" wrapText="1"/>
    </xf>
    <xf numFmtId="3" fontId="14" fillId="0" borderId="0" xfId="1" applyNumberFormat="1" applyFont="1" applyFill="1" applyBorder="1" applyAlignment="1">
      <alignment horizontal="center" wrapText="1"/>
    </xf>
    <xf numFmtId="1" fontId="14" fillId="0" borderId="0" xfId="1" applyNumberFormat="1" applyFont="1" applyFill="1" applyBorder="1" applyAlignment="1">
      <alignment horizontal="center" wrapText="1"/>
    </xf>
    <xf numFmtId="3" fontId="21" fillId="0" borderId="0" xfId="0" applyNumberFormat="1" applyFont="1" applyFill="1" applyBorder="1" applyAlignment="1">
      <alignment horizontal="center"/>
    </xf>
    <xf numFmtId="3" fontId="27" fillId="0" borderId="0" xfId="0" applyNumberFormat="1" applyFont="1" applyBorder="1" applyAlignment="1">
      <alignment horizontal="center" vertical="center"/>
    </xf>
    <xf numFmtId="3" fontId="27" fillId="0" borderId="79" xfId="0" applyNumberFormat="1" applyFont="1" applyBorder="1" applyAlignment="1">
      <alignment horizontal="center" vertical="center"/>
    </xf>
    <xf numFmtId="169" fontId="14" fillId="0" borderId="0" xfId="0" applyNumberFormat="1" applyFont="1" applyFill="1" applyBorder="1" applyAlignment="1">
      <alignment horizontal="center" vertical="center" wrapText="1"/>
    </xf>
    <xf numFmtId="3" fontId="20" fillId="22" borderId="7" xfId="0" applyNumberFormat="1" applyFont="1" applyFill="1" applyBorder="1" applyAlignment="1">
      <alignment horizontal="center" vertical="center"/>
    </xf>
    <xf numFmtId="3" fontId="20" fillId="22" borderId="35" xfId="0" applyNumberFormat="1" applyFont="1" applyFill="1" applyBorder="1" applyAlignment="1">
      <alignment horizontal="center" vertical="center"/>
    </xf>
    <xf numFmtId="0" fontId="14" fillId="11" borderId="13" xfId="0" applyFont="1" applyFill="1" applyBorder="1" applyAlignment="1">
      <alignment horizontal="center" vertical="center" wrapText="1"/>
    </xf>
    <xf numFmtId="3" fontId="14" fillId="11" borderId="13" xfId="0"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169" fontId="14" fillId="0" borderId="0" xfId="1"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3" fontId="14" fillId="11" borderId="7" xfId="0" applyNumberFormat="1" applyFont="1" applyFill="1" applyBorder="1" applyAlignment="1">
      <alignment horizontal="center" vertical="center" wrapText="1"/>
    </xf>
    <xf numFmtId="167" fontId="14" fillId="11" borderId="7" xfId="0" applyNumberFormat="1" applyFont="1" applyFill="1" applyBorder="1" applyAlignment="1">
      <alignment vertical="center" wrapText="1"/>
    </xf>
    <xf numFmtId="0" fontId="14" fillId="0" borderId="0" xfId="0" applyFont="1" applyFill="1" applyBorder="1" applyAlignment="1">
      <alignment wrapText="1"/>
    </xf>
    <xf numFmtId="3" fontId="14" fillId="16" borderId="0" xfId="1" applyNumberFormat="1" applyFont="1" applyFill="1" applyBorder="1" applyAlignment="1">
      <alignment horizontal="center" vertical="center" wrapText="1"/>
    </xf>
    <xf numFmtId="167" fontId="14" fillId="11" borderId="7" xfId="0" applyNumberFormat="1" applyFont="1" applyFill="1" applyBorder="1" applyAlignment="1">
      <alignment horizontal="center" vertical="center" wrapText="1"/>
    </xf>
    <xf numFmtId="0" fontId="21" fillId="0" borderId="12" xfId="0" applyFont="1" applyFill="1" applyBorder="1"/>
    <xf numFmtId="0" fontId="21" fillId="0" borderId="0" xfId="0" applyFont="1" applyFill="1" applyBorder="1"/>
    <xf numFmtId="3" fontId="27" fillId="0" borderId="0" xfId="0" applyNumberFormat="1" applyFont="1" applyFill="1" applyBorder="1" applyAlignment="1">
      <alignment horizontal="center" vertical="center"/>
    </xf>
    <xf numFmtId="3" fontId="27" fillId="0" borderId="79" xfId="0" applyNumberFormat="1" applyFont="1" applyFill="1" applyBorder="1" applyAlignment="1">
      <alignment horizontal="center" vertical="center"/>
    </xf>
    <xf numFmtId="167" fontId="14" fillId="16" borderId="0" xfId="1" applyNumberFormat="1" applyFont="1" applyFill="1" applyBorder="1" applyAlignment="1">
      <alignment horizontal="left" wrapText="1"/>
    </xf>
    <xf numFmtId="3" fontId="14" fillId="0" borderId="0" xfId="0" applyNumberFormat="1" applyFont="1" applyFill="1" applyBorder="1" applyAlignment="1">
      <alignment horizontal="center"/>
    </xf>
    <xf numFmtId="167" fontId="14" fillId="16" borderId="0" xfId="1" applyNumberFormat="1" applyFont="1" applyFill="1" applyBorder="1" applyAlignment="1">
      <alignment horizontal="left"/>
    </xf>
    <xf numFmtId="167" fontId="21" fillId="16" borderId="0" xfId="1" applyNumberFormat="1" applyFont="1" applyFill="1" applyBorder="1" applyAlignment="1">
      <alignment horizontal="left" wrapText="1"/>
    </xf>
    <xf numFmtId="3" fontId="21" fillId="16" borderId="25" xfId="0" applyNumberFormat="1" applyFont="1" applyFill="1" applyBorder="1"/>
    <xf numFmtId="0" fontId="21" fillId="16" borderId="25" xfId="0" applyFont="1" applyFill="1" applyBorder="1"/>
    <xf numFmtId="168" fontId="21" fillId="16" borderId="25" xfId="0" applyNumberFormat="1" applyFont="1" applyFill="1" applyBorder="1" applyAlignment="1">
      <alignment wrapText="1"/>
    </xf>
    <xf numFmtId="0" fontId="21" fillId="16" borderId="25" xfId="0" applyFont="1" applyFill="1" applyBorder="1" applyAlignment="1">
      <alignment wrapText="1"/>
    </xf>
    <xf numFmtId="0" fontId="21" fillId="16" borderId="25" xfId="0" applyFont="1" applyFill="1" applyBorder="1" applyAlignment="1">
      <alignment horizontal="center"/>
    </xf>
    <xf numFmtId="169" fontId="21" fillId="16" borderId="25" xfId="0" applyNumberFormat="1" applyFont="1" applyFill="1" applyBorder="1" applyAlignment="1">
      <alignment horizontal="center"/>
    </xf>
    <xf numFmtId="3" fontId="21" fillId="16" borderId="25" xfId="0" applyNumberFormat="1" applyFont="1" applyFill="1" applyBorder="1" applyAlignment="1">
      <alignment horizontal="center"/>
    </xf>
    <xf numFmtId="1" fontId="21" fillId="16" borderId="25" xfId="0" applyNumberFormat="1" applyFont="1" applyFill="1" applyBorder="1"/>
    <xf numFmtId="3" fontId="27" fillId="0" borderId="25" xfId="0" applyNumberFormat="1" applyFont="1" applyBorder="1" applyAlignment="1">
      <alignment horizontal="center" vertical="center"/>
    </xf>
    <xf numFmtId="3" fontId="27" fillId="0" borderId="82" xfId="0" applyNumberFormat="1" applyFont="1" applyBorder="1" applyAlignment="1">
      <alignment horizontal="center" vertical="center"/>
    </xf>
    <xf numFmtId="169" fontId="27" fillId="0" borderId="0" xfId="0" applyNumberFormat="1" applyFont="1" applyAlignment="1">
      <alignment horizontal="center"/>
    </xf>
    <xf numFmtId="3" fontId="21" fillId="16" borderId="0" xfId="0" applyNumberFormat="1" applyFont="1" applyFill="1"/>
    <xf numFmtId="169" fontId="21" fillId="16" borderId="0" xfId="0" applyNumberFormat="1" applyFont="1" applyFill="1" applyAlignment="1">
      <alignment horizontal="center"/>
    </xf>
    <xf numFmtId="3" fontId="21" fillId="16" borderId="0" xfId="0" applyNumberFormat="1" applyFont="1" applyFill="1" applyAlignment="1">
      <alignment horizontal="center"/>
    </xf>
    <xf numFmtId="1" fontId="21" fillId="16" borderId="0" xfId="0" applyNumberFormat="1" applyFont="1" applyFill="1"/>
    <xf numFmtId="3" fontId="27" fillId="0" borderId="0" xfId="0" applyNumberFormat="1" applyFont="1" applyAlignment="1">
      <alignment horizontal="center" vertical="center"/>
    </xf>
    <xf numFmtId="9" fontId="21" fillId="16" borderId="0" xfId="0" applyNumberFormat="1" applyFont="1" applyFill="1"/>
    <xf numFmtId="0" fontId="14" fillId="16" borderId="0" xfId="0" applyFont="1" applyFill="1" applyAlignment="1">
      <alignment horizontal="right" wrapText="1"/>
    </xf>
    <xf numFmtId="3" fontId="14" fillId="16" borderId="0" xfId="0" applyNumberFormat="1" applyFont="1" applyFill="1" applyAlignment="1">
      <alignment horizontal="center" wrapText="1"/>
    </xf>
    <xf numFmtId="0" fontId="14" fillId="16" borderId="0" xfId="0" applyFont="1" applyFill="1" applyAlignment="1">
      <alignment horizontal="right"/>
    </xf>
    <xf numFmtId="0" fontId="14" fillId="16" borderId="0" xfId="0" applyFont="1" applyFill="1" applyAlignment="1">
      <alignment horizontal="left"/>
    </xf>
    <xf numFmtId="0" fontId="21" fillId="16" borderId="0" xfId="0" applyFont="1" applyFill="1" applyAlignment="1">
      <alignment wrapText="1"/>
    </xf>
    <xf numFmtId="168" fontId="21" fillId="16" borderId="0" xfId="1" applyNumberFormat="1" applyFont="1" applyFill="1"/>
    <xf numFmtId="0" fontId="21" fillId="16" borderId="0" xfId="0" applyFont="1" applyFill="1" applyAlignment="1">
      <alignment horizontal="left"/>
    </xf>
    <xf numFmtId="0" fontId="21" fillId="0" borderId="0" xfId="0" applyFont="1" applyAlignment="1">
      <alignment wrapText="1"/>
    </xf>
    <xf numFmtId="3" fontId="21" fillId="0" borderId="0" xfId="0" applyNumberFormat="1" applyFont="1"/>
    <xf numFmtId="168" fontId="21" fillId="0" borderId="0" xfId="1" applyNumberFormat="1" applyFont="1"/>
    <xf numFmtId="0" fontId="21" fillId="0" borderId="0" xfId="0" applyFont="1" applyAlignment="1">
      <alignment horizontal="left"/>
    </xf>
    <xf numFmtId="169" fontId="21" fillId="0" borderId="0" xfId="0" applyNumberFormat="1" applyFont="1" applyAlignment="1">
      <alignment horizontal="center"/>
    </xf>
    <xf numFmtId="1" fontId="21" fillId="0" borderId="0" xfId="0" applyNumberFormat="1" applyFont="1"/>
    <xf numFmtId="0" fontId="21" fillId="0" borderId="0" xfId="0" applyFont="1" applyAlignment="1">
      <alignment vertical="center"/>
    </xf>
    <xf numFmtId="0" fontId="14" fillId="0" borderId="75" xfId="0" applyFont="1" applyBorder="1" applyAlignment="1">
      <alignment vertical="center" wrapText="1"/>
    </xf>
    <xf numFmtId="3" fontId="14" fillId="0" borderId="75" xfId="0" applyNumberFormat="1" applyFont="1" applyBorder="1" applyAlignment="1">
      <alignment vertical="center" wrapText="1"/>
    </xf>
    <xf numFmtId="0" fontId="14" fillId="0" borderId="76" xfId="0" applyFont="1" applyBorder="1" applyAlignment="1">
      <alignment vertical="center" wrapText="1"/>
    </xf>
    <xf numFmtId="0" fontId="14" fillId="0" borderId="42" xfId="0" applyFont="1" applyBorder="1" applyAlignment="1">
      <alignment vertical="center" wrapText="1"/>
    </xf>
    <xf numFmtId="0" fontId="14" fillId="0" borderId="31" xfId="0" applyFont="1" applyBorder="1" applyAlignment="1">
      <alignment vertical="center" wrapText="1"/>
    </xf>
    <xf numFmtId="0" fontId="15" fillId="12" borderId="13" xfId="0" applyFont="1" applyFill="1" applyBorder="1" applyAlignment="1">
      <alignment horizontal="center" vertical="center" wrapText="1"/>
    </xf>
    <xf numFmtId="3" fontId="35" fillId="0" borderId="75" xfId="0" applyNumberFormat="1" applyFont="1" applyBorder="1" applyAlignment="1">
      <alignment vertical="center" wrapText="1"/>
    </xf>
    <xf numFmtId="0" fontId="6" fillId="12"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0" fillId="25" borderId="45" xfId="0" applyFill="1" applyBorder="1" applyAlignment="1">
      <alignment horizontal="center" vertical="center"/>
    </xf>
    <xf numFmtId="0" fontId="0" fillId="25" borderId="35" xfId="0" applyFill="1" applyBorder="1"/>
    <xf numFmtId="0" fontId="0" fillId="28" borderId="45" xfId="0" applyFill="1" applyBorder="1" applyAlignment="1">
      <alignment horizontal="center"/>
    </xf>
    <xf numFmtId="3" fontId="11" fillId="25" borderId="18" xfId="0" applyNumberFormat="1" applyFont="1" applyFill="1" applyBorder="1" applyAlignment="1">
      <alignment horizontal="center"/>
    </xf>
    <xf numFmtId="3" fontId="11" fillId="25" borderId="29" xfId="0" applyNumberFormat="1" applyFont="1" applyFill="1" applyBorder="1" applyAlignment="1">
      <alignment horizontal="center" vertical="center"/>
    </xf>
    <xf numFmtId="3" fontId="11" fillId="0" borderId="29" xfId="0" applyNumberFormat="1" applyFont="1" applyFill="1" applyBorder="1" applyAlignment="1">
      <alignment horizontal="center"/>
    </xf>
    <xf numFmtId="3" fontId="11" fillId="25" borderId="29" xfId="0" applyNumberFormat="1" applyFont="1" applyFill="1" applyBorder="1" applyAlignment="1">
      <alignment horizontal="center"/>
    </xf>
    <xf numFmtId="3" fontId="11" fillId="23" borderId="29" xfId="0" applyNumberFormat="1" applyFont="1" applyFill="1" applyBorder="1" applyAlignment="1">
      <alignment horizontal="center"/>
    </xf>
    <xf numFmtId="3" fontId="11" fillId="28" borderId="29" xfId="0" applyNumberFormat="1" applyFont="1" applyFill="1" applyBorder="1" applyAlignment="1">
      <alignment horizontal="center"/>
    </xf>
    <xf numFmtId="3" fontId="11" fillId="22" borderId="29" xfId="0" applyNumberFormat="1" applyFont="1" applyFill="1" applyBorder="1" applyAlignment="1">
      <alignment horizontal="center" vertical="center"/>
    </xf>
    <xf numFmtId="3" fontId="28" fillId="11" borderId="29" xfId="0" applyNumberFormat="1" applyFont="1" applyFill="1" applyBorder="1" applyAlignment="1">
      <alignment horizontal="center" vertical="center" wrapText="1"/>
    </xf>
    <xf numFmtId="3" fontId="14" fillId="9" borderId="86" xfId="0" applyNumberFormat="1" applyFont="1" applyFill="1" applyBorder="1" applyAlignment="1">
      <alignment horizontal="center" vertical="center" wrapText="1"/>
    </xf>
    <xf numFmtId="3" fontId="0" fillId="0" borderId="86" xfId="0" applyNumberFormat="1" applyFill="1" applyBorder="1" applyAlignment="1">
      <alignment horizontal="center" vertical="center"/>
    </xf>
    <xf numFmtId="3" fontId="14" fillId="4" borderId="86" xfId="0" applyNumberFormat="1" applyFont="1" applyFill="1" applyBorder="1" applyAlignment="1">
      <alignment horizontal="center" vertical="center" wrapText="1"/>
    </xf>
    <xf numFmtId="3" fontId="34" fillId="9" borderId="87" xfId="1" applyNumberFormat="1" applyFont="1" applyFill="1" applyBorder="1" applyAlignment="1">
      <alignment horizontal="center" vertical="center" wrapText="1"/>
    </xf>
    <xf numFmtId="3" fontId="11" fillId="22" borderId="86" xfId="0" applyNumberFormat="1" applyFont="1" applyFill="1" applyBorder="1" applyAlignment="1">
      <alignment horizontal="center" vertical="center"/>
    </xf>
    <xf numFmtId="3" fontId="28" fillId="11" borderId="86" xfId="0" applyNumberFormat="1" applyFont="1" applyFill="1" applyBorder="1" applyAlignment="1">
      <alignment horizontal="center" vertical="center" wrapText="1"/>
    </xf>
    <xf numFmtId="3" fontId="34" fillId="5" borderId="31" xfId="0" applyNumberFormat="1" applyFont="1" applyFill="1" applyBorder="1" applyAlignment="1">
      <alignment horizontal="center" vertical="center" wrapText="1"/>
    </xf>
    <xf numFmtId="3" fontId="34" fillId="5" borderId="1" xfId="0" applyNumberFormat="1" applyFont="1" applyFill="1" applyBorder="1" applyAlignment="1">
      <alignment horizontal="center" vertical="center" wrapText="1"/>
    </xf>
    <xf numFmtId="3" fontId="60" fillId="5" borderId="31" xfId="0" applyNumberFormat="1" applyFont="1" applyFill="1" applyBorder="1" applyAlignment="1">
      <alignment horizontal="center" vertical="center" wrapText="1"/>
    </xf>
    <xf numFmtId="3" fontId="60" fillId="5" borderId="1" xfId="0" applyNumberFormat="1" applyFont="1" applyFill="1" applyBorder="1" applyAlignment="1">
      <alignment horizontal="center" vertical="center" wrapText="1"/>
    </xf>
    <xf numFmtId="3" fontId="60" fillId="5" borderId="41" xfId="0" applyNumberFormat="1" applyFont="1" applyFill="1" applyBorder="1" applyAlignment="1">
      <alignment horizontal="center" vertical="center" wrapText="1"/>
    </xf>
    <xf numFmtId="3" fontId="60" fillId="5" borderId="84"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1" fontId="34" fillId="5" borderId="1" xfId="0" applyNumberFormat="1" applyFont="1" applyFill="1" applyBorder="1" applyAlignment="1">
      <alignment horizontal="center" vertical="center" wrapText="1"/>
    </xf>
    <xf numFmtId="169" fontId="34" fillId="5" borderId="52" xfId="0"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4" borderId="0" xfId="0" applyFill="1" applyBorder="1"/>
    <xf numFmtId="0" fontId="0" fillId="4" borderId="17" xfId="0" applyFill="1" applyBorder="1"/>
    <xf numFmtId="0" fontId="15" fillId="6" borderId="80" xfId="0" applyFont="1" applyFill="1" applyBorder="1" applyAlignment="1">
      <alignment horizontal="center" vertical="center" wrapText="1"/>
    </xf>
    <xf numFmtId="165" fontId="15" fillId="20" borderId="6" xfId="0" applyNumberFormat="1" applyFont="1" applyFill="1" applyBorder="1" applyAlignment="1">
      <alignment horizontal="center" vertical="center" wrapText="1"/>
    </xf>
    <xf numFmtId="0" fontId="10" fillId="6" borderId="6" xfId="0" applyFont="1" applyFill="1" applyBorder="1" applyAlignment="1">
      <alignment horizontal="left" vertical="center" wrapText="1"/>
    </xf>
    <xf numFmtId="0" fontId="10" fillId="6" borderId="88" xfId="0" applyFont="1" applyFill="1" applyBorder="1" applyAlignment="1">
      <alignment horizontal="left" vertical="center" wrapText="1"/>
    </xf>
    <xf numFmtId="165" fontId="11" fillId="4" borderId="1" xfId="0" applyNumberFormat="1" applyFont="1" applyFill="1" applyBorder="1" applyAlignment="1">
      <alignment horizontal="center" vertical="center" wrapText="1"/>
    </xf>
    <xf numFmtId="0" fontId="11" fillId="18" borderId="12" xfId="0" applyFont="1" applyFill="1" applyBorder="1" applyAlignment="1">
      <alignment vertical="center"/>
    </xf>
    <xf numFmtId="0" fontId="31" fillId="6" borderId="7" xfId="0" applyFont="1" applyFill="1" applyBorder="1" applyAlignment="1">
      <alignment horizontal="left" vertical="center" wrapText="1"/>
    </xf>
    <xf numFmtId="0" fontId="31" fillId="6" borderId="23" xfId="0" applyFont="1" applyFill="1" applyBorder="1" applyAlignment="1">
      <alignment horizontal="left" vertical="center" wrapText="1"/>
    </xf>
    <xf numFmtId="0" fontId="31" fillId="23" borderId="7" xfId="0" applyFont="1" applyFill="1" applyBorder="1" applyAlignment="1">
      <alignment horizontal="left" vertical="center" wrapText="1"/>
    </xf>
    <xf numFmtId="0" fontId="31" fillId="23" borderId="23"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61" fillId="12" borderId="7" xfId="0" applyFont="1" applyFill="1" applyBorder="1" applyAlignment="1">
      <alignment horizontal="left" vertical="center" wrapText="1"/>
    </xf>
    <xf numFmtId="0" fontId="61" fillId="12" borderId="23" xfId="0" applyFont="1" applyFill="1" applyBorder="1" applyAlignment="1">
      <alignment horizontal="left" vertical="center" wrapText="1"/>
    </xf>
    <xf numFmtId="0" fontId="0" fillId="5" borderId="62" xfId="0" applyFill="1" applyBorder="1" applyAlignment="1">
      <alignment horizontal="center" vertical="center"/>
    </xf>
    <xf numFmtId="0" fontId="16" fillId="25" borderId="85" xfId="0" applyFont="1" applyFill="1" applyBorder="1" applyAlignment="1">
      <alignment horizontal="center" vertical="center"/>
    </xf>
    <xf numFmtId="3" fontId="0" fillId="25" borderId="86" xfId="0" applyNumberFormat="1" applyFill="1" applyBorder="1" applyAlignment="1">
      <alignment horizontal="center" vertical="center"/>
    </xf>
    <xf numFmtId="0" fontId="0" fillId="25" borderId="86" xfId="0" applyFill="1" applyBorder="1" applyAlignment="1">
      <alignment horizontal="center" vertical="center"/>
    </xf>
    <xf numFmtId="0" fontId="16" fillId="23" borderId="86" xfId="0" applyFont="1" applyFill="1" applyBorder="1" applyAlignment="1">
      <alignment horizontal="center" vertical="center"/>
    </xf>
    <xf numFmtId="0" fontId="16" fillId="28" borderId="86" xfId="0" applyFont="1" applyFill="1" applyBorder="1" applyAlignment="1">
      <alignment horizontal="center" vertical="center"/>
    </xf>
    <xf numFmtId="3" fontId="0" fillId="28" borderId="86" xfId="0" applyNumberFormat="1" applyFill="1" applyBorder="1" applyAlignment="1">
      <alignment horizontal="center" vertical="center"/>
    </xf>
    <xf numFmtId="0" fontId="0" fillId="28" borderId="86" xfId="0" applyFill="1" applyBorder="1" applyAlignment="1">
      <alignment horizontal="center" vertical="center"/>
    </xf>
    <xf numFmtId="0" fontId="0" fillId="0" borderId="79" xfId="0" applyBorder="1" applyAlignment="1">
      <alignment horizontal="center" vertical="center"/>
    </xf>
    <xf numFmtId="3" fontId="62" fillId="7" borderId="7" xfId="0" applyNumberFormat="1" applyFont="1" applyFill="1" applyBorder="1" applyAlignment="1">
      <alignment horizontal="left" vertical="center" wrapText="1"/>
    </xf>
    <xf numFmtId="0" fontId="61" fillId="8" borderId="7" xfId="0" applyFont="1" applyFill="1" applyBorder="1" applyAlignment="1">
      <alignment horizontal="left" vertical="center" wrapText="1"/>
    </xf>
    <xf numFmtId="0" fontId="11" fillId="18" borderId="12" xfId="0" applyFont="1" applyFill="1" applyBorder="1" applyAlignment="1">
      <alignment horizontal="left" vertical="center" wrapText="1"/>
    </xf>
    <xf numFmtId="0" fontId="31" fillId="18" borderId="12" xfId="0" applyFont="1" applyFill="1" applyBorder="1" applyAlignment="1">
      <alignment vertical="center" wrapText="1"/>
    </xf>
    <xf numFmtId="3" fontId="34" fillId="5" borderId="52" xfId="0" applyNumberFormat="1" applyFont="1" applyFill="1" applyBorder="1" applyAlignment="1">
      <alignment horizontal="center" vertical="center" wrapText="1"/>
    </xf>
    <xf numFmtId="3" fontId="34" fillId="5" borderId="64" xfId="0" applyNumberFormat="1" applyFont="1" applyFill="1" applyBorder="1" applyAlignment="1">
      <alignment horizontal="center" vertical="center" wrapText="1"/>
    </xf>
    <xf numFmtId="3" fontId="23" fillId="7" borderId="35" xfId="0" applyNumberFormat="1" applyFont="1" applyFill="1" applyBorder="1" applyAlignment="1">
      <alignment horizontal="left" vertical="center" wrapText="1"/>
    </xf>
    <xf numFmtId="167" fontId="11" fillId="0" borderId="0" xfId="1" applyNumberFormat="1" applyFont="1" applyBorder="1" applyAlignment="1">
      <alignment horizontal="center" wrapText="1"/>
    </xf>
    <xf numFmtId="3" fontId="11" fillId="0" borderId="7" xfId="0" applyNumberFormat="1" applyFont="1" applyFill="1" applyBorder="1" applyAlignment="1">
      <alignment horizontal="center" vertical="center"/>
    </xf>
    <xf numFmtId="169" fontId="11" fillId="0" borderId="3" xfId="0" applyNumberFormat="1" applyFont="1" applyFill="1" applyBorder="1" applyAlignment="1">
      <alignment horizontal="center" vertical="center" wrapText="1"/>
    </xf>
    <xf numFmtId="169" fontId="14" fillId="0" borderId="35" xfId="0"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11" fillId="8" borderId="7" xfId="0" applyFont="1" applyFill="1" applyBorder="1" applyAlignment="1">
      <alignment horizontal="left" vertical="center" wrapText="1"/>
    </xf>
    <xf numFmtId="0" fontId="15" fillId="13" borderId="7" xfId="0" applyFont="1" applyFill="1" applyBorder="1" applyAlignment="1">
      <alignment horizontal="left" vertical="center" wrapText="1"/>
    </xf>
    <xf numFmtId="0" fontId="11" fillId="10" borderId="7" xfId="0" applyFont="1" applyFill="1" applyBorder="1" applyAlignment="1">
      <alignment horizontal="left" vertical="center" wrapText="1"/>
    </xf>
    <xf numFmtId="169" fontId="11" fillId="0" borderId="3"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xf>
    <xf numFmtId="1" fontId="14"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0" fontId="0" fillId="0" borderId="7" xfId="0" applyFill="1" applyBorder="1" applyAlignment="1"/>
    <xf numFmtId="0" fontId="15" fillId="14" borderId="7" xfId="0" applyFont="1" applyFill="1" applyBorder="1" applyAlignment="1">
      <alignment horizontal="left" vertical="center" wrapText="1"/>
    </xf>
    <xf numFmtId="0" fontId="15" fillId="14" borderId="13"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5" fillId="24" borderId="7" xfId="0" applyFont="1" applyFill="1" applyBorder="1" applyAlignment="1">
      <alignment horizontal="left" vertical="center" wrapText="1"/>
    </xf>
    <xf numFmtId="0" fontId="15" fillId="24" borderId="13" xfId="0" applyFont="1" applyFill="1" applyBorder="1" applyAlignment="1">
      <alignment horizontal="center" vertical="center" wrapText="1"/>
    </xf>
    <xf numFmtId="3" fontId="14" fillId="9" borderId="89" xfId="0" applyNumberFormat="1" applyFont="1" applyFill="1" applyBorder="1" applyAlignment="1">
      <alignment horizontal="center" vertical="center" wrapText="1"/>
    </xf>
    <xf numFmtId="0" fontId="6" fillId="6" borderId="13"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1" fillId="0" borderId="12" xfId="0" applyFont="1" applyFill="1" applyBorder="1" applyAlignment="1">
      <alignment wrapText="1"/>
    </xf>
    <xf numFmtId="3" fontId="14" fillId="0" borderId="79" xfId="0" applyNumberFormat="1" applyFont="1" applyFill="1" applyBorder="1" applyAlignment="1">
      <alignment horizontal="center" vertical="center" wrapText="1"/>
    </xf>
    <xf numFmtId="0" fontId="19" fillId="13" borderId="3" xfId="0" applyFont="1" applyFill="1" applyBorder="1" applyAlignment="1">
      <alignment horizontal="center" vertical="center"/>
    </xf>
    <xf numFmtId="0" fontId="6" fillId="6" borderId="23" xfId="0" applyFont="1" applyFill="1" applyBorder="1" applyAlignment="1">
      <alignment horizontal="center" vertical="center" wrapText="1"/>
    </xf>
    <xf numFmtId="0" fontId="6" fillId="6" borderId="23" xfId="0" applyFont="1" applyFill="1" applyBorder="1" applyAlignment="1">
      <alignment horizontal="left" vertical="center"/>
    </xf>
    <xf numFmtId="0" fontId="15" fillId="6" borderId="23" xfId="0" applyFont="1" applyFill="1" applyBorder="1" applyAlignment="1">
      <alignment horizontal="center" vertical="center" wrapText="1"/>
    </xf>
    <xf numFmtId="0" fontId="11" fillId="8" borderId="23"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15" fillId="13" borderId="23" xfId="0" applyFont="1" applyFill="1" applyBorder="1" applyAlignment="1">
      <alignment horizontal="left" vertical="center" wrapText="1"/>
    </xf>
    <xf numFmtId="0" fontId="15" fillId="14" borderId="23" xfId="0" applyFont="1" applyFill="1" applyBorder="1" applyAlignment="1">
      <alignment horizontal="left" vertical="center" wrapText="1"/>
    </xf>
    <xf numFmtId="0" fontId="15" fillId="24" borderId="23" xfId="0" applyFont="1" applyFill="1" applyBorder="1" applyAlignment="1">
      <alignment horizontal="left" vertical="center" wrapText="1"/>
    </xf>
    <xf numFmtId="0" fontId="28" fillId="0" borderId="12" xfId="0" applyFont="1" applyBorder="1"/>
    <xf numFmtId="0" fontId="15" fillId="6" borderId="7" xfId="0" applyFont="1" applyFill="1" applyBorder="1" applyAlignment="1">
      <alignment horizontal="left" vertical="center" wrapText="1"/>
    </xf>
    <xf numFmtId="0" fontId="28" fillId="0" borderId="24" xfId="0" applyFont="1" applyBorder="1"/>
    <xf numFmtId="1" fontId="6" fillId="0" borderId="23" xfId="0" applyNumberFormat="1" applyFont="1" applyFill="1" applyBorder="1" applyAlignment="1">
      <alignment horizontal="center"/>
    </xf>
    <xf numFmtId="1" fontId="16" fillId="23" borderId="23" xfId="0" applyNumberFormat="1" applyFont="1" applyFill="1" applyBorder="1" applyAlignment="1">
      <alignment horizontal="center"/>
    </xf>
    <xf numFmtId="1" fontId="16" fillId="0" borderId="23" xfId="0" applyNumberFormat="1" applyFont="1" applyFill="1" applyBorder="1" applyAlignment="1">
      <alignment horizontal="center"/>
    </xf>
    <xf numFmtId="3" fontId="6" fillId="15" borderId="3" xfId="0" applyNumberFormat="1" applyFont="1" applyFill="1" applyBorder="1" applyAlignment="1">
      <alignment horizontal="left" vertical="center"/>
    </xf>
    <xf numFmtId="3" fontId="14" fillId="9" borderId="9" xfId="1" applyNumberFormat="1" applyFont="1" applyFill="1" applyBorder="1" applyAlignment="1">
      <alignment horizontal="center" wrapText="1"/>
    </xf>
    <xf numFmtId="3" fontId="32" fillId="13" borderId="14" xfId="2" applyNumberFormat="1" applyFont="1" applyFill="1" applyBorder="1" applyAlignment="1">
      <alignment horizontal="left" vertical="center" wrapText="1"/>
    </xf>
    <xf numFmtId="3" fontId="32" fillId="13" borderId="27" xfId="2" applyNumberFormat="1" applyFont="1" applyFill="1" applyBorder="1" applyAlignment="1">
      <alignment horizontal="left" vertical="center" wrapText="1"/>
    </xf>
    <xf numFmtId="0" fontId="20" fillId="21" borderId="13" xfId="0" applyFont="1" applyFill="1" applyBorder="1" applyAlignment="1">
      <alignment horizontal="center" vertical="center" wrapText="1"/>
    </xf>
    <xf numFmtId="3" fontId="32" fillId="21" borderId="7" xfId="2" applyNumberFormat="1" applyFont="1" applyFill="1" applyBorder="1" applyAlignment="1">
      <alignment horizontal="left" vertical="center" wrapText="1"/>
    </xf>
    <xf numFmtId="3" fontId="32" fillId="21" borderId="14" xfId="2" applyNumberFormat="1" applyFont="1" applyFill="1" applyBorder="1" applyAlignment="1">
      <alignment horizontal="left" vertical="center" wrapText="1"/>
    </xf>
    <xf numFmtId="3" fontId="32" fillId="21" borderId="27" xfId="2" applyNumberFormat="1" applyFont="1" applyFill="1" applyBorder="1" applyAlignment="1">
      <alignment horizontal="left" vertical="center" wrapText="1"/>
    </xf>
    <xf numFmtId="3" fontId="32" fillId="24" borderId="7" xfId="2" applyNumberFormat="1" applyFont="1" applyFill="1" applyBorder="1" applyAlignment="1">
      <alignment horizontal="left" vertical="center" wrapText="1"/>
    </xf>
    <xf numFmtId="3" fontId="32" fillId="24" borderId="14" xfId="2" applyNumberFormat="1" applyFont="1" applyFill="1" applyBorder="1" applyAlignment="1">
      <alignment horizontal="left" vertical="center" wrapText="1"/>
    </xf>
    <xf numFmtId="3" fontId="32" fillId="24" borderId="27" xfId="2" applyNumberFormat="1" applyFont="1" applyFill="1" applyBorder="1" applyAlignment="1">
      <alignment horizontal="left" vertical="center" wrapText="1"/>
    </xf>
    <xf numFmtId="0" fontId="20" fillId="24" borderId="13" xfId="0"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0" fontId="17" fillId="0" borderId="0" xfId="0" applyFont="1" applyFill="1"/>
    <xf numFmtId="0" fontId="11" fillId="4" borderId="14" xfId="0" applyFont="1" applyFill="1" applyBorder="1" applyAlignment="1">
      <alignment horizontal="left" vertical="center"/>
    </xf>
    <xf numFmtId="0" fontId="11" fillId="4" borderId="27" xfId="0" applyFont="1" applyFill="1" applyBorder="1" applyAlignment="1">
      <alignment horizontal="left" vertical="center"/>
    </xf>
    <xf numFmtId="3" fontId="11" fillId="4" borderId="35" xfId="0" applyNumberFormat="1" applyFont="1" applyFill="1" applyBorder="1" applyAlignment="1">
      <alignment horizontal="center" vertical="center" wrapText="1"/>
    </xf>
    <xf numFmtId="0" fontId="20" fillId="17" borderId="28"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14" fillId="10" borderId="13" xfId="0" applyFont="1" applyFill="1" applyBorder="1" applyAlignment="1">
      <alignment horizontal="center" wrapText="1"/>
    </xf>
    <xf numFmtId="3" fontId="6" fillId="0" borderId="35" xfId="0" applyNumberFormat="1" applyFont="1" applyFill="1" applyBorder="1" applyAlignment="1">
      <alignment horizontal="center" vertical="center"/>
    </xf>
    <xf numFmtId="0" fontId="14" fillId="16" borderId="24" xfId="0" applyFont="1" applyFill="1" applyBorder="1"/>
    <xf numFmtId="3" fontId="21" fillId="0" borderId="0" xfId="0" applyNumberFormat="1" applyFont="1" applyFill="1" applyBorder="1"/>
    <xf numFmtId="3" fontId="14" fillId="0" borderId="53" xfId="0" applyNumberFormat="1" applyFont="1" applyFill="1" applyBorder="1" applyAlignment="1">
      <alignment horizontal="center" vertical="center" wrapText="1"/>
    </xf>
    <xf numFmtId="0" fontId="14" fillId="20" borderId="22" xfId="0" applyFont="1" applyFill="1" applyBorder="1" applyAlignment="1">
      <alignment horizontal="center" vertical="center" wrapText="1"/>
    </xf>
    <xf numFmtId="0" fontId="20" fillId="61" borderId="28" xfId="0" applyFont="1" applyFill="1" applyBorder="1" applyAlignment="1">
      <alignment horizontal="left" vertical="center" wrapText="1"/>
    </xf>
    <xf numFmtId="0" fontId="14" fillId="20" borderId="14" xfId="0" applyFont="1" applyFill="1" applyBorder="1" applyAlignment="1">
      <alignment horizontal="center" vertical="center" wrapText="1"/>
    </xf>
    <xf numFmtId="0" fontId="14" fillId="20" borderId="27" xfId="0" applyFont="1" applyFill="1" applyBorder="1" applyAlignment="1">
      <alignment horizontal="center" vertical="center" wrapText="1"/>
    </xf>
    <xf numFmtId="3" fontId="14" fillId="62" borderId="14" xfId="0" applyNumberFormat="1" applyFont="1" applyFill="1" applyBorder="1" applyAlignment="1">
      <alignment horizontal="center" vertical="center" wrapText="1"/>
    </xf>
    <xf numFmtId="3" fontId="14" fillId="2" borderId="33"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165" fontId="29" fillId="0" borderId="0" xfId="0" applyNumberFormat="1" applyFont="1" applyAlignment="1">
      <alignment horizontal="center" wrapText="1"/>
    </xf>
    <xf numFmtId="165" fontId="20" fillId="21" borderId="7" xfId="0" applyNumberFormat="1" applyFont="1" applyFill="1" applyBorder="1" applyAlignment="1">
      <alignment horizontal="center" vertical="center" wrapText="1"/>
    </xf>
    <xf numFmtId="3" fontId="14" fillId="20" borderId="7" xfId="0" applyNumberFormat="1" applyFont="1" applyFill="1" applyBorder="1" applyAlignment="1">
      <alignment horizontal="center" vertical="center"/>
    </xf>
    <xf numFmtId="165" fontId="20" fillId="62" borderId="7" xfId="0" applyNumberFormat="1" applyFont="1" applyFill="1" applyBorder="1" applyAlignment="1">
      <alignment horizontal="center" vertical="center"/>
    </xf>
    <xf numFmtId="0" fontId="21" fillId="13" borderId="13" xfId="0" applyFont="1" applyFill="1" applyBorder="1" applyAlignment="1">
      <alignment horizontal="left" vertical="center"/>
    </xf>
    <xf numFmtId="1" fontId="14" fillId="24" borderId="5" xfId="0" applyNumberFormat="1" applyFont="1" applyFill="1" applyBorder="1" applyAlignment="1">
      <alignment horizontal="center" vertical="center" wrapText="1"/>
    </xf>
    <xf numFmtId="0" fontId="34" fillId="9" borderId="24" xfId="0" applyFont="1" applyFill="1" applyBorder="1" applyAlignment="1">
      <alignment horizontal="center" vertical="center"/>
    </xf>
    <xf numFmtId="0" fontId="27" fillId="61" borderId="28" xfId="0" applyFont="1" applyFill="1" applyBorder="1" applyAlignment="1">
      <alignment horizontal="left" vertical="center"/>
    </xf>
    <xf numFmtId="0" fontId="21" fillId="20" borderId="14" xfId="0" applyFont="1" applyFill="1" applyBorder="1" applyAlignment="1">
      <alignment horizontal="left" vertical="center"/>
    </xf>
    <xf numFmtId="0" fontId="20" fillId="6" borderId="7" xfId="0" applyFont="1" applyFill="1" applyBorder="1" applyAlignment="1">
      <alignment horizontal="left" vertical="center" wrapText="1"/>
    </xf>
    <xf numFmtId="0" fontId="27" fillId="6" borderId="7" xfId="0" applyFont="1" applyFill="1" applyBorder="1" applyAlignment="1">
      <alignment horizontal="center" vertical="center" wrapText="1"/>
    </xf>
    <xf numFmtId="0" fontId="20" fillId="6" borderId="35" xfId="0" applyFont="1" applyFill="1" applyBorder="1" applyAlignment="1">
      <alignment horizontal="left" vertical="center" wrapText="1"/>
    </xf>
    <xf numFmtId="0" fontId="27" fillId="6" borderId="35" xfId="0" applyFont="1" applyFill="1" applyBorder="1" applyAlignment="1">
      <alignment horizontal="center" vertical="center" wrapText="1"/>
    </xf>
    <xf numFmtId="0" fontId="20" fillId="6" borderId="3" xfId="0" applyFont="1" applyFill="1" applyBorder="1" applyAlignment="1">
      <alignment horizontal="left" vertical="center" wrapText="1"/>
    </xf>
    <xf numFmtId="0" fontId="27" fillId="6" borderId="3" xfId="0" applyFont="1" applyFill="1" applyBorder="1" applyAlignment="1">
      <alignment horizontal="center" vertical="center" wrapText="1"/>
    </xf>
    <xf numFmtId="0" fontId="20" fillId="6" borderId="91" xfId="0" applyFont="1" applyFill="1" applyBorder="1" applyAlignment="1">
      <alignment horizontal="left" vertical="center" wrapText="1"/>
    </xf>
    <xf numFmtId="0" fontId="27" fillId="6" borderId="91" xfId="0" applyFont="1" applyFill="1" applyBorder="1" applyAlignment="1">
      <alignment horizontal="left" vertical="center"/>
    </xf>
    <xf numFmtId="0" fontId="31" fillId="0" borderId="0" xfId="0" applyFont="1" applyAlignment="1">
      <alignment horizontal="center"/>
    </xf>
    <xf numFmtId="0" fontId="31" fillId="0" borderId="0" xfId="0" applyFont="1" applyFill="1" applyAlignment="1">
      <alignment horizontal="center"/>
    </xf>
    <xf numFmtId="0" fontId="31" fillId="0" borderId="0" xfId="0" applyFont="1" applyFill="1"/>
    <xf numFmtId="0" fontId="31" fillId="0" borderId="0" xfId="0" applyFont="1" applyAlignment="1"/>
    <xf numFmtId="0" fontId="31" fillId="16" borderId="0" xfId="0" applyFont="1" applyFill="1" applyAlignment="1">
      <alignment horizontal="center"/>
    </xf>
    <xf numFmtId="0" fontId="31" fillId="16" borderId="0" xfId="0" applyFont="1" applyFill="1"/>
    <xf numFmtId="169" fontId="31" fillId="0" borderId="0" xfId="0" applyNumberFormat="1" applyFont="1" applyAlignment="1">
      <alignment horizontal="center"/>
    </xf>
    <xf numFmtId="3" fontId="31" fillId="0" borderId="0" xfId="0" applyNumberFormat="1" applyFont="1" applyAlignment="1">
      <alignment horizontal="right"/>
    </xf>
    <xf numFmtId="3" fontId="31" fillId="0" borderId="0" xfId="0" applyNumberFormat="1" applyFont="1" applyFill="1" applyAlignment="1">
      <alignment horizontal="right"/>
    </xf>
    <xf numFmtId="3" fontId="31" fillId="16" borderId="0" xfId="0" applyNumberFormat="1" applyFont="1" applyFill="1" applyAlignment="1">
      <alignment horizontal="right"/>
    </xf>
    <xf numFmtId="1" fontId="20" fillId="0" borderId="3" xfId="0" applyNumberFormat="1" applyFont="1" applyFill="1" applyBorder="1" applyAlignment="1">
      <alignment horizontal="center" vertical="center" wrapText="1"/>
    </xf>
    <xf numFmtId="3" fontId="18" fillId="0" borderId="7" xfId="0" applyNumberFormat="1" applyFont="1" applyFill="1" applyBorder="1" applyAlignment="1">
      <alignment horizontal="center"/>
    </xf>
    <xf numFmtId="0" fontId="27" fillId="0" borderId="3" xfId="0" applyFont="1" applyFill="1" applyBorder="1" applyAlignment="1">
      <alignment horizontal="center" vertical="center" wrapText="1"/>
    </xf>
    <xf numFmtId="0" fontId="27" fillId="0" borderId="35" xfId="0" applyFont="1" applyFill="1" applyBorder="1" applyAlignment="1">
      <alignment horizontal="center" vertical="center" wrapText="1"/>
    </xf>
    <xf numFmtId="3" fontId="6" fillId="0" borderId="29" xfId="0" applyNumberFormat="1" applyFont="1" applyFill="1" applyBorder="1" applyAlignment="1">
      <alignment horizontal="center" vertical="center"/>
    </xf>
    <xf numFmtId="0" fontId="21" fillId="13" borderId="13" xfId="0"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3" fontId="10" fillId="0" borderId="0" xfId="0" applyNumberFormat="1" applyFont="1" applyFill="1" applyBorder="1" applyAlignment="1">
      <alignment horizontal="center"/>
    </xf>
    <xf numFmtId="0" fontId="0" fillId="0" borderId="0" xfId="0" applyFill="1" applyAlignment="1">
      <alignment horizontal="center"/>
    </xf>
    <xf numFmtId="165" fontId="17" fillId="0" borderId="0" xfId="0" applyNumberFormat="1" applyFont="1" applyFill="1" applyAlignment="1">
      <alignment horizontal="center"/>
    </xf>
    <xf numFmtId="0" fontId="31" fillId="0" borderId="0" xfId="0" applyFont="1" applyAlignment="1">
      <alignment horizontal="center" vertical="center"/>
    </xf>
    <xf numFmtId="167" fontId="11" fillId="0" borderId="0" xfId="1" applyNumberFormat="1" applyFont="1" applyBorder="1" applyAlignment="1">
      <alignment horizontal="center" wrapText="1"/>
    </xf>
    <xf numFmtId="3" fontId="0" fillId="5" borderId="0" xfId="0" applyNumberFormat="1" applyFill="1" applyBorder="1" applyAlignment="1">
      <alignment horizontal="center"/>
    </xf>
    <xf numFmtId="0" fontId="0" fillId="5" borderId="0" xfId="0" applyFill="1" applyBorder="1" applyAlignment="1">
      <alignment horizontal="center"/>
    </xf>
    <xf numFmtId="3" fontId="0" fillId="5" borderId="19" xfId="0" applyNumberFormat="1" applyFill="1" applyBorder="1" applyAlignment="1">
      <alignment horizontal="center"/>
    </xf>
    <xf numFmtId="0" fontId="11" fillId="18" borderId="12" xfId="0" applyFont="1" applyFill="1" applyBorder="1" applyAlignment="1">
      <alignment horizontal="left" vertical="center"/>
    </xf>
    <xf numFmtId="3" fontId="15" fillId="0" borderId="7" xfId="0" applyNumberFormat="1" applyFont="1" applyFill="1" applyBorder="1" applyAlignment="1">
      <alignment horizontal="center" vertical="center"/>
    </xf>
    <xf numFmtId="0" fontId="0" fillId="0" borderId="3" xfId="0" applyFill="1" applyBorder="1" applyAlignment="1">
      <alignment horizontal="center"/>
    </xf>
    <xf numFmtId="1" fontId="0" fillId="0" borderId="7" xfId="0" applyNumberFormat="1" applyFill="1" applyBorder="1"/>
    <xf numFmtId="0" fontId="19" fillId="0" borderId="7" xfId="0" applyFont="1" applyFill="1" applyBorder="1" applyAlignment="1">
      <alignment horizontal="left" vertical="center"/>
    </xf>
    <xf numFmtId="0" fontId="6" fillId="6" borderId="13" xfId="0" applyFont="1" applyFill="1" applyBorder="1" applyAlignment="1">
      <alignment horizontal="left" vertical="center"/>
    </xf>
    <xf numFmtId="0" fontId="6" fillId="6" borderId="23" xfId="0" applyFont="1" applyFill="1" applyBorder="1" applyAlignment="1">
      <alignment horizontal="center" vertical="center"/>
    </xf>
    <xf numFmtId="0" fontId="10" fillId="0" borderId="7" xfId="0" applyFont="1" applyFill="1" applyBorder="1" applyAlignment="1">
      <alignment horizontal="left" vertical="center"/>
    </xf>
    <xf numFmtId="169" fontId="11" fillId="23" borderId="3" xfId="0" applyNumberFormat="1" applyFont="1" applyFill="1" applyBorder="1" applyAlignment="1">
      <alignment horizontal="center" vertical="center"/>
    </xf>
    <xf numFmtId="3" fontId="11" fillId="23" borderId="3" xfId="0" applyNumberFormat="1" applyFont="1" applyFill="1" applyBorder="1" applyAlignment="1">
      <alignment horizontal="center" vertical="center"/>
    </xf>
    <xf numFmtId="3" fontId="14" fillId="23" borderId="29" xfId="0" applyNumberFormat="1" applyFont="1" applyFill="1" applyBorder="1" applyAlignment="1">
      <alignment horizontal="center" vertical="center"/>
    </xf>
    <xf numFmtId="1" fontId="14" fillId="23" borderId="7" xfId="0" applyNumberFormat="1" applyFont="1" applyFill="1" applyBorder="1" applyAlignment="1">
      <alignment horizontal="center" vertical="center"/>
    </xf>
    <xf numFmtId="169" fontId="10" fillId="0" borderId="3" xfId="0" applyNumberFormat="1" applyFont="1" applyFill="1" applyBorder="1" applyAlignment="1">
      <alignment horizontal="center" vertical="center"/>
    </xf>
    <xf numFmtId="3" fontId="27" fillId="0" borderId="29"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69" fontId="16" fillId="0" borderId="35" xfId="0" applyNumberFormat="1" applyFont="1" applyFill="1" applyBorder="1" applyAlignment="1">
      <alignment horizontal="center"/>
    </xf>
    <xf numFmtId="3" fontId="16" fillId="0" borderId="7" xfId="0" applyNumberFormat="1" applyFont="1" applyFill="1" applyBorder="1"/>
    <xf numFmtId="0" fontId="10" fillId="10" borderId="13" xfId="0" applyFont="1" applyFill="1" applyBorder="1" applyAlignment="1">
      <alignment horizontal="left" vertical="center"/>
    </xf>
    <xf numFmtId="3" fontId="17" fillId="0" borderId="3" xfId="0" applyNumberFormat="1" applyFont="1" applyFill="1" applyBorder="1" applyAlignment="1">
      <alignment horizontal="center" vertical="center"/>
    </xf>
    <xf numFmtId="1" fontId="18" fillId="0" borderId="7" xfId="0" applyNumberFormat="1" applyFont="1" applyFill="1" applyBorder="1" applyAlignment="1">
      <alignment horizontal="center" vertical="center"/>
    </xf>
    <xf numFmtId="0" fontId="16" fillId="0" borderId="0" xfId="0" applyFont="1" applyFill="1" applyAlignment="1"/>
    <xf numFmtId="0" fontId="19" fillId="0" borderId="3" xfId="0" applyFont="1" applyFill="1" applyBorder="1" applyAlignment="1">
      <alignment horizontal="center" vertical="center"/>
    </xf>
    <xf numFmtId="3" fontId="19" fillId="0" borderId="3" xfId="0" applyNumberFormat="1" applyFont="1" applyFill="1" applyBorder="1" applyAlignment="1">
      <alignment horizontal="left" vertical="center"/>
    </xf>
    <xf numFmtId="3" fontId="19" fillId="0" borderId="29" xfId="0" applyNumberFormat="1" applyFont="1" applyFill="1" applyBorder="1" applyAlignment="1">
      <alignment horizontal="center" vertical="center"/>
    </xf>
    <xf numFmtId="0" fontId="10" fillId="14" borderId="13" xfId="0" applyFont="1" applyFill="1" applyBorder="1" applyAlignment="1">
      <alignment horizontal="left" vertical="center"/>
    </xf>
    <xf numFmtId="169" fontId="19" fillId="0" borderId="3" xfId="0" applyNumberFormat="1" applyFont="1" applyFill="1" applyBorder="1" applyAlignment="1">
      <alignment horizontal="center" vertical="center"/>
    </xf>
    <xf numFmtId="3" fontId="10" fillId="0" borderId="7" xfId="0" applyNumberFormat="1" applyFont="1" applyFill="1" applyBorder="1" applyAlignment="1"/>
    <xf numFmtId="3" fontId="17" fillId="0" borderId="0" xfId="0" applyNumberFormat="1" applyFont="1" applyFill="1" applyAlignment="1">
      <alignment horizontal="center"/>
    </xf>
    <xf numFmtId="3" fontId="17" fillId="0" borderId="0" xfId="0" applyNumberFormat="1" applyFont="1" applyAlignment="1">
      <alignment horizontal="center"/>
    </xf>
    <xf numFmtId="3" fontId="17" fillId="0" borderId="0" xfId="0" applyNumberFormat="1" applyFont="1" applyFill="1" applyAlignment="1">
      <alignment horizontal="center" vertical="center"/>
    </xf>
    <xf numFmtId="3" fontId="17" fillId="0" borderId="0" xfId="0" applyNumberFormat="1" applyFont="1" applyAlignment="1">
      <alignment horizontal="center" vertical="center"/>
    </xf>
    <xf numFmtId="0" fontId="6" fillId="14" borderId="13" xfId="0" applyFont="1" applyFill="1" applyBorder="1" applyAlignment="1">
      <alignment horizontal="left" vertical="center"/>
    </xf>
    <xf numFmtId="0" fontId="10" fillId="24" borderId="13" xfId="0" applyFont="1" applyFill="1" applyBorder="1" applyAlignment="1">
      <alignment horizontal="left" vertical="center"/>
    </xf>
    <xf numFmtId="3" fontId="15" fillId="0" borderId="3" xfId="0" applyNumberFormat="1" applyFont="1" applyFill="1" applyBorder="1" applyAlignment="1">
      <alignment horizontal="center" vertical="center" wrapText="1"/>
    </xf>
    <xf numFmtId="3" fontId="20" fillId="0" borderId="29" xfId="0" applyNumberFormat="1" applyFont="1" applyFill="1" applyBorder="1" applyAlignment="1">
      <alignment horizontal="center" vertical="center" wrapText="1"/>
    </xf>
    <xf numFmtId="0" fontId="6" fillId="15" borderId="13" xfId="0" applyFont="1" applyFill="1" applyBorder="1" applyAlignment="1">
      <alignment horizontal="left" vertical="center"/>
    </xf>
    <xf numFmtId="3" fontId="6" fillId="0" borderId="3" xfId="0" applyNumberFormat="1" applyFont="1" applyFill="1" applyBorder="1" applyAlignment="1"/>
    <xf numFmtId="3" fontId="6" fillId="0" borderId="7" xfId="0" applyNumberFormat="1" applyFont="1" applyFill="1" applyBorder="1" applyAlignment="1"/>
    <xf numFmtId="3" fontId="6" fillId="0" borderId="35" xfId="0" applyNumberFormat="1" applyFont="1" applyFill="1" applyBorder="1" applyAlignment="1"/>
    <xf numFmtId="0" fontId="31" fillId="0" borderId="0" xfId="0" applyFont="1" applyBorder="1" applyAlignment="1">
      <alignment vertical="top"/>
    </xf>
    <xf numFmtId="3" fontId="26" fillId="0" borderId="3" xfId="0" applyNumberFormat="1" applyFont="1" applyFill="1" applyBorder="1" applyAlignment="1">
      <alignment horizontal="left" vertical="center"/>
    </xf>
    <xf numFmtId="3" fontId="26" fillId="0" borderId="3" xfId="0" applyNumberFormat="1" applyFont="1" applyFill="1" applyBorder="1" applyAlignment="1">
      <alignment horizontal="center" vertical="center"/>
    </xf>
    <xf numFmtId="3" fontId="26" fillId="0" borderId="60" xfId="0" applyNumberFormat="1" applyFont="1" applyFill="1" applyBorder="1" applyAlignment="1">
      <alignment horizontal="left" vertical="center"/>
    </xf>
    <xf numFmtId="3" fontId="26" fillId="7" borderId="13" xfId="0" applyNumberFormat="1" applyFont="1" applyFill="1" applyBorder="1" applyAlignment="1">
      <alignment horizontal="left" vertical="center"/>
    </xf>
    <xf numFmtId="0" fontId="6" fillId="0" borderId="7" xfId="0" applyFont="1" applyFill="1" applyBorder="1" applyAlignment="1"/>
    <xf numFmtId="0" fontId="10" fillId="18" borderId="3" xfId="0" applyFont="1" applyFill="1" applyBorder="1" applyAlignment="1">
      <alignment horizontal="left" wrapText="1"/>
    </xf>
    <xf numFmtId="3" fontId="11" fillId="18" borderId="7" xfId="0" applyNumberFormat="1" applyFont="1" applyFill="1" applyBorder="1" applyAlignment="1">
      <alignment horizontal="center" vertical="center"/>
    </xf>
    <xf numFmtId="0" fontId="13" fillId="18" borderId="7" xfId="0" applyFont="1" applyFill="1" applyBorder="1" applyAlignment="1">
      <alignment vertical="center"/>
    </xf>
    <xf numFmtId="0" fontId="11" fillId="18" borderId="7" xfId="0" applyFont="1" applyFill="1" applyBorder="1" applyAlignment="1">
      <alignment horizontal="center" vertical="center" wrapText="1"/>
    </xf>
    <xf numFmtId="3" fontId="63" fillId="0" borderId="0" xfId="0" applyNumberFormat="1" applyFont="1" applyAlignment="1">
      <alignment horizontal="center" vertical="center"/>
    </xf>
    <xf numFmtId="0" fontId="0" fillId="0" borderId="0" xfId="0" applyAlignment="1">
      <alignment horizontal="left"/>
    </xf>
    <xf numFmtId="3" fontId="14" fillId="9" borderId="7" xfId="0" applyNumberFormat="1" applyFont="1" applyFill="1" applyBorder="1" applyAlignment="1">
      <alignment horizontal="left" vertical="center" wrapText="1"/>
    </xf>
    <xf numFmtId="0" fontId="0" fillId="0" borderId="0" xfId="0" applyAlignment="1">
      <alignment horizontal="left" vertical="center"/>
    </xf>
    <xf numFmtId="0" fontId="31" fillId="0" borderId="0" xfId="0" applyFont="1" applyAlignment="1">
      <alignment horizontal="left"/>
    </xf>
    <xf numFmtId="3" fontId="13" fillId="18" borderId="7" xfId="1" applyNumberFormat="1" applyFont="1" applyFill="1" applyBorder="1" applyAlignment="1">
      <alignment horizontal="center" vertical="center"/>
    </xf>
    <xf numFmtId="3" fontId="11" fillId="9" borderId="7" xfId="0" applyNumberFormat="1" applyFont="1" applyFill="1" applyBorder="1" applyAlignment="1">
      <alignment horizontal="center" vertical="center" wrapText="1"/>
    </xf>
    <xf numFmtId="3" fontId="14" fillId="4" borderId="7" xfId="0" applyNumberFormat="1" applyFont="1" applyFill="1" applyBorder="1" applyAlignment="1">
      <alignment horizontal="left" vertical="center" wrapText="1"/>
    </xf>
    <xf numFmtId="3" fontId="18" fillId="0" borderId="0" xfId="0" applyNumberFormat="1" applyFont="1" applyAlignment="1">
      <alignment horizontal="center"/>
    </xf>
    <xf numFmtId="3" fontId="18" fillId="0" borderId="0" xfId="0" applyNumberFormat="1" applyFont="1" applyFill="1" applyAlignment="1">
      <alignment horizontal="center"/>
    </xf>
    <xf numFmtId="3" fontId="18" fillId="16" borderId="0" xfId="0" applyNumberFormat="1" applyFont="1" applyFill="1" applyAlignment="1">
      <alignment horizontal="center"/>
    </xf>
    <xf numFmtId="0" fontId="21" fillId="13" borderId="13" xfId="0" applyFont="1" applyFill="1" applyBorder="1" applyAlignment="1">
      <alignment horizontal="center" vertical="center"/>
    </xf>
    <xf numFmtId="1" fontId="14" fillId="0" borderId="5" xfId="0" applyNumberFormat="1" applyFont="1" applyFill="1" applyBorder="1" applyAlignment="1">
      <alignment horizontal="center" vertical="center" wrapText="1"/>
    </xf>
    <xf numFmtId="169" fontId="21" fillId="0" borderId="5" xfId="0" applyNumberFormat="1" applyFont="1" applyFill="1" applyBorder="1" applyAlignment="1">
      <alignment horizontal="center" vertical="center" wrapText="1"/>
    </xf>
    <xf numFmtId="169" fontId="34" fillId="5" borderId="92" xfId="0" applyNumberFormat="1" applyFont="1" applyFill="1" applyBorder="1" applyAlignment="1">
      <alignment horizontal="center" vertical="center" wrapText="1"/>
    </xf>
    <xf numFmtId="3" fontId="34" fillId="5" borderId="93" xfId="0" applyNumberFormat="1" applyFont="1" applyFill="1" applyBorder="1" applyAlignment="1">
      <alignment horizontal="center" vertical="center" wrapText="1"/>
    </xf>
    <xf numFmtId="0" fontId="31" fillId="0" borderId="13" xfId="0" applyFont="1" applyFill="1" applyBorder="1" applyAlignment="1">
      <alignment horizontal="center"/>
    </xf>
    <xf numFmtId="0" fontId="31" fillId="0" borderId="7" xfId="0" applyFont="1" applyFill="1" applyBorder="1"/>
    <xf numFmtId="3" fontId="31" fillId="0" borderId="7" xfId="0" applyNumberFormat="1" applyFont="1" applyFill="1" applyBorder="1" applyAlignment="1">
      <alignment horizontal="right"/>
    </xf>
    <xf numFmtId="0" fontId="31" fillId="0" borderId="35" xfId="0" applyFont="1" applyFill="1" applyBorder="1"/>
    <xf numFmtId="3" fontId="31" fillId="0" borderId="35" xfId="0" applyNumberFormat="1" applyFont="1" applyFill="1" applyBorder="1"/>
    <xf numFmtId="3" fontId="14" fillId="4" borderId="13" xfId="0" applyNumberFormat="1" applyFont="1" applyFill="1" applyBorder="1" applyAlignment="1">
      <alignment horizontal="center" vertical="center" wrapText="1"/>
    </xf>
    <xf numFmtId="3" fontId="11" fillId="4" borderId="13" xfId="0" applyNumberFormat="1" applyFont="1" applyFill="1" applyBorder="1" applyAlignment="1">
      <alignment horizontal="center" vertical="center" wrapText="1"/>
    </xf>
    <xf numFmtId="3" fontId="21" fillId="4" borderId="35" xfId="0" applyNumberFormat="1" applyFont="1" applyFill="1" applyBorder="1" applyAlignment="1">
      <alignment horizontal="center" vertical="center" wrapText="1"/>
    </xf>
    <xf numFmtId="0" fontId="31" fillId="0" borderId="95" xfId="0" applyFont="1" applyFill="1" applyBorder="1" applyAlignment="1">
      <alignment horizontal="center"/>
    </xf>
    <xf numFmtId="0" fontId="31" fillId="0" borderId="96" xfId="0" applyFont="1" applyFill="1" applyBorder="1"/>
    <xf numFmtId="0" fontId="14" fillId="20" borderId="14" xfId="0" applyFont="1" applyFill="1" applyBorder="1" applyAlignment="1">
      <alignment horizontal="left" vertical="center" wrapText="1"/>
    </xf>
    <xf numFmtId="0" fontId="21" fillId="20" borderId="27" xfId="0" applyFont="1" applyFill="1" applyBorder="1" applyAlignment="1">
      <alignment horizontal="left" vertical="center"/>
    </xf>
    <xf numFmtId="0" fontId="21" fillId="20" borderId="22" xfId="0" applyFont="1" applyFill="1" applyBorder="1" applyAlignment="1">
      <alignment horizontal="center" vertical="center" wrapText="1"/>
    </xf>
    <xf numFmtId="0" fontId="16" fillId="0" borderId="7" xfId="0" applyFont="1" applyFill="1" applyBorder="1" applyAlignment="1">
      <alignment horizontal="left"/>
    </xf>
    <xf numFmtId="0" fontId="10" fillId="0" borderId="7" xfId="0" applyFont="1" applyFill="1" applyBorder="1" applyAlignment="1">
      <alignment horizontal="left"/>
    </xf>
    <xf numFmtId="0" fontId="0" fillId="0" borderId="7" xfId="0" applyFill="1" applyBorder="1" applyAlignment="1">
      <alignment horizontal="left"/>
    </xf>
    <xf numFmtId="0" fontId="0" fillId="0" borderId="7" xfId="0" applyBorder="1"/>
    <xf numFmtId="3" fontId="0" fillId="0" borderId="7" xfId="0" applyNumberFormat="1" applyBorder="1"/>
    <xf numFmtId="169" fontId="20" fillId="5" borderId="92" xfId="0" applyNumberFormat="1" applyFont="1" applyFill="1" applyBorder="1" applyAlignment="1">
      <alignment horizontal="center" vertical="center" wrapText="1"/>
    </xf>
    <xf numFmtId="3" fontId="20" fillId="5" borderId="93" xfId="0" applyNumberFormat="1" applyFont="1" applyFill="1" applyBorder="1" applyAlignment="1">
      <alignment horizontal="left" vertical="center" wrapText="1"/>
    </xf>
    <xf numFmtId="3" fontId="20" fillId="5" borderId="93" xfId="0" applyNumberFormat="1" applyFont="1" applyFill="1" applyBorder="1" applyAlignment="1">
      <alignment horizontal="center" vertical="center" wrapText="1"/>
    </xf>
    <xf numFmtId="3" fontId="14" fillId="5" borderId="93" xfId="0" applyNumberFormat="1" applyFont="1" applyFill="1" applyBorder="1" applyAlignment="1">
      <alignment horizontal="center" vertical="center" wrapText="1"/>
    </xf>
    <xf numFmtId="3" fontId="20" fillId="5" borderId="94" xfId="0" applyNumberFormat="1" applyFont="1" applyFill="1" applyBorder="1" applyAlignment="1">
      <alignment horizontal="center" vertical="center" wrapText="1"/>
    </xf>
    <xf numFmtId="0" fontId="16" fillId="0" borderId="13" xfId="0" applyFont="1" applyFill="1" applyBorder="1"/>
    <xf numFmtId="3" fontId="16" fillId="0" borderId="35" xfId="0" applyNumberFormat="1" applyFont="1" applyFill="1" applyBorder="1"/>
    <xf numFmtId="0" fontId="10" fillId="0" borderId="13" xfId="0" applyFont="1" applyFill="1" applyBorder="1" applyAlignment="1">
      <alignment horizontal="center" vertical="center"/>
    </xf>
    <xf numFmtId="3" fontId="10" fillId="0" borderId="35" xfId="0" applyNumberFormat="1" applyFont="1" applyFill="1" applyBorder="1" applyAlignment="1">
      <alignment horizontal="center" vertical="center"/>
    </xf>
    <xf numFmtId="3" fontId="14" fillId="9" borderId="13" xfId="0" applyNumberFormat="1" applyFont="1" applyFill="1" applyBorder="1" applyAlignment="1">
      <alignment horizontal="center" vertical="center" wrapText="1"/>
    </xf>
    <xf numFmtId="0" fontId="10" fillId="0" borderId="13" xfId="0" applyFont="1" applyFill="1" applyBorder="1" applyAlignment="1">
      <alignment horizontal="center"/>
    </xf>
    <xf numFmtId="0" fontId="0" fillId="0" borderId="13" xfId="0" applyFill="1" applyBorder="1" applyAlignment="1">
      <alignment horizontal="center"/>
    </xf>
    <xf numFmtId="0" fontId="0" fillId="0" borderId="13" xfId="0" applyFill="1" applyBorder="1" applyAlignment="1"/>
    <xf numFmtId="0" fontId="0" fillId="0" borderId="13" xfId="0" applyFill="1" applyBorder="1"/>
    <xf numFmtId="3" fontId="0" fillId="0" borderId="35" xfId="0" applyNumberFormat="1" applyFill="1" applyBorder="1"/>
    <xf numFmtId="0" fontId="0" fillId="0" borderId="95" xfId="0" applyBorder="1"/>
    <xf numFmtId="0" fontId="0" fillId="0" borderId="96" xfId="0" applyBorder="1" applyAlignment="1">
      <alignment horizontal="left"/>
    </xf>
    <xf numFmtId="0" fontId="0" fillId="0" borderId="96" xfId="0" applyBorder="1"/>
    <xf numFmtId="0" fontId="0" fillId="0" borderId="13" xfId="0" applyBorder="1" applyAlignment="1">
      <alignment horizontal="center"/>
    </xf>
    <xf numFmtId="3" fontId="0" fillId="0" borderId="35" xfId="0" applyNumberFormat="1" applyBorder="1"/>
    <xf numFmtId="0" fontId="0" fillId="0" borderId="13" xfId="0" applyFill="1" applyBorder="1" applyAlignment="1">
      <alignment horizontal="center" vertical="center"/>
    </xf>
    <xf numFmtId="3" fontId="0" fillId="0" borderId="7" xfId="0" applyNumberFormat="1" applyFill="1" applyBorder="1" applyAlignment="1">
      <alignment vertical="center"/>
    </xf>
    <xf numFmtId="3" fontId="0" fillId="0" borderId="35" xfId="0" applyNumberFormat="1" applyFill="1" applyBorder="1" applyAlignment="1">
      <alignment vertical="center"/>
    </xf>
    <xf numFmtId="0" fontId="16" fillId="0" borderId="13" xfId="0" applyFont="1" applyFill="1" applyBorder="1" applyAlignment="1">
      <alignment horizontal="center"/>
    </xf>
    <xf numFmtId="3" fontId="0" fillId="0" borderId="35" xfId="0" applyNumberFormat="1" applyFill="1" applyBorder="1" applyAlignment="1"/>
    <xf numFmtId="0" fontId="6" fillId="0" borderId="13" xfId="0" applyFont="1" applyFill="1" applyBorder="1" applyAlignment="1">
      <alignment horizontal="center"/>
    </xf>
    <xf numFmtId="0" fontId="6" fillId="0" borderId="13" xfId="0" applyFont="1" applyFill="1" applyBorder="1" applyAlignment="1">
      <alignment horizontal="center" vertical="center"/>
    </xf>
    <xf numFmtId="0" fontId="6" fillId="0" borderId="7" xfId="0" applyFont="1" applyFill="1" applyBorder="1" applyAlignment="1">
      <alignment vertical="center"/>
    </xf>
    <xf numFmtId="3" fontId="6" fillId="0" borderId="7" xfId="0" applyNumberFormat="1" applyFont="1" applyFill="1" applyBorder="1" applyAlignment="1">
      <alignment vertical="center"/>
    </xf>
    <xf numFmtId="3" fontId="20" fillId="4" borderId="13" xfId="0" applyNumberFormat="1" applyFont="1" applyFill="1" applyBorder="1" applyAlignment="1">
      <alignment horizontal="center" vertical="center" wrapText="1"/>
    </xf>
    <xf numFmtId="3" fontId="20" fillId="4" borderId="7" xfId="0" applyNumberFormat="1" applyFont="1" applyFill="1" applyBorder="1" applyAlignment="1">
      <alignment horizontal="center" vertical="center" wrapText="1"/>
    </xf>
    <xf numFmtId="0" fontId="0" fillId="0" borderId="95" xfId="0" applyBorder="1" applyAlignment="1">
      <alignment horizontal="center"/>
    </xf>
    <xf numFmtId="0" fontId="16" fillId="25" borderId="13" xfId="0" applyFont="1" applyFill="1" applyBorder="1" applyAlignment="1">
      <alignment horizontal="center"/>
    </xf>
    <xf numFmtId="0" fontId="16" fillId="25" borderId="35" xfId="0" applyFont="1" applyFill="1" applyBorder="1"/>
    <xf numFmtId="3" fontId="0" fillId="25" borderId="13" xfId="0" applyNumberFormat="1" applyFill="1" applyBorder="1" applyAlignment="1">
      <alignment horizontal="center"/>
    </xf>
    <xf numFmtId="3" fontId="0" fillId="0" borderId="13" xfId="0" applyNumberFormat="1" applyFill="1" applyBorder="1" applyAlignment="1">
      <alignment horizontal="center"/>
    </xf>
    <xf numFmtId="3" fontId="10" fillId="0" borderId="13" xfId="0" applyNumberFormat="1" applyFont="1" applyFill="1" applyBorder="1" applyAlignment="1">
      <alignment horizontal="center"/>
    </xf>
    <xf numFmtId="0" fontId="0" fillId="25" borderId="13" xfId="0" applyFill="1" applyBorder="1" applyAlignment="1">
      <alignment horizontal="center"/>
    </xf>
    <xf numFmtId="3" fontId="14" fillId="0" borderId="13"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3" fontId="10" fillId="0" borderId="35" xfId="0" applyNumberFormat="1" applyFont="1" applyFill="1" applyBorder="1"/>
    <xf numFmtId="0" fontId="16" fillId="23" borderId="13" xfId="0" applyFont="1" applyFill="1" applyBorder="1" applyAlignment="1">
      <alignment horizontal="center"/>
    </xf>
    <xf numFmtId="0" fontId="16" fillId="23" borderId="35" xfId="0" applyFont="1" applyFill="1" applyBorder="1"/>
    <xf numFmtId="3" fontId="0" fillId="26" borderId="13" xfId="0" applyNumberFormat="1" applyFill="1" applyBorder="1" applyAlignment="1">
      <alignment horizontal="center"/>
    </xf>
    <xf numFmtId="0" fontId="0" fillId="0" borderId="7" xfId="0" applyFont="1" applyFill="1" applyBorder="1"/>
    <xf numFmtId="0" fontId="16" fillId="28" borderId="13" xfId="0" applyFont="1" applyFill="1" applyBorder="1" applyAlignment="1">
      <alignment horizontal="center"/>
    </xf>
    <xf numFmtId="0" fontId="16" fillId="28" borderId="35" xfId="0" applyFont="1" applyFill="1" applyBorder="1"/>
    <xf numFmtId="3" fontId="0" fillId="28" borderId="13" xfId="0" applyNumberFormat="1" applyFill="1" applyBorder="1" applyAlignment="1">
      <alignment horizontal="center"/>
    </xf>
    <xf numFmtId="0" fontId="0" fillId="28" borderId="35" xfId="0" applyFill="1" applyBorder="1"/>
    <xf numFmtId="0" fontId="0" fillId="28" borderId="13" xfId="0" applyFill="1" applyBorder="1" applyAlignment="1">
      <alignment horizontal="center"/>
    </xf>
    <xf numFmtId="0" fontId="0" fillId="0" borderId="35" xfId="0" applyFill="1" applyBorder="1"/>
    <xf numFmtId="167" fontId="34" fillId="9" borderId="95" xfId="1" applyNumberFormat="1" applyFont="1" applyFill="1" applyBorder="1" applyAlignment="1">
      <alignment horizontal="center" vertical="center" wrapText="1"/>
    </xf>
    <xf numFmtId="0" fontId="31" fillId="19" borderId="96" xfId="0" applyFont="1" applyFill="1" applyBorder="1" applyAlignment="1">
      <alignment horizontal="center" vertical="center"/>
    </xf>
    <xf numFmtId="3" fontId="34" fillId="9" borderId="96" xfId="1" applyNumberFormat="1" applyFont="1" applyFill="1" applyBorder="1" applyAlignment="1">
      <alignment horizontal="center" vertical="center" wrapText="1"/>
    </xf>
    <xf numFmtId="3" fontId="34" fillId="9" borderId="97" xfId="1" applyNumberFormat="1" applyFont="1" applyFill="1" applyBorder="1" applyAlignment="1">
      <alignment horizontal="center" vertical="center" wrapText="1"/>
    </xf>
    <xf numFmtId="3" fontId="16" fillId="25" borderId="13" xfId="0" applyNumberFormat="1" applyFont="1" applyFill="1" applyBorder="1" applyAlignment="1">
      <alignment horizontal="center" vertical="center"/>
    </xf>
    <xf numFmtId="0" fontId="16" fillId="0" borderId="35" xfId="0" applyFont="1" applyFill="1" applyBorder="1"/>
    <xf numFmtId="3" fontId="0" fillId="0" borderId="13" xfId="0" applyNumberFormat="1" applyFill="1" applyBorder="1" applyAlignment="1">
      <alignment horizontal="center" vertical="center"/>
    </xf>
    <xf numFmtId="3" fontId="14" fillId="19" borderId="13" xfId="1" applyNumberFormat="1" applyFont="1" applyFill="1" applyBorder="1" applyAlignment="1">
      <alignment horizontal="center" vertical="center" wrapText="1"/>
    </xf>
    <xf numFmtId="3" fontId="23" fillId="7" borderId="13" xfId="0" applyNumberFormat="1" applyFont="1" applyFill="1" applyBorder="1" applyAlignment="1">
      <alignment horizontal="left" vertical="center" wrapText="1"/>
    </xf>
    <xf numFmtId="3" fontId="0" fillId="23" borderId="13" xfId="0" applyNumberFormat="1" applyFill="1" applyBorder="1" applyAlignment="1">
      <alignment horizontal="center" vertical="center"/>
    </xf>
    <xf numFmtId="3" fontId="14" fillId="19" borderId="13" xfId="0" applyNumberFormat="1" applyFont="1" applyFill="1" applyBorder="1" applyAlignment="1">
      <alignment horizontal="center" vertical="center" wrapText="1"/>
    </xf>
    <xf numFmtId="3" fontId="11" fillId="19" borderId="95" xfId="0" applyNumberFormat="1" applyFont="1" applyFill="1" applyBorder="1" applyAlignment="1">
      <alignment horizontal="center" vertical="center"/>
    </xf>
    <xf numFmtId="0" fontId="11" fillId="19" borderId="96" xfId="0" applyFont="1" applyFill="1" applyBorder="1" applyAlignment="1">
      <alignment vertical="center"/>
    </xf>
    <xf numFmtId="3" fontId="11" fillId="19" borderId="96" xfId="0" applyNumberFormat="1" applyFont="1" applyFill="1" applyBorder="1" applyAlignment="1">
      <alignment horizontal="center" vertical="center"/>
    </xf>
    <xf numFmtId="3" fontId="11" fillId="19" borderId="97" xfId="0" applyNumberFormat="1" applyFont="1" applyFill="1" applyBorder="1" applyAlignment="1">
      <alignment horizontal="center" vertical="center"/>
    </xf>
    <xf numFmtId="3" fontId="10" fillId="23" borderId="13" xfId="0" applyNumberFormat="1" applyFont="1" applyFill="1" applyBorder="1" applyAlignment="1">
      <alignment horizontal="center"/>
    </xf>
    <xf numFmtId="3" fontId="63" fillId="23" borderId="97" xfId="1" applyNumberFormat="1" applyFont="1" applyFill="1" applyBorder="1" applyAlignment="1">
      <alignment horizontal="center" vertical="center" wrapText="1"/>
    </xf>
    <xf numFmtId="0" fontId="17" fillId="0" borderId="0" xfId="0" applyFont="1" applyAlignment="1">
      <alignment horizontal="center"/>
    </xf>
    <xf numFmtId="0" fontId="17" fillId="0" borderId="0" xfId="0" applyFont="1" applyFill="1" applyAlignment="1">
      <alignment horizontal="center"/>
    </xf>
    <xf numFmtId="0" fontId="17" fillId="0" borderId="0" xfId="0" applyFont="1" applyAlignment="1">
      <alignment horizontal="center" vertical="center"/>
    </xf>
    <xf numFmtId="0" fontId="10" fillId="23" borderId="13" xfId="0" applyFont="1" applyFill="1" applyBorder="1" applyAlignment="1">
      <alignment horizontal="center"/>
    </xf>
    <xf numFmtId="0" fontId="0" fillId="23" borderId="13" xfId="0" applyFill="1" applyBorder="1" applyAlignment="1">
      <alignment horizontal="center"/>
    </xf>
    <xf numFmtId="0" fontId="31" fillId="23" borderId="13" xfId="0" applyFont="1" applyFill="1" applyBorder="1" applyAlignment="1">
      <alignment horizontal="center"/>
    </xf>
    <xf numFmtId="3" fontId="31" fillId="23" borderId="7" xfId="0" applyNumberFormat="1" applyFont="1" applyFill="1" applyBorder="1" applyAlignment="1">
      <alignment horizontal="right"/>
    </xf>
    <xf numFmtId="0" fontId="10" fillId="0" borderId="13" xfId="0" applyFont="1" applyFill="1" applyBorder="1" applyAlignment="1"/>
    <xf numFmtId="3" fontId="14" fillId="23" borderId="9" xfId="1" applyNumberFormat="1" applyFont="1" applyFill="1" applyBorder="1" applyAlignment="1">
      <alignment horizontal="center" wrapText="1"/>
    </xf>
    <xf numFmtId="1" fontId="35" fillId="0" borderId="75" xfId="0" applyNumberFormat="1" applyFont="1" applyBorder="1" applyAlignment="1">
      <alignment vertical="center" wrapText="1"/>
    </xf>
    <xf numFmtId="1" fontId="35" fillId="0" borderId="42" xfId="0" applyNumberFormat="1" applyFont="1" applyBorder="1" applyAlignment="1">
      <alignment vertical="center" wrapText="1"/>
    </xf>
    <xf numFmtId="1" fontId="30" fillId="5" borderId="43" xfId="0" applyNumberFormat="1" applyFont="1" applyFill="1" applyBorder="1" applyAlignment="1">
      <alignment horizontal="center" vertical="center" wrapText="1"/>
    </xf>
    <xf numFmtId="1" fontId="0" fillId="5" borderId="0" xfId="0" applyNumberFormat="1" applyFill="1" applyBorder="1" applyAlignment="1">
      <alignment horizontal="center" vertical="center" wrapText="1"/>
    </xf>
    <xf numFmtId="1" fontId="0" fillId="5" borderId="19" xfId="0" applyNumberFormat="1" applyFill="1" applyBorder="1" applyAlignment="1">
      <alignment horizontal="center" vertical="center" wrapText="1"/>
    </xf>
    <xf numFmtId="1" fontId="0" fillId="5" borderId="4" xfId="0" applyNumberFormat="1" applyFill="1" applyBorder="1" applyAlignment="1">
      <alignment horizontal="center" vertical="center" wrapText="1"/>
    </xf>
    <xf numFmtId="1" fontId="23" fillId="7" borderId="7" xfId="0" applyNumberFormat="1" applyFont="1" applyFill="1" applyBorder="1" applyAlignment="1">
      <alignment horizontal="left" vertical="center" wrapText="1"/>
    </xf>
    <xf numFmtId="3" fontId="35" fillId="0" borderId="42" xfId="0" applyNumberFormat="1" applyFont="1" applyBorder="1" applyAlignment="1">
      <alignment vertical="center" wrapText="1"/>
    </xf>
    <xf numFmtId="3" fontId="0" fillId="5" borderId="4" xfId="0" applyNumberFormat="1" applyFill="1" applyBorder="1" applyAlignment="1">
      <alignment vertical="center" wrapText="1"/>
    </xf>
    <xf numFmtId="3" fontId="0" fillId="5" borderId="51" xfId="0" applyNumberFormat="1" applyFill="1" applyBorder="1" applyAlignment="1">
      <alignment vertical="center" wrapText="1"/>
    </xf>
    <xf numFmtId="169" fontId="35" fillId="0" borderId="42" xfId="0" applyNumberFormat="1" applyFont="1" applyBorder="1" applyAlignment="1">
      <alignment horizontal="center" vertical="center" wrapText="1"/>
    </xf>
    <xf numFmtId="169" fontId="30" fillId="5" borderId="58" xfId="0" applyNumberFormat="1" applyFont="1" applyFill="1" applyBorder="1" applyAlignment="1">
      <alignment horizontal="center" vertical="center" wrapText="1"/>
    </xf>
    <xf numFmtId="169" fontId="0" fillId="5" borderId="16" xfId="0" applyNumberFormat="1" applyFill="1" applyBorder="1" applyAlignment="1">
      <alignment horizontal="center" vertical="center" wrapText="1"/>
    </xf>
    <xf numFmtId="169" fontId="0" fillId="5" borderId="18" xfId="0" applyNumberFormat="1" applyFill="1" applyBorder="1" applyAlignment="1">
      <alignment horizontal="center" vertical="center" wrapText="1"/>
    </xf>
    <xf numFmtId="169" fontId="0" fillId="5" borderId="4" xfId="0" applyNumberFormat="1" applyFill="1" applyBorder="1" applyAlignment="1">
      <alignment horizontal="center" vertical="center" wrapText="1"/>
    </xf>
    <xf numFmtId="169" fontId="31" fillId="6" borderId="6" xfId="0" applyNumberFormat="1" applyFont="1" applyFill="1" applyBorder="1" applyAlignment="1">
      <alignment horizontal="left" vertical="center" wrapText="1"/>
    </xf>
    <xf numFmtId="169" fontId="10" fillId="0" borderId="7" xfId="0" applyNumberFormat="1" applyFont="1" applyFill="1" applyBorder="1" applyAlignment="1">
      <alignment horizontal="center" vertical="center"/>
    </xf>
    <xf numFmtId="169" fontId="10" fillId="0" borderId="7" xfId="0" applyNumberFormat="1" applyFont="1" applyFill="1" applyBorder="1" applyAlignment="1">
      <alignment horizontal="center" vertical="center" wrapText="1"/>
    </xf>
    <xf numFmtId="169" fontId="11" fillId="4" borderId="7" xfId="0" applyNumberFormat="1" applyFont="1" applyFill="1" applyBorder="1" applyAlignment="1">
      <alignment horizontal="justify" vertical="center" wrapText="1"/>
    </xf>
    <xf numFmtId="169" fontId="62" fillId="7" borderId="7" xfId="0" applyNumberFormat="1" applyFont="1" applyFill="1" applyBorder="1" applyAlignment="1">
      <alignment horizontal="left" vertical="center" wrapText="1"/>
    </xf>
    <xf numFmtId="169" fontId="61" fillId="8" borderId="7" xfId="0" applyNumberFormat="1" applyFont="1" applyFill="1" applyBorder="1" applyAlignment="1">
      <alignment horizontal="left" vertical="center" wrapText="1"/>
    </xf>
    <xf numFmtId="169" fontId="0" fillId="0" borderId="13" xfId="0" applyNumberFormat="1" applyFill="1" applyBorder="1" applyAlignment="1">
      <alignment horizontal="center" vertical="center"/>
    </xf>
    <xf numFmtId="169" fontId="11" fillId="4" borderId="7" xfId="0" applyNumberFormat="1" applyFont="1" applyFill="1" applyBorder="1" applyAlignment="1">
      <alignment horizontal="center" vertical="center" wrapText="1"/>
    </xf>
    <xf numFmtId="169" fontId="11" fillId="9" borderId="98" xfId="1" applyNumberFormat="1" applyFont="1" applyFill="1" applyBorder="1" applyAlignment="1">
      <alignment horizontal="center" wrapText="1"/>
    </xf>
    <xf numFmtId="169" fontId="11" fillId="0" borderId="0" xfId="1" applyNumberFormat="1" applyFont="1" applyBorder="1" applyAlignment="1">
      <alignment wrapText="1"/>
    </xf>
    <xf numFmtId="169" fontId="34" fillId="0" borderId="0" xfId="0" applyNumberFormat="1" applyFont="1" applyAlignment="1">
      <alignment horizontal="center" vertical="center"/>
    </xf>
    <xf numFmtId="169" fontId="31" fillId="0" borderId="0" xfId="0" applyNumberFormat="1" applyFont="1" applyAlignment="1">
      <alignment horizontal="center" vertical="center"/>
    </xf>
    <xf numFmtId="169" fontId="11" fillId="0" borderId="25" xfId="1" applyNumberFormat="1" applyFont="1" applyBorder="1" applyAlignment="1">
      <alignment wrapText="1"/>
    </xf>
    <xf numFmtId="169" fontId="0" fillId="0" borderId="0" xfId="0" applyNumberFormat="1"/>
    <xf numFmtId="169" fontId="30" fillId="5" borderId="16" xfId="0" applyNumberFormat="1" applyFont="1" applyFill="1" applyBorder="1" applyAlignment="1">
      <alignment horizontal="center" vertical="center" wrapText="1"/>
    </xf>
    <xf numFmtId="169" fontId="34" fillId="5" borderId="1" xfId="0" applyNumberFormat="1" applyFont="1" applyFill="1" applyBorder="1" applyAlignment="1">
      <alignment horizontal="center" vertical="center" wrapText="1"/>
    </xf>
    <xf numFmtId="169" fontId="10" fillId="6" borderId="19" xfId="0" applyNumberFormat="1" applyFont="1" applyFill="1" applyBorder="1" applyAlignment="1">
      <alignment horizontal="left" vertical="center" wrapText="1"/>
    </xf>
    <xf numFmtId="169" fontId="31" fillId="6" borderId="2" xfId="0" applyNumberFormat="1" applyFont="1" applyFill="1" applyBorder="1" applyAlignment="1">
      <alignment horizontal="left" vertical="center" wrapText="1"/>
    </xf>
    <xf numFmtId="169" fontId="10" fillId="9" borderId="2" xfId="0" applyNumberFormat="1" applyFont="1" applyFill="1" applyBorder="1" applyAlignment="1">
      <alignment horizontal="justify" vertical="center" wrapText="1"/>
    </xf>
    <xf numFmtId="169" fontId="10" fillId="9" borderId="2" xfId="0" applyNumberFormat="1" applyFont="1" applyFill="1" applyBorder="1" applyAlignment="1">
      <alignment horizontal="left" vertical="center"/>
    </xf>
    <xf numFmtId="169" fontId="31" fillId="23" borderId="2" xfId="0" applyNumberFormat="1" applyFont="1" applyFill="1" applyBorder="1" applyAlignment="1">
      <alignment horizontal="left" vertical="center" wrapText="1"/>
    </xf>
    <xf numFmtId="169" fontId="10" fillId="8" borderId="2" xfId="0" applyNumberFormat="1" applyFont="1" applyFill="1" applyBorder="1" applyAlignment="1">
      <alignment horizontal="left" vertical="center"/>
    </xf>
    <xf numFmtId="169" fontId="11" fillId="4" borderId="2" xfId="0" applyNumberFormat="1" applyFont="1" applyFill="1" applyBorder="1" applyAlignment="1">
      <alignment horizontal="left" vertical="center"/>
    </xf>
    <xf numFmtId="169" fontId="10" fillId="12" borderId="2" xfId="0" applyNumberFormat="1" applyFont="1" applyFill="1" applyBorder="1" applyAlignment="1">
      <alignment horizontal="left" vertical="center" wrapText="1"/>
    </xf>
    <xf numFmtId="169" fontId="61" fillId="12" borderId="2" xfId="0" applyNumberFormat="1" applyFont="1" applyFill="1" applyBorder="1" applyAlignment="1">
      <alignment horizontal="left" vertical="center" wrapText="1"/>
    </xf>
    <xf numFmtId="169" fontId="11" fillId="9" borderId="2" xfId="0" applyNumberFormat="1" applyFont="1" applyFill="1" applyBorder="1" applyAlignment="1">
      <alignment horizontal="left" vertical="center"/>
    </xf>
    <xf numFmtId="169" fontId="11" fillId="4" borderId="2" xfId="0" applyNumberFormat="1" applyFont="1" applyFill="1" applyBorder="1" applyAlignment="1">
      <alignment horizontal="center" vertical="center" wrapText="1"/>
    </xf>
    <xf numFmtId="169" fontId="34" fillId="9" borderId="25" xfId="1" applyNumberFormat="1" applyFont="1" applyFill="1" applyBorder="1" applyAlignment="1">
      <alignment horizontal="center" vertical="center" wrapText="1"/>
    </xf>
    <xf numFmtId="169" fontId="11" fillId="0" borderId="0" xfId="1" applyNumberFormat="1" applyFont="1" applyBorder="1" applyAlignment="1">
      <alignment horizontal="center" vertical="center" wrapText="1"/>
    </xf>
    <xf numFmtId="169" fontId="34" fillId="0" borderId="0" xfId="0" applyNumberFormat="1" applyFont="1" applyBorder="1" applyAlignment="1">
      <alignment horizontal="center" vertical="center"/>
    </xf>
    <xf numFmtId="169" fontId="31" fillId="0" borderId="0" xfId="0" applyNumberFormat="1" applyFont="1" applyBorder="1" applyAlignment="1">
      <alignment horizontal="center" vertical="center"/>
    </xf>
    <xf numFmtId="169" fontId="0" fillId="0" borderId="0" xfId="0" applyNumberFormat="1" applyFill="1" applyBorder="1"/>
    <xf numFmtId="169" fontId="0" fillId="0" borderId="25" xfId="0" applyNumberFormat="1" applyFill="1" applyBorder="1"/>
    <xf numFmtId="169" fontId="0" fillId="0" borderId="0" xfId="0" applyNumberFormat="1" applyFill="1"/>
    <xf numFmtId="169" fontId="0" fillId="0" borderId="0" xfId="0" applyNumberFormat="1" applyBorder="1"/>
    <xf numFmtId="169" fontId="29" fillId="0" borderId="0" xfId="0" applyNumberFormat="1" applyFont="1"/>
    <xf numFmtId="169" fontId="6" fillId="0" borderId="2" xfId="0" applyNumberFormat="1" applyFont="1" applyFill="1" applyBorder="1" applyAlignment="1">
      <alignment horizontal="left" vertical="center"/>
    </xf>
    <xf numFmtId="1" fontId="30" fillId="5" borderId="0" xfId="0" applyNumberFormat="1" applyFont="1" applyFill="1" applyBorder="1" applyAlignment="1">
      <alignment horizontal="center" vertical="center" wrapText="1"/>
    </xf>
    <xf numFmtId="1" fontId="18" fillId="28" borderId="7" xfId="0" applyNumberFormat="1" applyFont="1" applyFill="1" applyBorder="1" applyAlignment="1">
      <alignment horizontal="center" vertical="center" wrapText="1"/>
    </xf>
    <xf numFmtId="1" fontId="0" fillId="28" borderId="7" xfId="0" applyNumberFormat="1" applyFill="1" applyBorder="1"/>
    <xf numFmtId="1" fontId="14" fillId="28" borderId="7" xfId="0" applyNumberFormat="1" applyFont="1" applyFill="1" applyBorder="1" applyAlignment="1">
      <alignment horizontal="center" vertical="center" wrapText="1"/>
    </xf>
    <xf numFmtId="1" fontId="36" fillId="0" borderId="7" xfId="0" applyNumberFormat="1" applyFont="1" applyFill="1" applyBorder="1" applyAlignment="1">
      <alignment horizontal="center" vertical="center"/>
    </xf>
    <xf numFmtId="1" fontId="14" fillId="0" borderId="15" xfId="0" applyNumberFormat="1" applyFont="1" applyFill="1" applyBorder="1" applyAlignment="1">
      <alignment horizontal="center" vertical="center" wrapText="1"/>
    </xf>
    <xf numFmtId="1" fontId="34" fillId="9" borderId="36" xfId="1" applyNumberFormat="1" applyFont="1" applyFill="1" applyBorder="1" applyAlignment="1">
      <alignment horizontal="center" vertical="center" wrapText="1"/>
    </xf>
    <xf numFmtId="1" fontId="11" fillId="0" borderId="0" xfId="1" applyNumberFormat="1" applyFont="1" applyBorder="1" applyAlignment="1">
      <alignment horizontal="center" wrapText="1"/>
    </xf>
    <xf numFmtId="1" fontId="27" fillId="0" borderId="17" xfId="0" applyNumberFormat="1" applyFont="1" applyFill="1" applyBorder="1" applyAlignment="1">
      <alignment horizontal="center" vertical="center" wrapText="1"/>
    </xf>
    <xf numFmtId="1" fontId="14" fillId="0" borderId="25" xfId="0" applyNumberFormat="1" applyFont="1" applyFill="1" applyBorder="1" applyAlignment="1">
      <alignment horizontal="center" vertical="center" wrapText="1"/>
    </xf>
    <xf numFmtId="1" fontId="0" fillId="5" borderId="4" xfId="0" applyNumberFormat="1" applyFill="1" applyBorder="1" applyAlignment="1"/>
    <xf numFmtId="1" fontId="29" fillId="0" borderId="7" xfId="0" applyNumberFormat="1" applyFont="1" applyFill="1" applyBorder="1" applyAlignment="1">
      <alignment horizontal="center" vertical="center"/>
    </xf>
    <xf numFmtId="1" fontId="34" fillId="9" borderId="39" xfId="1" applyNumberFormat="1"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1" fontId="28" fillId="0" borderId="25" xfId="0" applyNumberFormat="1" applyFont="1" applyFill="1" applyBorder="1" applyAlignment="1">
      <alignment horizontal="center" vertical="center" wrapText="1"/>
    </xf>
    <xf numFmtId="169" fontId="6" fillId="0" borderId="29" xfId="0" applyNumberFormat="1" applyFont="1" applyFill="1" applyBorder="1" applyAlignment="1">
      <alignment horizontal="left" vertical="center"/>
    </xf>
    <xf numFmtId="169" fontId="6" fillId="6" borderId="4" xfId="0" applyNumberFormat="1" applyFont="1" applyFill="1" applyBorder="1" applyAlignment="1">
      <alignment horizontal="center" vertical="center" wrapText="1"/>
    </xf>
    <xf numFmtId="169" fontId="15" fillId="6" borderId="2" xfId="0" applyNumberFormat="1" applyFont="1" applyFill="1" applyBorder="1" applyAlignment="1">
      <alignment horizontal="center" vertical="center" wrapText="1"/>
    </xf>
    <xf numFmtId="169" fontId="11" fillId="8" borderId="2" xfId="0" applyNumberFormat="1" applyFont="1" applyFill="1" applyBorder="1" applyAlignment="1">
      <alignment horizontal="left" vertical="center" wrapText="1"/>
    </xf>
    <xf numFmtId="169" fontId="11" fillId="10" borderId="2" xfId="0" applyNumberFormat="1" applyFont="1" applyFill="1" applyBorder="1" applyAlignment="1">
      <alignment horizontal="left" vertical="center" wrapText="1"/>
    </xf>
    <xf numFmtId="169" fontId="15" fillId="13" borderId="2" xfId="0" applyNumberFormat="1" applyFont="1" applyFill="1" applyBorder="1" applyAlignment="1">
      <alignment horizontal="left" vertical="center" wrapText="1"/>
    </xf>
    <xf numFmtId="169" fontId="19" fillId="14" borderId="2" xfId="0" applyNumberFormat="1" applyFont="1" applyFill="1" applyBorder="1" applyAlignment="1">
      <alignment horizontal="left" vertical="center" wrapText="1"/>
    </xf>
    <xf numFmtId="169" fontId="15" fillId="14" borderId="2" xfId="0" applyNumberFormat="1" applyFont="1" applyFill="1" applyBorder="1" applyAlignment="1">
      <alignment horizontal="left" vertical="center" wrapText="1"/>
    </xf>
    <xf numFmtId="169" fontId="15" fillId="24" borderId="2" xfId="0" applyNumberFormat="1" applyFont="1" applyFill="1" applyBorder="1" applyAlignment="1">
      <alignment horizontal="left" vertical="center" wrapText="1"/>
    </xf>
    <xf numFmtId="169" fontId="15" fillId="4" borderId="2" xfId="0" applyNumberFormat="1" applyFont="1" applyFill="1" applyBorder="1" applyAlignment="1">
      <alignment horizontal="justify" vertical="center" wrapText="1"/>
    </xf>
    <xf numFmtId="169" fontId="15" fillId="0" borderId="4" xfId="0" applyNumberFormat="1" applyFont="1" applyFill="1" applyBorder="1" applyAlignment="1">
      <alignment horizontal="justify" vertical="center" wrapText="1"/>
    </xf>
    <xf numFmtId="169" fontId="11" fillId="9" borderId="51" xfId="0" applyNumberFormat="1" applyFont="1" applyFill="1" applyBorder="1" applyAlignment="1">
      <alignment horizontal="justify" vertical="center" wrapText="1"/>
    </xf>
    <xf numFmtId="169" fontId="11" fillId="0" borderId="0" xfId="0" applyNumberFormat="1" applyFont="1" applyFill="1" applyBorder="1" applyAlignment="1">
      <alignment horizontal="justify" vertical="center" wrapText="1"/>
    </xf>
    <xf numFmtId="169" fontId="31" fillId="0" borderId="0" xfId="0" applyNumberFormat="1" applyFont="1" applyBorder="1" applyAlignment="1">
      <alignment horizontal="center" vertical="top"/>
    </xf>
    <xf numFmtId="169" fontId="0" fillId="0" borderId="25" xfId="0" applyNumberFormat="1" applyBorder="1"/>
    <xf numFmtId="169" fontId="6" fillId="0" borderId="2" xfId="0" applyNumberFormat="1" applyFont="1" applyFill="1" applyBorder="1" applyAlignment="1">
      <alignment horizontal="center" vertical="center"/>
    </xf>
    <xf numFmtId="169" fontId="10" fillId="0" borderId="2" xfId="0" applyNumberFormat="1" applyFont="1" applyFill="1" applyBorder="1" applyAlignment="1">
      <alignment horizontal="left" vertical="center"/>
    </xf>
    <xf numFmtId="1" fontId="0" fillId="5" borderId="2" xfId="0" applyNumberFormat="1" applyFill="1" applyBorder="1" applyAlignment="1">
      <alignment horizontal="center" vertical="center" wrapText="1"/>
    </xf>
    <xf numFmtId="1" fontId="14" fillId="25" borderId="14" xfId="0" applyNumberFormat="1" applyFont="1" applyFill="1" applyBorder="1" applyAlignment="1">
      <alignment horizontal="center" vertical="center" wrapText="1"/>
    </xf>
    <xf numFmtId="3" fontId="14" fillId="25" borderId="26" xfId="0" applyNumberFormat="1" applyFont="1" applyFill="1" applyBorder="1" applyAlignment="1">
      <alignment horizontal="center" vertical="center" wrapText="1"/>
    </xf>
    <xf numFmtId="3" fontId="0" fillId="0" borderId="29" xfId="0" applyNumberFormat="1" applyFill="1" applyBorder="1"/>
    <xf numFmtId="3" fontId="19" fillId="0" borderId="7" xfId="0" applyNumberFormat="1" applyFont="1" applyFill="1" applyBorder="1" applyAlignment="1">
      <alignment horizontal="left" vertical="center"/>
    </xf>
    <xf numFmtId="1" fontId="0" fillId="5" borderId="0" xfId="0" applyNumberFormat="1" applyFill="1" applyBorder="1" applyAlignment="1">
      <alignment horizontal="center"/>
    </xf>
    <xf numFmtId="1" fontId="0" fillId="5" borderId="19" xfId="0" applyNumberFormat="1" applyFill="1" applyBorder="1" applyAlignment="1">
      <alignment horizontal="center"/>
    </xf>
    <xf numFmtId="1" fontId="19" fillId="13" borderId="7" xfId="0" applyNumberFormat="1" applyFont="1" applyFill="1" applyBorder="1" applyAlignment="1">
      <alignment horizontal="center" vertical="center"/>
    </xf>
    <xf numFmtId="1" fontId="0" fillId="5" borderId="0" xfId="0" applyNumberFormat="1" applyFill="1" applyBorder="1" applyAlignment="1">
      <alignment horizontal="center" vertical="center"/>
    </xf>
    <xf numFmtId="1" fontId="0" fillId="5" borderId="19" xfId="0" applyNumberFormat="1" applyFill="1" applyBorder="1" applyAlignment="1">
      <alignment horizontal="center" vertical="center"/>
    </xf>
    <xf numFmtId="1" fontId="0" fillId="25" borderId="7" xfId="0" applyNumberFormat="1" applyFill="1" applyBorder="1" applyAlignment="1">
      <alignment horizontal="center" vertical="center"/>
    </xf>
    <xf numFmtId="1" fontId="0" fillId="0" borderId="7"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25" xfId="0" applyNumberFormat="1" applyBorder="1" applyAlignment="1">
      <alignment horizontal="center" vertical="center"/>
    </xf>
    <xf numFmtId="169" fontId="10" fillId="0" borderId="35" xfId="0" applyNumberFormat="1" applyFont="1" applyFill="1" applyBorder="1" applyAlignment="1">
      <alignment horizontal="center"/>
    </xf>
    <xf numFmtId="1" fontId="0" fillId="18" borderId="0" xfId="0" applyNumberFormat="1" applyFill="1" applyBorder="1"/>
    <xf numFmtId="1" fontId="0" fillId="5" borderId="16" xfId="0" applyNumberFormat="1" applyFill="1" applyBorder="1" applyAlignment="1">
      <alignment horizontal="center"/>
    </xf>
    <xf numFmtId="1" fontId="0" fillId="5" borderId="18" xfId="0" applyNumberFormat="1" applyFill="1" applyBorder="1" applyAlignment="1">
      <alignment horizontal="center"/>
    </xf>
    <xf numFmtId="1" fontId="26" fillId="7" borderId="3" xfId="0" applyNumberFormat="1" applyFont="1" applyFill="1" applyBorder="1" applyAlignment="1">
      <alignment horizontal="left" vertical="center" wrapText="1"/>
    </xf>
    <xf numFmtId="1" fontId="10" fillId="9" borderId="2" xfId="0" applyNumberFormat="1" applyFont="1" applyFill="1" applyBorder="1" applyAlignment="1">
      <alignment horizontal="left" vertical="center"/>
    </xf>
    <xf numFmtId="1" fontId="6" fillId="8" borderId="3" xfId="0" applyNumberFormat="1" applyFont="1" applyFill="1" applyBorder="1" applyAlignment="1">
      <alignment horizontal="left" vertical="center" wrapText="1"/>
    </xf>
    <xf numFmtId="1" fontId="11" fillId="4" borderId="2" xfId="0" applyNumberFormat="1" applyFont="1" applyFill="1" applyBorder="1" applyAlignment="1">
      <alignment horizontal="left" vertical="center"/>
    </xf>
    <xf numFmtId="1" fontId="6" fillId="15" borderId="7" xfId="0" applyNumberFormat="1" applyFont="1" applyFill="1" applyBorder="1" applyAlignment="1">
      <alignment horizontal="left" vertical="center" wrapText="1"/>
    </xf>
    <xf numFmtId="1" fontId="11" fillId="9" borderId="2" xfId="0" applyNumberFormat="1" applyFont="1" applyFill="1" applyBorder="1" applyAlignment="1">
      <alignment horizontal="justify" vertical="center" wrapText="1"/>
    </xf>
    <xf numFmtId="1" fontId="11" fillId="0" borderId="0" xfId="0" applyNumberFormat="1" applyFont="1" applyFill="1" applyBorder="1" applyAlignment="1">
      <alignment horizontal="justify" vertical="center" wrapText="1"/>
    </xf>
    <xf numFmtId="1" fontId="11" fillId="9" borderId="98" xfId="1" applyNumberFormat="1" applyFont="1" applyFill="1" applyBorder="1" applyAlignment="1">
      <alignment horizontal="center" wrapText="1"/>
    </xf>
    <xf numFmtId="1" fontId="34" fillId="0" borderId="0" xfId="0" applyNumberFormat="1" applyFont="1" applyBorder="1" applyAlignment="1">
      <alignment horizontal="center" vertical="center"/>
    </xf>
    <xf numFmtId="1" fontId="31" fillId="0" borderId="0" xfId="0" applyNumberFormat="1" applyFont="1" applyBorder="1" applyAlignment="1">
      <alignment horizontal="center" vertical="top"/>
    </xf>
    <xf numFmtId="1" fontId="29" fillId="0" borderId="25" xfId="0" applyNumberFormat="1" applyFont="1" applyBorder="1" applyAlignment="1">
      <alignment horizontal="center"/>
    </xf>
    <xf numFmtId="1" fontId="26" fillId="0" borderId="3" xfId="0" applyNumberFormat="1" applyFont="1" applyFill="1" applyBorder="1" applyAlignment="1">
      <alignment horizontal="center" vertical="center"/>
    </xf>
    <xf numFmtId="1" fontId="11" fillId="9" borderId="3" xfId="0" applyNumberFormat="1" applyFont="1" applyFill="1" applyBorder="1" applyAlignment="1">
      <alignment horizontal="center" vertical="center" wrapText="1"/>
    </xf>
    <xf numFmtId="1" fontId="6" fillId="23" borderId="3"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xf>
    <xf numFmtId="1" fontId="11" fillId="4" borderId="3"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11" fillId="9" borderId="9" xfId="1" applyNumberFormat="1" applyFont="1" applyFill="1" applyBorder="1" applyAlignment="1">
      <alignment horizontal="center" wrapText="1"/>
    </xf>
    <xf numFmtId="1" fontId="11" fillId="0" borderId="0" xfId="0" applyNumberFormat="1" applyFont="1" applyFill="1" applyBorder="1" applyAlignment="1">
      <alignment horizontal="center" vertical="center" wrapText="1"/>
    </xf>
    <xf numFmtId="1" fontId="34" fillId="0" borderId="0" xfId="1" applyNumberFormat="1" applyFont="1" applyBorder="1" applyAlignment="1">
      <alignment horizontal="center" wrapText="1"/>
    </xf>
    <xf numFmtId="1" fontId="11" fillId="9" borderId="8" xfId="1" applyNumberFormat="1" applyFont="1" applyFill="1" applyBorder="1" applyAlignment="1">
      <alignment horizontal="center" wrapText="1"/>
    </xf>
    <xf numFmtId="1" fontId="6" fillId="0" borderId="3" xfId="0" applyNumberFormat="1" applyFont="1" applyFill="1" applyBorder="1" applyAlignment="1">
      <alignment horizontal="left" vertical="center"/>
    </xf>
    <xf numFmtId="1" fontId="6" fillId="15" borderId="7" xfId="0" applyNumberFormat="1" applyFont="1" applyFill="1" applyBorder="1" applyAlignment="1">
      <alignment horizontal="center" vertical="center"/>
    </xf>
    <xf numFmtId="3" fontId="35" fillId="0" borderId="75" xfId="0" applyNumberFormat="1" applyFont="1" applyBorder="1" applyAlignment="1">
      <alignment horizontal="center" vertical="center" wrapText="1"/>
    </xf>
    <xf numFmtId="0" fontId="6" fillId="15" borderId="7" xfId="0" applyFont="1" applyFill="1" applyBorder="1" applyAlignment="1">
      <alignment horizontal="center" vertical="center"/>
    </xf>
    <xf numFmtId="169" fontId="14" fillId="20" borderId="5" xfId="0" applyNumberFormat="1" applyFont="1" applyFill="1" applyBorder="1" applyAlignment="1">
      <alignment horizontal="center" vertical="center" wrapText="1"/>
    </xf>
    <xf numFmtId="3" fontId="14" fillId="20" borderId="5" xfId="0" applyNumberFormat="1" applyFont="1" applyFill="1" applyBorder="1" applyAlignment="1">
      <alignment horizontal="center" vertical="center" wrapText="1"/>
    </xf>
    <xf numFmtId="1" fontId="14" fillId="20" borderId="14" xfId="0" applyNumberFormat="1" applyFont="1" applyFill="1" applyBorder="1" applyAlignment="1">
      <alignment horizontal="center" vertical="center" wrapText="1"/>
    </xf>
    <xf numFmtId="3" fontId="14" fillId="20" borderId="14" xfId="0" applyNumberFormat="1" applyFont="1" applyFill="1" applyBorder="1" applyAlignment="1">
      <alignment horizontal="center" vertical="center" wrapText="1"/>
    </xf>
    <xf numFmtId="0" fontId="31" fillId="20" borderId="13" xfId="0" applyFont="1" applyFill="1" applyBorder="1" applyAlignment="1">
      <alignment horizontal="center"/>
    </xf>
    <xf numFmtId="0" fontId="31" fillId="20" borderId="7" xfId="0" applyFont="1" applyFill="1" applyBorder="1"/>
    <xf numFmtId="3" fontId="31" fillId="20" borderId="7" xfId="0" applyNumberFormat="1" applyFont="1" applyFill="1" applyBorder="1" applyAlignment="1">
      <alignment horizontal="right"/>
    </xf>
    <xf numFmtId="0" fontId="31" fillId="20" borderId="35" xfId="0" applyFont="1" applyFill="1" applyBorder="1"/>
    <xf numFmtId="1" fontId="21" fillId="5" borderId="16" xfId="0" applyNumberFormat="1" applyFont="1" applyFill="1" applyBorder="1" applyAlignment="1">
      <alignment horizontal="center"/>
    </xf>
    <xf numFmtId="1" fontId="21" fillId="5" borderId="18" xfId="0" applyNumberFormat="1" applyFont="1" applyFill="1" applyBorder="1" applyAlignment="1">
      <alignment horizontal="center"/>
    </xf>
    <xf numFmtId="1" fontId="33" fillId="13" borderId="4" xfId="2" applyNumberFormat="1" applyFont="1" applyFill="1" applyBorder="1" applyAlignment="1">
      <alignment horizontal="left" vertical="center"/>
    </xf>
    <xf numFmtId="1" fontId="32" fillId="13" borderId="4" xfId="2" applyNumberFormat="1" applyFont="1" applyFill="1" applyBorder="1" applyAlignment="1">
      <alignment horizontal="left" vertical="center" wrapText="1"/>
    </xf>
    <xf numFmtId="1" fontId="31" fillId="0" borderId="13" xfId="0" applyNumberFormat="1" applyFont="1" applyFill="1" applyBorder="1" applyAlignment="1">
      <alignment horizontal="center"/>
    </xf>
    <xf numFmtId="1" fontId="33" fillId="0" borderId="4" xfId="2" applyNumberFormat="1" applyFont="1" applyFill="1" applyBorder="1" applyAlignment="1">
      <alignment horizontal="left" vertical="center"/>
    </xf>
    <xf numFmtId="1" fontId="14" fillId="4" borderId="2" xfId="0" applyNumberFormat="1" applyFont="1" applyFill="1" applyBorder="1" applyAlignment="1">
      <alignment horizontal="left" vertical="center"/>
    </xf>
    <xf numFmtId="1" fontId="32" fillId="13" borderId="26" xfId="2" applyNumberFormat="1" applyFont="1" applyFill="1" applyBorder="1" applyAlignment="1">
      <alignment horizontal="left" vertical="center" wrapText="1"/>
    </xf>
    <xf numFmtId="1" fontId="14" fillId="4" borderId="4" xfId="0" applyNumberFormat="1" applyFont="1" applyFill="1" applyBorder="1" applyAlignment="1">
      <alignment horizontal="left" vertical="center"/>
    </xf>
    <xf numFmtId="1" fontId="11" fillId="4" borderId="4" xfId="0" applyNumberFormat="1" applyFont="1" applyFill="1" applyBorder="1" applyAlignment="1">
      <alignment horizontal="left" vertical="center"/>
    </xf>
    <xf numFmtId="1" fontId="32" fillId="21" borderId="4" xfId="2" applyNumberFormat="1" applyFont="1" applyFill="1" applyBorder="1" applyAlignment="1">
      <alignment horizontal="left" vertical="center" wrapText="1"/>
    </xf>
    <xf numFmtId="1" fontId="32" fillId="24" borderId="4" xfId="2" applyNumberFormat="1" applyFont="1" applyFill="1" applyBorder="1" applyAlignment="1">
      <alignment horizontal="left" vertical="center" wrapText="1"/>
    </xf>
    <xf numFmtId="1" fontId="20" fillId="6" borderId="2" xfId="0" applyNumberFormat="1" applyFont="1" applyFill="1" applyBorder="1" applyAlignment="1">
      <alignment horizontal="left" vertical="center" wrapText="1"/>
    </xf>
    <xf numFmtId="1" fontId="27" fillId="0" borderId="2" xfId="0" applyNumberFormat="1" applyFont="1" applyFill="1" applyBorder="1" applyAlignment="1">
      <alignment horizontal="left" vertical="center"/>
    </xf>
    <xf numFmtId="1" fontId="14" fillId="4" borderId="4" xfId="0" applyNumberFormat="1" applyFont="1" applyFill="1" applyBorder="1" applyAlignment="1">
      <alignment horizontal="center" vertical="center" wrapText="1"/>
    </xf>
    <xf numFmtId="1" fontId="14" fillId="20" borderId="4" xfId="0" applyNumberFormat="1" applyFont="1" applyFill="1" applyBorder="1" applyAlignment="1">
      <alignment horizontal="center" vertical="center" wrapText="1"/>
    </xf>
    <xf numFmtId="1" fontId="14" fillId="0" borderId="4" xfId="0" applyNumberFormat="1" applyFont="1" applyFill="1" applyBorder="1" applyAlignment="1">
      <alignment horizontal="left" vertical="center"/>
    </xf>
    <xf numFmtId="1" fontId="14" fillId="4" borderId="51" xfId="0" applyNumberFormat="1" applyFont="1" applyFill="1" applyBorder="1" applyAlignment="1">
      <alignment horizontal="center" vertical="center" wrapText="1"/>
    </xf>
    <xf numFmtId="1" fontId="14" fillId="0" borderId="0" xfId="0" applyNumberFormat="1" applyFont="1" applyFill="1" applyBorder="1" applyAlignment="1">
      <alignment wrapText="1"/>
    </xf>
    <xf numFmtId="1" fontId="21" fillId="16" borderId="25" xfId="0" applyNumberFormat="1" applyFont="1" applyFill="1" applyBorder="1" applyAlignment="1">
      <alignment horizontal="center"/>
    </xf>
    <xf numFmtId="1" fontId="14" fillId="0" borderId="75" xfId="0" applyNumberFormat="1" applyFont="1" applyBorder="1" applyAlignment="1">
      <alignment vertical="center" wrapText="1"/>
    </xf>
    <xf numFmtId="1" fontId="14" fillId="0" borderId="42" xfId="0" applyNumberFormat="1" applyFont="1" applyBorder="1" applyAlignment="1">
      <alignment vertical="center" wrapText="1"/>
    </xf>
    <xf numFmtId="1" fontId="33" fillId="13" borderId="14" xfId="2" applyNumberFormat="1" applyFont="1" applyFill="1" applyBorder="1" applyAlignment="1">
      <alignment horizontal="left" vertical="center"/>
    </xf>
    <xf numFmtId="1" fontId="20" fillId="6" borderId="7" xfId="0" applyNumberFormat="1" applyFont="1" applyFill="1" applyBorder="1" applyAlignment="1">
      <alignment horizontal="left" vertical="center" wrapText="1"/>
    </xf>
    <xf numFmtId="1" fontId="27" fillId="6" borderId="7" xfId="0" applyNumberFormat="1" applyFont="1" applyFill="1" applyBorder="1" applyAlignment="1">
      <alignment horizontal="center" vertical="center" wrapText="1"/>
    </xf>
    <xf numFmtId="1" fontId="21" fillId="5" borderId="2" xfId="0" applyNumberFormat="1" applyFont="1" applyFill="1" applyBorder="1" applyAlignment="1"/>
    <xf numFmtId="1" fontId="14" fillId="24" borderId="7" xfId="0" applyNumberFormat="1" applyFont="1" applyFill="1" applyBorder="1" applyAlignment="1">
      <alignment horizontal="center" vertical="center" wrapText="1"/>
    </xf>
    <xf numFmtId="1" fontId="14" fillId="24" borderId="3"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1" fontId="14" fillId="11" borderId="7" xfId="0" applyNumberFormat="1" applyFont="1" applyFill="1" applyBorder="1" applyAlignment="1">
      <alignment horizontal="center" vertical="center" wrapText="1"/>
    </xf>
    <xf numFmtId="1" fontId="21" fillId="16" borderId="0" xfId="1" applyNumberFormat="1" applyFont="1" applyFill="1" applyBorder="1" applyAlignment="1">
      <alignment horizontal="center" wrapText="1"/>
    </xf>
    <xf numFmtId="1" fontId="0" fillId="3" borderId="0" xfId="0" applyNumberFormat="1" applyFill="1" applyAlignment="1">
      <alignment horizontal="center" vertical="center" wrapText="1"/>
    </xf>
    <xf numFmtId="1" fontId="0" fillId="3" borderId="0" xfId="0" applyNumberFormat="1" applyFill="1" applyBorder="1" applyAlignment="1">
      <alignment horizontal="center" vertical="center" wrapText="1"/>
    </xf>
    <xf numFmtId="1" fontId="14" fillId="5" borderId="93" xfId="0" applyNumberFormat="1" applyFont="1" applyFill="1" applyBorder="1" applyAlignment="1">
      <alignment horizontal="center" vertical="center" wrapText="1"/>
    </xf>
    <xf numFmtId="1" fontId="11" fillId="25" borderId="7" xfId="0" applyNumberFormat="1" applyFont="1" applyFill="1" applyBorder="1" applyAlignment="1">
      <alignment horizontal="center" vertical="center"/>
    </xf>
    <xf numFmtId="1" fontId="11" fillId="19" borderId="7" xfId="0" applyNumberFormat="1" applyFont="1" applyFill="1" applyBorder="1" applyAlignment="1">
      <alignment horizontal="center" vertical="center"/>
    </xf>
    <xf numFmtId="1" fontId="16" fillId="23" borderId="7" xfId="0" applyNumberFormat="1" applyFont="1" applyFill="1" applyBorder="1" applyAlignment="1">
      <alignment horizontal="center" vertical="center"/>
    </xf>
    <xf numFmtId="1" fontId="0" fillId="19" borderId="7" xfId="0" applyNumberFormat="1" applyFill="1" applyBorder="1" applyAlignment="1">
      <alignment horizontal="center" vertical="center"/>
    </xf>
    <xf numFmtId="1" fontId="11" fillId="19" borderId="96" xfId="0" applyNumberFormat="1" applyFont="1" applyFill="1" applyBorder="1" applyAlignment="1">
      <alignment horizontal="center" vertical="center"/>
    </xf>
    <xf numFmtId="1" fontId="35" fillId="0" borderId="75" xfId="0" applyNumberFormat="1" applyFont="1" applyBorder="1" applyAlignment="1">
      <alignment horizontal="center" vertical="center" wrapText="1"/>
    </xf>
    <xf numFmtId="1" fontId="35" fillId="0" borderId="42" xfId="0" applyNumberFormat="1" applyFont="1" applyBorder="1" applyAlignment="1">
      <alignment horizontal="center" vertical="center" wrapText="1"/>
    </xf>
    <xf numFmtId="1" fontId="23" fillId="7" borderId="7" xfId="0" applyNumberFormat="1" applyFont="1" applyFill="1" applyBorder="1" applyAlignment="1">
      <alignment horizontal="center" vertical="center" wrapText="1"/>
    </xf>
    <xf numFmtId="1" fontId="20" fillId="5" borderId="93" xfId="0" applyNumberFormat="1" applyFont="1" applyFill="1" applyBorder="1" applyAlignment="1">
      <alignment horizontal="center" vertical="center" wrapText="1"/>
    </xf>
    <xf numFmtId="1" fontId="16" fillId="25" borderId="7" xfId="0" applyNumberFormat="1" applyFont="1" applyFill="1" applyBorder="1" applyAlignment="1">
      <alignment horizontal="center"/>
    </xf>
    <xf numFmtId="1" fontId="0" fillId="19" borderId="7" xfId="0" applyNumberFormat="1" applyFill="1" applyBorder="1" applyAlignment="1">
      <alignment horizontal="center"/>
    </xf>
    <xf numFmtId="1" fontId="0" fillId="25" borderId="7" xfId="0" applyNumberFormat="1" applyFill="1" applyBorder="1" applyAlignment="1">
      <alignment horizontal="center"/>
    </xf>
    <xf numFmtId="1" fontId="16" fillId="28" borderId="7" xfId="0" applyNumberFormat="1" applyFont="1" applyFill="1" applyBorder="1" applyAlignment="1">
      <alignment horizontal="center"/>
    </xf>
    <xf numFmtId="1" fontId="0" fillId="28" borderId="7" xfId="0" applyNumberFormat="1" applyFill="1" applyBorder="1" applyAlignment="1">
      <alignment horizontal="center"/>
    </xf>
    <xf numFmtId="1" fontId="31" fillId="19" borderId="96" xfId="0" applyNumberFormat="1" applyFont="1" applyFill="1" applyBorder="1" applyAlignment="1">
      <alignment horizontal="center" vertical="center"/>
    </xf>
    <xf numFmtId="1" fontId="0" fillId="5" borderId="2" xfId="0" applyNumberFormat="1" applyFill="1" applyBorder="1" applyAlignment="1">
      <alignment horizontal="center"/>
    </xf>
    <xf numFmtId="1" fontId="19" fillId="0" borderId="7" xfId="0" applyNumberFormat="1" applyFont="1" applyFill="1" applyBorder="1" applyAlignment="1">
      <alignment horizontal="center" vertical="center"/>
    </xf>
    <xf numFmtId="49" fontId="10" fillId="0" borderId="7" xfId="0" applyNumberFormat="1" applyFont="1" applyFill="1" applyBorder="1" applyAlignment="1">
      <alignment horizontal="center"/>
    </xf>
    <xf numFmtId="1" fontId="0" fillId="0" borderId="7" xfId="0" applyNumberFormat="1" applyBorder="1"/>
    <xf numFmtId="1" fontId="16" fillId="0" borderId="7" xfId="0" applyNumberFormat="1" applyFont="1" applyFill="1" applyBorder="1"/>
    <xf numFmtId="1" fontId="0" fillId="0" borderId="7" xfId="0" applyNumberFormat="1" applyFill="1" applyBorder="1" applyAlignment="1"/>
    <xf numFmtId="1" fontId="0" fillId="0" borderId="96" xfId="0" applyNumberFormat="1" applyBorder="1"/>
    <xf numFmtId="1" fontId="0" fillId="0" borderId="0" xfId="0" applyNumberFormat="1" applyFill="1"/>
    <xf numFmtId="1" fontId="0" fillId="0" borderId="0" xfId="0" applyNumberFormat="1" applyAlignment="1">
      <alignment vertical="center"/>
    </xf>
    <xf numFmtId="3" fontId="35" fillId="0" borderId="42" xfId="0" applyNumberFormat="1" applyFont="1" applyBorder="1" applyAlignment="1">
      <alignment horizontal="center" vertical="center" wrapText="1"/>
    </xf>
    <xf numFmtId="1" fontId="6" fillId="15" borderId="23" xfId="0" applyNumberFormat="1" applyFont="1" applyFill="1" applyBorder="1" applyAlignment="1">
      <alignment horizontal="center" vertical="center"/>
    </xf>
    <xf numFmtId="1" fontId="31" fillId="0" borderId="0" xfId="0" applyNumberFormat="1" applyFont="1"/>
    <xf numFmtId="1" fontId="27" fillId="5" borderId="0" xfId="0" applyNumberFormat="1" applyFont="1" applyFill="1" applyBorder="1" applyAlignment="1">
      <alignment horizontal="center"/>
    </xf>
    <xf numFmtId="1" fontId="27" fillId="5" borderId="19" xfId="0" applyNumberFormat="1" applyFont="1" applyFill="1" applyBorder="1" applyAlignment="1">
      <alignment horizontal="center"/>
    </xf>
    <xf numFmtId="1" fontId="27" fillId="5" borderId="2" xfId="0" applyNumberFormat="1" applyFont="1" applyFill="1" applyBorder="1" applyAlignment="1">
      <alignment horizontal="center"/>
    </xf>
    <xf numFmtId="1" fontId="20" fillId="5" borderId="56" xfId="0" applyNumberFormat="1" applyFont="1" applyFill="1" applyBorder="1" applyAlignment="1">
      <alignment horizontal="center" vertical="center" wrapText="1"/>
    </xf>
    <xf numFmtId="1" fontId="27" fillId="29" borderId="35" xfId="0" applyNumberFormat="1" applyFont="1" applyFill="1" applyBorder="1" applyAlignment="1">
      <alignment horizontal="center"/>
    </xf>
    <xf numFmtId="1" fontId="27" fillId="0" borderId="35" xfId="0" applyNumberFormat="1" applyFont="1" applyFill="1" applyBorder="1" applyAlignment="1">
      <alignment horizontal="center"/>
    </xf>
    <xf numFmtId="1" fontId="14" fillId="4" borderId="35" xfId="0" applyNumberFormat="1" applyFont="1" applyFill="1" applyBorder="1" applyAlignment="1">
      <alignment horizontal="center" vertical="center" wrapText="1"/>
    </xf>
    <xf numFmtId="1" fontId="14" fillId="0" borderId="35" xfId="0" applyNumberFormat="1" applyFont="1" applyFill="1" applyBorder="1" applyAlignment="1">
      <alignment horizontal="center" vertical="center" wrapText="1"/>
    </xf>
    <xf numFmtId="1" fontId="6" fillId="0" borderId="35" xfId="0" applyNumberFormat="1" applyFont="1" applyFill="1" applyBorder="1" applyAlignment="1">
      <alignment horizontal="center"/>
    </xf>
    <xf numFmtId="1" fontId="11" fillId="4" borderId="35" xfId="0" applyNumberFormat="1" applyFont="1" applyFill="1" applyBorder="1" applyAlignment="1">
      <alignment horizontal="center" vertical="center" wrapText="1"/>
    </xf>
    <xf numFmtId="1" fontId="27" fillId="21" borderId="35" xfId="0" applyNumberFormat="1" applyFont="1" applyFill="1" applyBorder="1" applyAlignment="1">
      <alignment horizontal="center"/>
    </xf>
    <xf numFmtId="1" fontId="14" fillId="4" borderId="53" xfId="0" applyNumberFormat="1" applyFont="1" applyFill="1" applyBorder="1" applyAlignment="1">
      <alignment horizontal="center" vertical="center" wrapText="1"/>
    </xf>
    <xf numFmtId="1" fontId="27" fillId="24" borderId="35" xfId="0" applyNumberFormat="1" applyFont="1" applyFill="1" applyBorder="1" applyAlignment="1">
      <alignment horizontal="center"/>
    </xf>
    <xf numFmtId="1" fontId="20" fillId="6" borderId="35" xfId="0" applyNumberFormat="1" applyFont="1" applyFill="1" applyBorder="1" applyAlignment="1">
      <alignment horizontal="left" vertical="center" wrapText="1"/>
    </xf>
    <xf numFmtId="1" fontId="27" fillId="6" borderId="35" xfId="0" applyNumberFormat="1" applyFont="1" applyFill="1" applyBorder="1" applyAlignment="1">
      <alignment horizontal="center" vertical="center" wrapText="1"/>
    </xf>
    <xf numFmtId="1" fontId="27" fillId="0" borderId="35" xfId="0" applyNumberFormat="1" applyFont="1" applyFill="1" applyBorder="1" applyAlignment="1">
      <alignment horizontal="center" vertical="center" wrapText="1"/>
    </xf>
    <xf numFmtId="1" fontId="14" fillId="20" borderId="53" xfId="0" applyNumberFormat="1" applyFont="1" applyFill="1" applyBorder="1" applyAlignment="1">
      <alignment horizontal="center" vertical="center" wrapText="1"/>
    </xf>
    <xf numFmtId="1" fontId="14" fillId="0" borderId="53" xfId="0" applyNumberFormat="1" applyFont="1" applyFill="1" applyBorder="1" applyAlignment="1">
      <alignment horizontal="center" vertical="center" wrapText="1"/>
    </xf>
    <xf numFmtId="1" fontId="27" fillId="0" borderId="53" xfId="0" applyNumberFormat="1" applyFont="1" applyFill="1" applyBorder="1" applyAlignment="1">
      <alignment horizontal="center"/>
    </xf>
    <xf numFmtId="1" fontId="14" fillId="4" borderId="54" xfId="0" applyNumberFormat="1" applyFont="1" applyFill="1" applyBorder="1" applyAlignment="1">
      <alignment horizontal="center" vertical="center" wrapText="1"/>
    </xf>
    <xf numFmtId="1" fontId="27" fillId="16" borderId="0" xfId="0" applyNumberFormat="1" applyFont="1" applyFill="1" applyBorder="1" applyAlignment="1">
      <alignment horizontal="center"/>
    </xf>
    <xf numFmtId="1" fontId="27" fillId="0" borderId="0" xfId="0" applyNumberFormat="1" applyFont="1" applyBorder="1" applyAlignment="1">
      <alignment horizontal="center"/>
    </xf>
    <xf numFmtId="1" fontId="27" fillId="0" borderId="0" xfId="0" applyNumberFormat="1" applyFont="1" applyFill="1" applyBorder="1" applyAlignment="1">
      <alignment horizontal="center"/>
    </xf>
    <xf numFmtId="1" fontId="27" fillId="0" borderId="25" xfId="0" applyNumberFormat="1" applyFont="1" applyBorder="1" applyAlignment="1">
      <alignment horizontal="center"/>
    </xf>
    <xf numFmtId="1" fontId="27" fillId="0" borderId="0" xfId="0" applyNumberFormat="1" applyFont="1" applyAlignment="1">
      <alignment horizontal="center"/>
    </xf>
    <xf numFmtId="1" fontId="31" fillId="0" borderId="0" xfId="0" applyNumberFormat="1" applyFont="1" applyFill="1" applyAlignment="1">
      <alignment horizontal="center"/>
    </xf>
    <xf numFmtId="1" fontId="31" fillId="0" borderId="7" xfId="0" applyNumberFormat="1" applyFont="1" applyFill="1" applyBorder="1" applyAlignment="1">
      <alignment horizontal="center"/>
    </xf>
    <xf numFmtId="1" fontId="31" fillId="20" borderId="7" xfId="0" applyNumberFormat="1" applyFont="1" applyFill="1" applyBorder="1" applyAlignment="1">
      <alignment horizontal="center"/>
    </xf>
    <xf numFmtId="1" fontId="31" fillId="0" borderId="96" xfId="0" applyNumberFormat="1" applyFont="1" applyFill="1" applyBorder="1" applyAlignment="1">
      <alignment horizontal="center"/>
    </xf>
    <xf numFmtId="1" fontId="31" fillId="16" borderId="0" xfId="0" applyNumberFormat="1" applyFont="1" applyFill="1" applyAlignment="1">
      <alignment horizontal="center"/>
    </xf>
    <xf numFmtId="1" fontId="21" fillId="4" borderId="7" xfId="0" applyNumberFormat="1" applyFont="1" applyFill="1" applyBorder="1" applyAlignment="1">
      <alignment horizontal="center" vertical="center" wrapText="1"/>
    </xf>
    <xf numFmtId="1" fontId="31" fillId="5" borderId="93" xfId="0" applyNumberFormat="1" applyFont="1" applyFill="1" applyBorder="1" applyAlignment="1">
      <alignment horizontal="center" vertical="center" wrapText="1"/>
    </xf>
    <xf numFmtId="1" fontId="31" fillId="0" borderId="7" xfId="0" applyNumberFormat="1" applyFont="1" applyFill="1" applyBorder="1" applyAlignment="1">
      <alignment horizontal="right"/>
    </xf>
    <xf numFmtId="167" fontId="11"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1" fillId="0" borderId="0" xfId="0" applyNumberFormat="1" applyFont="1" applyFill="1"/>
    <xf numFmtId="3" fontId="31" fillId="0" borderId="0" xfId="0" applyNumberFormat="1" applyFont="1" applyAlignment="1"/>
    <xf numFmtId="3" fontId="31" fillId="0" borderId="7" xfId="0" applyNumberFormat="1" applyFont="1" applyFill="1" applyBorder="1"/>
    <xf numFmtId="3" fontId="34" fillId="0" borderId="7" xfId="0" applyNumberFormat="1" applyFont="1" applyFill="1" applyBorder="1"/>
    <xf numFmtId="3" fontId="31" fillId="20" borderId="7" xfId="0" applyNumberFormat="1" applyFont="1" applyFill="1" applyBorder="1"/>
    <xf numFmtId="3" fontId="31" fillId="0" borderId="96" xfId="0" applyNumberFormat="1" applyFont="1" applyFill="1" applyBorder="1"/>
    <xf numFmtId="3" fontId="31" fillId="16" borderId="0" xfId="0" applyNumberFormat="1" applyFont="1" applyFill="1"/>
    <xf numFmtId="3" fontId="31" fillId="0" borderId="0" xfId="0" applyNumberFormat="1" applyFont="1" applyAlignment="1">
      <alignment horizontal="center"/>
    </xf>
    <xf numFmtId="1" fontId="0" fillId="0" borderId="0" xfId="0" applyNumberFormat="1" applyAlignment="1">
      <alignment horizontal="left"/>
    </xf>
    <xf numFmtId="1" fontId="20" fillId="5" borderId="93" xfId="0" applyNumberFormat="1" applyFont="1" applyFill="1" applyBorder="1" applyAlignment="1">
      <alignment horizontal="left" vertical="center" wrapText="1"/>
    </xf>
    <xf numFmtId="1" fontId="16" fillId="0" borderId="7" xfId="0" applyNumberFormat="1" applyFont="1" applyFill="1" applyBorder="1" applyAlignment="1">
      <alignment horizontal="left"/>
    </xf>
    <xf numFmtId="1" fontId="10" fillId="0" borderId="7" xfId="0" applyNumberFormat="1" applyFont="1" applyFill="1" applyBorder="1" applyAlignment="1">
      <alignment horizontal="left" vertical="center"/>
    </xf>
    <xf numFmtId="1" fontId="14" fillId="9" borderId="7" xfId="0" applyNumberFormat="1" applyFont="1" applyFill="1" applyBorder="1" applyAlignment="1">
      <alignment horizontal="left" vertical="center" wrapText="1"/>
    </xf>
    <xf numFmtId="1" fontId="10" fillId="0" borderId="7" xfId="0" applyNumberFormat="1" applyFont="1" applyFill="1" applyBorder="1" applyAlignment="1">
      <alignment horizontal="left"/>
    </xf>
    <xf numFmtId="1" fontId="14" fillId="4" borderId="7" xfId="0" applyNumberFormat="1" applyFont="1" applyFill="1" applyBorder="1" applyAlignment="1">
      <alignment horizontal="left" vertical="center" wrapText="1"/>
    </xf>
    <xf numFmtId="1" fontId="0" fillId="0" borderId="7" xfId="0" applyNumberFormat="1" applyFill="1" applyBorder="1" applyAlignment="1">
      <alignment horizontal="left"/>
    </xf>
    <xf numFmtId="1" fontId="0" fillId="0" borderId="96" xfId="0" applyNumberFormat="1" applyBorder="1" applyAlignment="1">
      <alignment horizontal="left"/>
    </xf>
    <xf numFmtId="1" fontId="0" fillId="0" borderId="0" xfId="0" applyNumberFormat="1" applyAlignment="1">
      <alignment horizontal="left" vertical="center"/>
    </xf>
    <xf numFmtId="1" fontId="31" fillId="0" borderId="0" xfId="0" applyNumberFormat="1" applyFont="1" applyAlignment="1">
      <alignment horizontal="left"/>
    </xf>
    <xf numFmtId="169" fontId="11" fillId="27" borderId="3" xfId="0" applyNumberFormat="1" applyFont="1" applyFill="1" applyBorder="1" applyAlignment="1">
      <alignment horizontal="center" vertical="center" wrapText="1"/>
    </xf>
    <xf numFmtId="3" fontId="11" fillId="27" borderId="3" xfId="0" applyNumberFormat="1" applyFont="1" applyFill="1" applyBorder="1" applyAlignment="1">
      <alignment horizontal="center" vertical="center" wrapText="1"/>
    </xf>
    <xf numFmtId="1" fontId="14" fillId="27" borderId="7" xfId="0" applyNumberFormat="1" applyFont="1" applyFill="1" applyBorder="1" applyAlignment="1">
      <alignment horizontal="center" vertical="center" wrapText="1"/>
    </xf>
    <xf numFmtId="3" fontId="14" fillId="27" borderId="29" xfId="0" applyNumberFormat="1" applyFont="1" applyFill="1" applyBorder="1" applyAlignment="1">
      <alignment horizontal="center" vertical="center" wrapText="1"/>
    </xf>
    <xf numFmtId="3" fontId="14" fillId="27" borderId="35" xfId="0" applyNumberFormat="1" applyFont="1" applyFill="1" applyBorder="1" applyAlignment="1">
      <alignment horizontal="center" vertical="center" wrapText="1"/>
    </xf>
    <xf numFmtId="3" fontId="14" fillId="27" borderId="2" xfId="0" applyNumberFormat="1" applyFont="1" applyFill="1" applyBorder="1" applyAlignment="1">
      <alignment horizontal="center" vertical="center" wrapText="1"/>
    </xf>
    <xf numFmtId="3" fontId="0" fillId="27" borderId="35" xfId="0" applyNumberFormat="1" applyFill="1" applyBorder="1" applyAlignment="1">
      <alignment horizontal="center" vertical="center"/>
    </xf>
    <xf numFmtId="3" fontId="0" fillId="27" borderId="60" xfId="0" applyNumberFormat="1" applyFill="1" applyBorder="1" applyAlignment="1">
      <alignment horizontal="center" vertical="center"/>
    </xf>
    <xf numFmtId="0" fontId="0" fillId="27" borderId="0" xfId="0" applyFill="1"/>
    <xf numFmtId="0" fontId="0" fillId="27" borderId="13" xfId="0" applyFill="1" applyBorder="1" applyAlignment="1">
      <alignment horizontal="center"/>
    </xf>
    <xf numFmtId="0" fontId="0" fillId="27" borderId="7" xfId="0" applyFill="1" applyBorder="1"/>
    <xf numFmtId="1" fontId="0" fillId="27" borderId="7" xfId="0" applyNumberFormat="1" applyFill="1" applyBorder="1"/>
    <xf numFmtId="3" fontId="0" fillId="27" borderId="7" xfId="0" applyNumberFormat="1" applyFill="1" applyBorder="1"/>
    <xf numFmtId="3" fontId="0" fillId="27" borderId="35" xfId="0" applyNumberFormat="1" applyFill="1" applyBorder="1"/>
    <xf numFmtId="3" fontId="26" fillId="0" borderId="3" xfId="0" applyNumberFormat="1" applyFont="1" applyFill="1" applyBorder="1" applyAlignment="1">
      <alignment horizontal="right" vertical="center"/>
    </xf>
    <xf numFmtId="1" fontId="26" fillId="0" borderId="3" xfId="0" applyNumberFormat="1" applyFont="1" applyFill="1" applyBorder="1" applyAlignment="1">
      <alignment horizontal="left" vertical="center"/>
    </xf>
    <xf numFmtId="166" fontId="14" fillId="11" borderId="7" xfId="0" applyNumberFormat="1" applyFont="1" applyFill="1" applyBorder="1" applyAlignment="1">
      <alignment horizontal="center" vertical="center" wrapText="1"/>
    </xf>
    <xf numFmtId="166" fontId="14" fillId="11" borderId="35" xfId="0" applyNumberFormat="1" applyFont="1" applyFill="1" applyBorder="1" applyAlignment="1">
      <alignment horizontal="center" vertical="center" wrapText="1"/>
    </xf>
    <xf numFmtId="0" fontId="64" fillId="64" borderId="0" xfId="0" applyFont="1" applyFill="1" applyAlignment="1">
      <alignment horizontal="center" vertical="center"/>
    </xf>
    <xf numFmtId="0" fontId="21" fillId="64" borderId="0" xfId="0" applyFont="1" applyFill="1" applyAlignment="1">
      <alignment vertical="center"/>
    </xf>
    <xf numFmtId="0" fontId="0" fillId="64" borderId="1" xfId="0" applyFill="1" applyBorder="1" applyAlignment="1">
      <alignment vertical="center" wrapText="1"/>
    </xf>
    <xf numFmtId="3" fontId="0" fillId="64" borderId="1" xfId="0" applyNumberFormat="1" applyFill="1" applyBorder="1" applyAlignment="1">
      <alignment vertical="center"/>
    </xf>
    <xf numFmtId="10" fontId="21" fillId="64" borderId="31" xfId="0" applyNumberFormat="1" applyFont="1" applyFill="1" applyBorder="1" applyAlignment="1">
      <alignment horizontal="left" vertical="center"/>
    </xf>
    <xf numFmtId="9" fontId="21" fillId="64" borderId="1" xfId="0" applyNumberFormat="1" applyFont="1" applyFill="1" applyBorder="1" applyAlignment="1">
      <alignment horizontal="center" vertical="center"/>
    </xf>
    <xf numFmtId="2" fontId="21" fillId="64" borderId="1" xfId="0" applyNumberFormat="1" applyFont="1" applyFill="1" applyBorder="1" applyAlignment="1">
      <alignment horizontal="center" vertical="center"/>
    </xf>
    <xf numFmtId="10" fontId="21" fillId="64" borderId="1" xfId="0" applyNumberFormat="1" applyFont="1" applyFill="1" applyBorder="1" applyAlignment="1">
      <alignment horizontal="left" vertical="center"/>
    </xf>
    <xf numFmtId="10" fontId="21" fillId="64" borderId="1" xfId="0" applyNumberFormat="1" applyFont="1" applyFill="1" applyBorder="1" applyAlignment="1">
      <alignment vertical="center"/>
    </xf>
    <xf numFmtId="0" fontId="0" fillId="64" borderId="1" xfId="0" applyFill="1" applyBorder="1" applyAlignment="1">
      <alignment vertical="center"/>
    </xf>
    <xf numFmtId="0" fontId="14" fillId="62" borderId="41" xfId="0" applyFont="1" applyFill="1" applyBorder="1" applyAlignment="1">
      <alignment horizontal="center" vertical="center"/>
    </xf>
    <xf numFmtId="3" fontId="14" fillId="62" borderId="41" xfId="0" applyNumberFormat="1" applyFont="1" applyFill="1" applyBorder="1" applyAlignment="1">
      <alignment horizontal="center" vertical="center"/>
    </xf>
    <xf numFmtId="173" fontId="14" fillId="62" borderId="41" xfId="0" applyNumberFormat="1" applyFont="1" applyFill="1" applyBorder="1" applyAlignment="1">
      <alignment horizontal="center" vertical="center"/>
    </xf>
    <xf numFmtId="10" fontId="21" fillId="62" borderId="31" xfId="0" applyNumberFormat="1" applyFont="1" applyFill="1" applyBorder="1" applyAlignment="1">
      <alignment horizontal="left" vertical="center"/>
    </xf>
    <xf numFmtId="9" fontId="21" fillId="62" borderId="1" xfId="0" applyNumberFormat="1" applyFont="1" applyFill="1" applyBorder="1" applyAlignment="1">
      <alignment horizontal="center" vertical="center"/>
    </xf>
    <xf numFmtId="2" fontId="21" fillId="62" borderId="1" xfId="0" applyNumberFormat="1" applyFont="1" applyFill="1" applyBorder="1" applyAlignment="1">
      <alignment horizontal="center" vertical="center"/>
    </xf>
    <xf numFmtId="10" fontId="21" fillId="62" borderId="1" xfId="0" applyNumberFormat="1" applyFont="1" applyFill="1" applyBorder="1" applyAlignment="1">
      <alignment horizontal="left" vertical="center"/>
    </xf>
    <xf numFmtId="10" fontId="21" fillId="62" borderId="1" xfId="0" applyNumberFormat="1" applyFont="1" applyFill="1" applyBorder="1" applyAlignment="1">
      <alignment vertical="center"/>
    </xf>
    <xf numFmtId="0" fontId="0" fillId="64" borderId="0" xfId="0" applyFill="1" applyBorder="1" applyAlignment="1">
      <alignment vertical="center" wrapText="1"/>
    </xf>
    <xf numFmtId="3" fontId="0" fillId="64" borderId="0" xfId="0" applyNumberFormat="1" applyFill="1" applyBorder="1" applyAlignment="1">
      <alignment vertical="center"/>
    </xf>
    <xf numFmtId="10" fontId="21" fillId="64" borderId="0" xfId="0" applyNumberFormat="1" applyFont="1" applyFill="1" applyBorder="1" applyAlignment="1">
      <alignment horizontal="left" vertical="center"/>
    </xf>
    <xf numFmtId="9" fontId="21" fillId="64" borderId="0" xfId="0" applyNumberFormat="1" applyFont="1" applyFill="1" applyBorder="1" applyAlignment="1">
      <alignment horizontal="center" vertical="center"/>
    </xf>
    <xf numFmtId="2" fontId="21" fillId="64" borderId="0" xfId="0" applyNumberFormat="1" applyFont="1" applyFill="1" applyBorder="1" applyAlignment="1">
      <alignment horizontal="center" vertical="center"/>
    </xf>
    <xf numFmtId="10" fontId="21" fillId="64" borderId="0" xfId="0" applyNumberFormat="1" applyFont="1" applyFill="1" applyBorder="1" applyAlignment="1">
      <alignment vertical="center"/>
    </xf>
    <xf numFmtId="10" fontId="21" fillId="64" borderId="31" xfId="0" applyNumberFormat="1" applyFont="1" applyFill="1" applyBorder="1" applyAlignment="1">
      <alignment horizontal="right" vertical="center"/>
    </xf>
    <xf numFmtId="10" fontId="21" fillId="64" borderId="1" xfId="0" applyNumberFormat="1" applyFont="1" applyFill="1" applyBorder="1" applyAlignment="1">
      <alignment horizontal="right" vertical="center"/>
    </xf>
    <xf numFmtId="10" fontId="21" fillId="62" borderId="31" xfId="0" applyNumberFormat="1" applyFont="1" applyFill="1" applyBorder="1" applyAlignment="1">
      <alignment horizontal="right" vertical="center"/>
    </xf>
    <xf numFmtId="10" fontId="21" fillId="62" borderId="1" xfId="0" applyNumberFormat="1" applyFont="1" applyFill="1" applyBorder="1" applyAlignment="1">
      <alignment horizontal="right" vertical="center"/>
    </xf>
    <xf numFmtId="10" fontId="21" fillId="20" borderId="31" xfId="0" applyNumberFormat="1" applyFont="1" applyFill="1" applyBorder="1" applyAlignment="1">
      <alignment horizontal="right" vertical="center"/>
    </xf>
    <xf numFmtId="9" fontId="21" fillId="20" borderId="1" xfId="0" applyNumberFormat="1" applyFont="1" applyFill="1" applyBorder="1" applyAlignment="1">
      <alignment horizontal="center" vertical="center"/>
    </xf>
    <xf numFmtId="2" fontId="21" fillId="20" borderId="1" xfId="0" applyNumberFormat="1" applyFont="1" applyFill="1" applyBorder="1" applyAlignment="1">
      <alignment horizontal="center" vertical="center"/>
    </xf>
    <xf numFmtId="10" fontId="21" fillId="20" borderId="1" xfId="0" applyNumberFormat="1" applyFont="1" applyFill="1" applyBorder="1" applyAlignment="1">
      <alignment horizontal="right" vertical="center"/>
    </xf>
    <xf numFmtId="10" fontId="21" fillId="20" borderId="1" xfId="0" applyNumberFormat="1" applyFont="1" applyFill="1" applyBorder="1" applyAlignment="1">
      <alignment vertical="center"/>
    </xf>
    <xf numFmtId="3" fontId="0" fillId="64" borderId="1" xfId="0" applyNumberFormat="1" applyFill="1" applyBorder="1" applyAlignment="1">
      <alignment vertical="center" wrapText="1"/>
    </xf>
    <xf numFmtId="3" fontId="0" fillId="64" borderId="41" xfId="0" applyNumberFormat="1" applyFill="1" applyBorder="1" applyAlignment="1">
      <alignment vertical="center"/>
    </xf>
    <xf numFmtId="10" fontId="21" fillId="62" borderId="100" xfId="0" applyNumberFormat="1" applyFont="1" applyFill="1" applyBorder="1" applyAlignment="1">
      <alignment horizontal="right" vertical="center"/>
    </xf>
    <xf numFmtId="0" fontId="21" fillId="0" borderId="0" xfId="0" applyFont="1" applyFill="1" applyAlignment="1">
      <alignment vertical="center"/>
    </xf>
    <xf numFmtId="0" fontId="14" fillId="67" borderId="1" xfId="0" applyFont="1" applyFill="1" applyBorder="1" applyAlignment="1">
      <alignment horizontal="center" vertical="center"/>
    </xf>
    <xf numFmtId="0" fontId="21" fillId="0" borderId="1" xfId="0" applyFont="1" applyFill="1" applyBorder="1" applyAlignment="1">
      <alignment vertical="center"/>
    </xf>
    <xf numFmtId="168" fontId="21" fillId="0" borderId="1" xfId="0" applyNumberFormat="1" applyFont="1" applyFill="1" applyBorder="1" applyAlignment="1">
      <alignment vertical="center"/>
    </xf>
    <xf numFmtId="167" fontId="21" fillId="0" borderId="1" xfId="0" applyNumberFormat="1" applyFont="1" applyFill="1" applyBorder="1" applyAlignment="1">
      <alignment vertical="center"/>
    </xf>
    <xf numFmtId="0" fontId="14" fillId="62" borderId="1" xfId="0" applyFont="1" applyFill="1" applyBorder="1" applyAlignment="1">
      <alignment horizontal="center" vertical="center"/>
    </xf>
    <xf numFmtId="168" fontId="14" fillId="62" borderId="1" xfId="0" applyNumberFormat="1" applyFont="1" applyFill="1" applyBorder="1" applyAlignment="1">
      <alignment vertical="center"/>
    </xf>
    <xf numFmtId="168" fontId="0" fillId="0" borderId="0" xfId="0" applyNumberFormat="1" applyAlignment="1">
      <alignment vertical="center"/>
    </xf>
    <xf numFmtId="0" fontId="21" fillId="0" borderId="1" xfId="0" applyFont="1" applyBorder="1" applyAlignment="1">
      <alignment horizontal="left" vertical="center" wrapText="1"/>
    </xf>
    <xf numFmtId="168" fontId="14" fillId="64" borderId="1" xfId="0" applyNumberFormat="1" applyFont="1" applyFill="1" applyBorder="1" applyAlignment="1">
      <alignment vertical="center"/>
    </xf>
    <xf numFmtId="0" fontId="14" fillId="0" borderId="0" xfId="0" applyFont="1" applyFill="1" applyBorder="1" applyAlignment="1">
      <alignment vertical="center"/>
    </xf>
    <xf numFmtId="168" fontId="14" fillId="0" borderId="0" xfId="0" applyNumberFormat="1" applyFont="1" applyFill="1" applyBorder="1" applyAlignment="1">
      <alignment vertical="center"/>
    </xf>
    <xf numFmtId="10" fontId="14" fillId="0" borderId="0" xfId="0" applyNumberFormat="1" applyFont="1" applyFill="1" applyBorder="1" applyAlignment="1">
      <alignment horizontal="right" vertical="center"/>
    </xf>
    <xf numFmtId="0" fontId="14" fillId="64" borderId="1" xfId="0" applyFont="1" applyFill="1" applyBorder="1" applyAlignment="1">
      <alignment horizontal="left" vertical="center" wrapText="1"/>
    </xf>
    <xf numFmtId="168" fontId="11" fillId="64" borderId="1" xfId="0" applyNumberFormat="1" applyFont="1" applyFill="1" applyBorder="1" applyAlignment="1">
      <alignment vertical="center"/>
    </xf>
    <xf numFmtId="3" fontId="11" fillId="25" borderId="3" xfId="0" applyNumberFormat="1" applyFont="1" applyFill="1" applyBorder="1" applyAlignment="1">
      <alignment horizontal="center" vertical="center" wrapText="1"/>
    </xf>
    <xf numFmtId="3" fontId="14" fillId="25" borderId="35" xfId="0" applyNumberFormat="1" applyFont="1" applyFill="1" applyBorder="1" applyAlignment="1">
      <alignment horizontal="center" vertical="center" wrapText="1"/>
    </xf>
    <xf numFmtId="3" fontId="14" fillId="25" borderId="2" xfId="0" applyNumberFormat="1" applyFont="1" applyFill="1" applyBorder="1" applyAlignment="1">
      <alignment horizontal="center" vertical="center" wrapText="1"/>
    </xf>
    <xf numFmtId="3" fontId="14" fillId="25" borderId="13" xfId="0" applyNumberFormat="1" applyFont="1" applyFill="1" applyBorder="1" applyAlignment="1">
      <alignment horizontal="center" vertical="center" wrapText="1"/>
    </xf>
    <xf numFmtId="3" fontId="14" fillId="25" borderId="7" xfId="0" applyNumberFormat="1" applyFont="1" applyFill="1" applyBorder="1" applyAlignment="1">
      <alignment horizontal="center" vertical="center" wrapText="1"/>
    </xf>
    <xf numFmtId="0" fontId="65" fillId="65" borderId="55" xfId="0" applyFont="1" applyFill="1" applyBorder="1" applyAlignment="1">
      <alignment horizontal="center" vertical="center" wrapText="1"/>
    </xf>
    <xf numFmtId="0" fontId="65" fillId="65" borderId="1"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10" fillId="64" borderId="41" xfId="0" applyFont="1" applyFill="1" applyBorder="1" applyAlignment="1">
      <alignment vertical="center" wrapText="1"/>
    </xf>
    <xf numFmtId="0" fontId="10" fillId="64" borderId="1" xfId="0" applyFont="1" applyFill="1" applyBorder="1" applyAlignment="1">
      <alignment vertical="center" wrapText="1"/>
    </xf>
    <xf numFmtId="3" fontId="0" fillId="20" borderId="1" xfId="0" applyNumberFormat="1" applyFill="1" applyBorder="1" applyAlignment="1">
      <alignment horizontal="center" vertical="center"/>
    </xf>
    <xf numFmtId="0" fontId="11" fillId="20" borderId="1" xfId="0" applyFont="1" applyFill="1" applyBorder="1" applyAlignment="1">
      <alignment horizontal="center" vertical="center" wrapText="1"/>
    </xf>
    <xf numFmtId="3" fontId="11" fillId="20" borderId="1" xfId="0" applyNumberFormat="1" applyFont="1" applyFill="1" applyBorder="1" applyAlignment="1">
      <alignment horizontal="center" vertical="center"/>
    </xf>
    <xf numFmtId="0" fontId="14" fillId="67" borderId="1" xfId="0" applyFont="1" applyFill="1" applyBorder="1" applyAlignment="1">
      <alignment horizontal="center" vertical="center"/>
    </xf>
    <xf numFmtId="0" fontId="21" fillId="0" borderId="35" xfId="0" applyFont="1" applyFill="1" applyBorder="1" applyAlignment="1">
      <alignment horizontal="center" vertical="center"/>
    </xf>
    <xf numFmtId="169" fontId="10" fillId="0" borderId="35" xfId="0" applyNumberFormat="1" applyFont="1" applyFill="1" applyBorder="1" applyAlignment="1">
      <alignment horizontal="left"/>
    </xf>
    <xf numFmtId="3" fontId="19" fillId="13" borderId="7" xfId="0" applyNumberFormat="1" applyFont="1" applyFill="1" applyBorder="1" applyAlignment="1">
      <alignment horizontal="center" vertical="center"/>
    </xf>
    <xf numFmtId="1" fontId="10" fillId="0" borderId="23" xfId="0" applyNumberFormat="1" applyFont="1" applyFill="1" applyBorder="1" applyAlignment="1">
      <alignment horizontal="center"/>
    </xf>
    <xf numFmtId="1" fontId="21" fillId="0" borderId="3" xfId="0" applyNumberFormat="1" applyFont="1" applyFill="1" applyBorder="1" applyAlignment="1">
      <alignment horizontal="center" vertical="center" wrapText="1"/>
    </xf>
    <xf numFmtId="3" fontId="21" fillId="0" borderId="14" xfId="0" applyNumberFormat="1" applyFont="1" applyFill="1" applyBorder="1" applyAlignment="1">
      <alignment horizontal="center" vertical="center" wrapText="1"/>
    </xf>
    <xf numFmtId="3" fontId="0" fillId="0" borderId="1" xfId="0" applyNumberFormat="1" applyBorder="1"/>
    <xf numFmtId="166" fontId="28" fillId="11" borderId="35" xfId="0" applyNumberFormat="1" applyFont="1" applyFill="1" applyBorder="1" applyAlignment="1">
      <alignment horizontal="center" vertical="center" wrapText="1"/>
    </xf>
    <xf numFmtId="3" fontId="6" fillId="22" borderId="7" xfId="0" applyNumberFormat="1" applyFont="1" applyFill="1" applyBorder="1" applyAlignment="1">
      <alignment horizontal="center" vertical="center"/>
    </xf>
    <xf numFmtId="3" fontId="15" fillId="22" borderId="7" xfId="0" applyNumberFormat="1" applyFont="1" applyFill="1" applyBorder="1" applyAlignment="1">
      <alignment horizontal="center" vertical="center"/>
    </xf>
    <xf numFmtId="0" fontId="3" fillId="0" borderId="0" xfId="50"/>
    <xf numFmtId="1" fontId="20" fillId="0" borderId="0" xfId="0" applyNumberFormat="1" applyFont="1" applyBorder="1" applyAlignment="1">
      <alignment horizontal="center" vertical="center"/>
    </xf>
    <xf numFmtId="1" fontId="20" fillId="69" borderId="7" xfId="0" applyNumberFormat="1" applyFont="1" applyFill="1" applyBorder="1" applyAlignment="1">
      <alignment horizontal="center" vertical="center" wrapText="1"/>
    </xf>
    <xf numFmtId="3" fontId="20" fillId="69" borderId="29" xfId="0" applyNumberFormat="1" applyFont="1" applyFill="1" applyBorder="1" applyAlignment="1">
      <alignment horizontal="center" vertical="center" wrapText="1"/>
    </xf>
    <xf numFmtId="3" fontId="16" fillId="69" borderId="7" xfId="0" applyNumberFormat="1" applyFont="1" applyFill="1" applyBorder="1" applyAlignment="1">
      <alignment horizontal="center" vertical="center"/>
    </xf>
    <xf numFmtId="169" fontId="16" fillId="69" borderId="35" xfId="0" applyNumberFormat="1" applyFont="1" applyFill="1" applyBorder="1" applyAlignment="1">
      <alignment horizontal="center"/>
    </xf>
    <xf numFmtId="3" fontId="16" fillId="69" borderId="3" xfId="0" applyNumberFormat="1" applyFont="1" applyFill="1" applyBorder="1" applyAlignment="1">
      <alignment horizontal="center" vertical="center"/>
    </xf>
    <xf numFmtId="3" fontId="16" fillId="69" borderId="35" xfId="0" applyNumberFormat="1" applyFont="1" applyFill="1" applyBorder="1" applyAlignment="1">
      <alignment horizontal="center" vertical="center"/>
    </xf>
    <xf numFmtId="3" fontId="16" fillId="69" borderId="60" xfId="0" applyNumberFormat="1" applyFont="1" applyFill="1" applyBorder="1" applyAlignment="1">
      <alignment horizontal="center" vertical="center"/>
    </xf>
    <xf numFmtId="1" fontId="27" fillId="69" borderId="7" xfId="0" applyNumberFormat="1" applyFont="1" applyFill="1" applyBorder="1" applyAlignment="1">
      <alignment horizontal="center" vertical="center" wrapText="1"/>
    </xf>
    <xf numFmtId="3" fontId="27" fillId="69" borderId="29" xfId="0" applyNumberFormat="1" applyFont="1" applyFill="1" applyBorder="1" applyAlignment="1">
      <alignment horizontal="center" vertical="center" wrapText="1"/>
    </xf>
    <xf numFmtId="3" fontId="19" fillId="69" borderId="7" xfId="0" applyNumberFormat="1" applyFont="1" applyFill="1" applyBorder="1" applyAlignment="1">
      <alignment horizontal="center" vertical="center"/>
    </xf>
    <xf numFmtId="169" fontId="19" fillId="69" borderId="35" xfId="0" applyNumberFormat="1" applyFont="1" applyFill="1" applyBorder="1" applyAlignment="1">
      <alignment horizontal="center"/>
    </xf>
    <xf numFmtId="3" fontId="0" fillId="69" borderId="7" xfId="0" applyNumberFormat="1" applyFill="1" applyBorder="1" applyAlignment="1">
      <alignment horizontal="center" vertical="center"/>
    </xf>
    <xf numFmtId="3" fontId="0" fillId="69" borderId="35" xfId="0" applyNumberFormat="1" applyFill="1" applyBorder="1" applyAlignment="1">
      <alignment horizontal="center" vertical="center"/>
    </xf>
    <xf numFmtId="3" fontId="0" fillId="69" borderId="60" xfId="0" applyNumberFormat="1" applyFill="1" applyBorder="1" applyAlignment="1">
      <alignment horizontal="center" vertical="center"/>
    </xf>
    <xf numFmtId="0" fontId="16" fillId="69" borderId="13" xfId="0" applyFont="1" applyFill="1" applyBorder="1" applyAlignment="1">
      <alignment horizontal="center"/>
    </xf>
    <xf numFmtId="0" fontId="16" fillId="69" borderId="7" xfId="0" applyFont="1" applyFill="1" applyBorder="1"/>
    <xf numFmtId="1" fontId="16" fillId="69" borderId="7" xfId="0" applyNumberFormat="1" applyFont="1" applyFill="1" applyBorder="1"/>
    <xf numFmtId="3" fontId="16" fillId="69" borderId="7" xfId="0" applyNumberFormat="1" applyFont="1" applyFill="1" applyBorder="1"/>
    <xf numFmtId="3" fontId="16" fillId="69" borderId="35" xfId="0" applyNumberFormat="1" applyFont="1" applyFill="1" applyBorder="1"/>
    <xf numFmtId="3" fontId="17" fillId="23" borderId="97" xfId="0" applyNumberFormat="1" applyFont="1" applyFill="1" applyBorder="1" applyAlignment="1">
      <alignment horizontal="center" vertical="center"/>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3" fontId="34" fillId="5" borderId="94" xfId="0" applyNumberFormat="1" applyFont="1" applyFill="1" applyBorder="1" applyAlignment="1">
      <alignment horizontal="center" vertical="center" wrapText="1"/>
    </xf>
    <xf numFmtId="3" fontId="14" fillId="23" borderId="50" xfId="0" applyNumberFormat="1" applyFont="1" applyFill="1" applyBorder="1" applyAlignment="1">
      <alignment horizontal="center" vertical="center" wrapText="1"/>
    </xf>
    <xf numFmtId="3" fontId="27" fillId="29" borderId="13" xfId="0" applyNumberFormat="1" applyFont="1" applyFill="1" applyBorder="1" applyAlignment="1">
      <alignment horizontal="center" vertical="center"/>
    </xf>
    <xf numFmtId="3" fontId="33" fillId="13" borderId="22" xfId="2" applyNumberFormat="1" applyFont="1" applyFill="1" applyBorder="1" applyAlignment="1">
      <alignment horizontal="left" vertical="center"/>
    </xf>
    <xf numFmtId="3" fontId="27" fillId="21" borderId="13" xfId="0" applyNumberFormat="1" applyFont="1" applyFill="1" applyBorder="1" applyAlignment="1">
      <alignment horizontal="center" vertical="center"/>
    </xf>
    <xf numFmtId="3" fontId="27" fillId="24" borderId="13" xfId="0" applyNumberFormat="1" applyFont="1" applyFill="1" applyBorder="1" applyAlignment="1">
      <alignment horizontal="center" vertical="center"/>
    </xf>
    <xf numFmtId="3" fontId="27" fillId="24" borderId="60" xfId="0" applyNumberFormat="1" applyFont="1" applyFill="1" applyBorder="1" applyAlignment="1">
      <alignment horizontal="center" vertical="center"/>
    </xf>
    <xf numFmtId="0" fontId="20" fillId="6" borderId="13" xfId="0" applyFont="1" applyFill="1" applyBorder="1" applyAlignment="1">
      <alignment horizontal="left" vertical="center" wrapText="1"/>
    </xf>
    <xf numFmtId="0" fontId="27" fillId="6" borderId="13" xfId="0" applyFont="1" applyFill="1" applyBorder="1" applyAlignment="1">
      <alignment horizontal="center" vertical="center" wrapText="1"/>
    </xf>
    <xf numFmtId="3" fontId="14" fillId="4" borderId="96" xfId="0" applyNumberFormat="1" applyFont="1" applyFill="1" applyBorder="1" applyAlignment="1">
      <alignment horizontal="center" vertical="center" wrapText="1"/>
    </xf>
    <xf numFmtId="3" fontId="14" fillId="4" borderId="97" xfId="0" applyNumberFormat="1" applyFont="1" applyFill="1" applyBorder="1" applyAlignment="1">
      <alignment horizontal="center" vertical="center" wrapText="1"/>
    </xf>
    <xf numFmtId="3" fontId="10" fillId="23" borderId="7" xfId="0" applyNumberFormat="1" applyFont="1" applyFill="1" applyBorder="1" applyAlignment="1">
      <alignment horizontal="center" vertical="center"/>
    </xf>
    <xf numFmtId="0" fontId="10" fillId="23" borderId="13" xfId="0" applyFont="1" applyFill="1" applyBorder="1" applyAlignment="1">
      <alignment horizontal="center" vertical="center"/>
    </xf>
    <xf numFmtId="49" fontId="10" fillId="0" borderId="35" xfId="0" applyNumberFormat="1" applyFont="1" applyFill="1" applyBorder="1" applyAlignment="1">
      <alignment horizontal="center"/>
    </xf>
    <xf numFmtId="167" fontId="11" fillId="0" borderId="0" xfId="1" applyNumberFormat="1" applyFont="1" applyBorder="1" applyAlignment="1">
      <alignment horizontal="center" wrapText="1"/>
    </xf>
    <xf numFmtId="174" fontId="21" fillId="0" borderId="35" xfId="1" applyNumberFormat="1" applyFont="1" applyFill="1" applyBorder="1" applyAlignment="1">
      <alignment horizontal="center" vertical="center" wrapText="1"/>
    </xf>
    <xf numFmtId="0" fontId="0" fillId="5" borderId="0" xfId="0" applyFill="1" applyBorder="1" applyAlignment="1">
      <alignment horizontal="center"/>
    </xf>
    <xf numFmtId="0" fontId="0" fillId="5" borderId="19" xfId="0" applyFill="1" applyBorder="1" applyAlignment="1">
      <alignment horizontal="center"/>
    </xf>
    <xf numFmtId="0" fontId="10" fillId="5" borderId="0" xfId="0" applyFont="1" applyFill="1" applyBorder="1" applyAlignment="1">
      <alignment horizontal="center"/>
    </xf>
    <xf numFmtId="0" fontId="10" fillId="5" borderId="19" xfId="0" applyFont="1" applyFill="1" applyBorder="1" applyAlignment="1">
      <alignment horizontal="center"/>
    </xf>
    <xf numFmtId="167" fontId="10" fillId="5" borderId="2" xfId="0" applyNumberFormat="1" applyFont="1" applyFill="1" applyBorder="1" applyAlignment="1">
      <alignment horizontal="center" vertical="center" wrapText="1"/>
    </xf>
    <xf numFmtId="3" fontId="6" fillId="7" borderId="3" xfId="0" applyNumberFormat="1" applyFont="1" applyFill="1" applyBorder="1" applyAlignment="1">
      <alignment horizontal="center" vertical="center"/>
    </xf>
    <xf numFmtId="0" fontId="10" fillId="0" borderId="0" xfId="0" applyFont="1" applyBorder="1" applyAlignment="1">
      <alignment horizontal="center"/>
    </xf>
    <xf numFmtId="3" fontId="10" fillId="5" borderId="0" xfId="0" applyNumberFormat="1" applyFont="1" applyFill="1" applyBorder="1" applyAlignment="1">
      <alignment horizontal="center"/>
    </xf>
    <xf numFmtId="3" fontId="10" fillId="5" borderId="19" xfId="0" applyNumberFormat="1" applyFont="1" applyFill="1" applyBorder="1" applyAlignment="1">
      <alignment horizontal="center"/>
    </xf>
    <xf numFmtId="3" fontId="10" fillId="5" borderId="2" xfId="0" applyNumberFormat="1" applyFont="1" applyFill="1" applyBorder="1" applyAlignment="1">
      <alignment horizontal="center"/>
    </xf>
    <xf numFmtId="3" fontId="15" fillId="23" borderId="7"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wrapText="1"/>
    </xf>
    <xf numFmtId="3" fontId="11" fillId="11" borderId="7"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3" fontId="11" fillId="5" borderId="15" xfId="0" applyNumberFormat="1" applyFont="1" applyFill="1" applyBorder="1" applyAlignment="1">
      <alignment horizontal="center" vertical="center" wrapText="1"/>
    </xf>
    <xf numFmtId="1" fontId="10" fillId="5" borderId="0" xfId="0" applyNumberFormat="1" applyFont="1" applyFill="1" applyBorder="1" applyAlignment="1">
      <alignment horizontal="center"/>
    </xf>
    <xf numFmtId="1" fontId="10" fillId="5" borderId="19" xfId="0" applyNumberFormat="1" applyFont="1" applyFill="1" applyBorder="1" applyAlignment="1">
      <alignment horizontal="center"/>
    </xf>
    <xf numFmtId="1" fontId="10" fillId="5" borderId="2" xfId="0" applyNumberFormat="1" applyFont="1" applyFill="1" applyBorder="1" applyAlignment="1">
      <alignment horizontal="center" vertical="center" wrapText="1"/>
    </xf>
    <xf numFmtId="1" fontId="6" fillId="7" borderId="3" xfId="0" applyNumberFormat="1" applyFont="1" applyFill="1" applyBorder="1" applyAlignment="1">
      <alignment horizontal="center" vertical="center"/>
    </xf>
    <xf numFmtId="1" fontId="10" fillId="0" borderId="0" xfId="0" applyNumberFormat="1" applyFont="1" applyBorder="1" applyAlignment="1">
      <alignment horizontal="center"/>
    </xf>
    <xf numFmtId="1" fontId="10" fillId="5" borderId="2" xfId="0" applyNumberFormat="1" applyFont="1" applyFill="1" applyBorder="1" applyAlignment="1">
      <alignment horizontal="center"/>
    </xf>
    <xf numFmtId="1" fontId="6" fillId="0" borderId="7" xfId="0" applyNumberFormat="1" applyFont="1" applyFill="1" applyBorder="1" applyAlignment="1">
      <alignment horizontal="center" vertical="center"/>
    </xf>
    <xf numFmtId="1" fontId="11" fillId="9" borderId="7" xfId="0" applyNumberFormat="1" applyFont="1" applyFill="1" applyBorder="1" applyAlignment="1">
      <alignment horizontal="center" vertical="center" wrapText="1"/>
    </xf>
    <xf numFmtId="1" fontId="15" fillId="23" borderId="7"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xf>
    <xf numFmtId="1" fontId="11" fillId="4" borderId="7"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1" fontId="11" fillId="0" borderId="0" xfId="1" applyNumberFormat="1" applyFont="1" applyBorder="1" applyAlignment="1">
      <alignment horizontal="center"/>
    </xf>
    <xf numFmtId="1" fontId="11" fillId="5" borderId="55"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11" fillId="9" borderId="47" xfId="1" applyNumberFormat="1" applyFont="1" applyFill="1" applyBorder="1" applyAlignment="1">
      <alignment horizontal="center" wrapText="1"/>
    </xf>
    <xf numFmtId="1" fontId="11" fillId="5" borderId="14" xfId="0" applyNumberFormat="1" applyFont="1" applyFill="1" applyBorder="1" applyAlignment="1">
      <alignment horizontal="center" vertical="center" wrapText="1"/>
    </xf>
    <xf numFmtId="1" fontId="11" fillId="11" borderId="7" xfId="0" applyNumberFormat="1" applyFont="1" applyFill="1" applyBorder="1" applyAlignment="1">
      <alignment horizontal="center" vertical="center" wrapText="1"/>
    </xf>
    <xf numFmtId="1" fontId="6" fillId="7" borderId="90" xfId="0" applyNumberFormat="1" applyFont="1" applyFill="1" applyBorder="1" applyAlignment="1">
      <alignment horizontal="center" vertical="center"/>
    </xf>
    <xf numFmtId="1" fontId="6" fillId="0" borderId="90" xfId="0" applyNumberFormat="1" applyFont="1" applyFill="1" applyBorder="1" applyAlignment="1">
      <alignment horizontal="center" vertical="center"/>
    </xf>
    <xf numFmtId="1" fontId="10" fillId="0" borderId="27" xfId="0" applyNumberFormat="1" applyFont="1" applyFill="1" applyBorder="1" applyAlignment="1">
      <alignment horizontal="center"/>
    </xf>
    <xf numFmtId="1" fontId="11" fillId="9" borderId="23" xfId="0" applyNumberFormat="1" applyFont="1" applyFill="1" applyBorder="1" applyAlignment="1">
      <alignment horizontal="center" vertical="center" wrapText="1"/>
    </xf>
    <xf numFmtId="1" fontId="11" fillId="4" borderId="23" xfId="0" applyNumberFormat="1" applyFont="1" applyFill="1" applyBorder="1" applyAlignment="1">
      <alignment horizontal="center" vertical="center" wrapText="1"/>
    </xf>
    <xf numFmtId="1" fontId="11" fillId="9" borderId="10" xfId="1" applyNumberFormat="1" applyFont="1" applyFill="1" applyBorder="1" applyAlignment="1">
      <alignment horizontal="center" wrapText="1"/>
    </xf>
    <xf numFmtId="0" fontId="0" fillId="5" borderId="2" xfId="0" applyFill="1" applyBorder="1" applyAlignment="1">
      <alignment horizontal="center"/>
    </xf>
    <xf numFmtId="1" fontId="11" fillId="22" borderId="7" xfId="0" applyNumberFormat="1" applyFont="1" applyFill="1" applyBorder="1" applyAlignment="1">
      <alignment horizontal="center" vertical="center"/>
    </xf>
    <xf numFmtId="1" fontId="21" fillId="0" borderId="35" xfId="0" applyNumberFormat="1" applyFont="1" applyFill="1" applyBorder="1" applyAlignment="1">
      <alignment horizontal="center"/>
    </xf>
    <xf numFmtId="3" fontId="0" fillId="23" borderId="13" xfId="0" applyNumberFormat="1" applyFill="1" applyBorder="1" applyAlignment="1">
      <alignment horizontal="center"/>
    </xf>
    <xf numFmtId="3" fontId="21" fillId="23" borderId="13" xfId="0" applyNumberFormat="1" applyFont="1" applyFill="1" applyBorder="1" applyAlignment="1">
      <alignment horizontal="center" vertical="center" wrapText="1"/>
    </xf>
    <xf numFmtId="3" fontId="21" fillId="23" borderId="7" xfId="0" applyNumberFormat="1" applyFont="1" applyFill="1" applyBorder="1" applyAlignment="1">
      <alignment horizontal="center" vertical="center" wrapText="1"/>
    </xf>
    <xf numFmtId="3" fontId="21" fillId="0" borderId="7" xfId="1" applyNumberFormat="1" applyFont="1" applyFill="1" applyBorder="1" applyAlignment="1">
      <alignment horizontal="right" vertical="center" wrapText="1"/>
    </xf>
    <xf numFmtId="1" fontId="10" fillId="0" borderId="7" xfId="0" applyNumberFormat="1" applyFont="1" applyFill="1" applyBorder="1" applyAlignment="1">
      <alignment horizontal="center"/>
    </xf>
    <xf numFmtId="3" fontId="21" fillId="0" borderId="35" xfId="0" applyNumberFormat="1" applyFont="1" applyFill="1" applyBorder="1" applyAlignment="1">
      <alignment horizontal="center" vertical="center" wrapText="1"/>
    </xf>
    <xf numFmtId="0" fontId="6" fillId="13" borderId="13" xfId="0" applyFont="1" applyFill="1" applyBorder="1" applyAlignment="1">
      <alignment horizontal="left" vertical="center"/>
    </xf>
    <xf numFmtId="0" fontId="6" fillId="13" borderId="7" xfId="0" applyFont="1" applyFill="1" applyBorder="1" applyAlignment="1">
      <alignment horizontal="left" vertical="center"/>
    </xf>
    <xf numFmtId="0" fontId="15" fillId="15" borderId="7" xfId="0" applyFont="1" applyFill="1" applyBorder="1" applyAlignment="1">
      <alignment horizontal="left" vertical="center" wrapText="1"/>
    </xf>
    <xf numFmtId="0" fontId="15" fillId="8" borderId="7" xfId="0" applyFont="1" applyFill="1" applyBorder="1" applyAlignment="1">
      <alignment horizontal="left" vertical="center" wrapText="1"/>
    </xf>
    <xf numFmtId="3" fontId="22" fillId="7" borderId="3" xfId="0" applyNumberFormat="1" applyFont="1" applyFill="1" applyBorder="1" applyAlignment="1">
      <alignment horizontal="left" vertical="center" wrapText="1"/>
    </xf>
    <xf numFmtId="0" fontId="34" fillId="0" borderId="0" xfId="0" applyFont="1" applyAlignment="1">
      <alignment horizontal="right" wrapText="1"/>
    </xf>
    <xf numFmtId="0" fontId="34" fillId="0" borderId="0" xfId="0" applyFont="1" applyAlignment="1">
      <alignment horizontal="center"/>
    </xf>
    <xf numFmtId="3" fontId="34" fillId="0" borderId="0" xfId="0" applyNumberFormat="1" applyFont="1" applyAlignment="1">
      <alignment horizontal="center"/>
    </xf>
    <xf numFmtId="168" fontId="34" fillId="0" borderId="0" xfId="1" applyNumberFormat="1" applyFont="1" applyAlignment="1">
      <alignment horizontal="center"/>
    </xf>
    <xf numFmtId="4" fontId="31" fillId="0" borderId="0" xfId="1" applyNumberFormat="1" applyFont="1" applyAlignment="1">
      <alignment horizontal="center"/>
    </xf>
    <xf numFmtId="4" fontId="31" fillId="0" borderId="0" xfId="0" applyNumberFormat="1" applyFont="1" applyAlignment="1">
      <alignment horizontal="center"/>
    </xf>
    <xf numFmtId="4" fontId="34" fillId="0" borderId="0" xfId="0" applyNumberFormat="1" applyFont="1" applyAlignment="1">
      <alignment horizontal="center"/>
    </xf>
    <xf numFmtId="0" fontId="34" fillId="0" borderId="16" xfId="0" applyFont="1" applyBorder="1" applyAlignment="1">
      <alignment horizontal="center" vertical="center"/>
    </xf>
    <xf numFmtId="0" fontId="34" fillId="0" borderId="0" xfId="0" applyFont="1" applyAlignment="1">
      <alignment horizontal="center" vertical="center"/>
    </xf>
    <xf numFmtId="0" fontId="31" fillId="0" borderId="0" xfId="0" applyFont="1" applyAlignment="1">
      <alignment horizontal="center" vertical="center"/>
    </xf>
    <xf numFmtId="0" fontId="0" fillId="18" borderId="0" xfId="0" applyFill="1" applyBorder="1" applyAlignment="1">
      <alignment vertic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3" fontId="55" fillId="2" borderId="33" xfId="0" applyNumberFormat="1" applyFont="1" applyFill="1" applyBorder="1" applyAlignment="1">
      <alignment horizontal="center" vertical="center" wrapText="1"/>
    </xf>
    <xf numFmtId="3" fontId="55" fillId="0" borderId="33" xfId="0" applyNumberFormat="1" applyFont="1" applyBorder="1" applyAlignment="1">
      <alignment horizontal="center" vertical="center" wrapText="1"/>
    </xf>
    <xf numFmtId="3" fontId="55" fillId="0" borderId="77" xfId="0" applyNumberFormat="1" applyFont="1" applyBorder="1" applyAlignment="1">
      <alignment horizontal="center" vertical="center" wrapText="1"/>
    </xf>
    <xf numFmtId="3" fontId="55" fillId="2" borderId="1" xfId="0" applyNumberFormat="1" applyFont="1" applyFill="1" applyBorder="1" applyAlignment="1">
      <alignment horizontal="center" vertical="center" wrapText="1"/>
    </xf>
    <xf numFmtId="3" fontId="55" fillId="0" borderId="1" xfId="0" applyNumberFormat="1" applyFont="1" applyBorder="1" applyAlignment="1">
      <alignment horizontal="center" vertical="center" wrapText="1"/>
    </xf>
    <xf numFmtId="3" fontId="55" fillId="0" borderId="52" xfId="0" applyNumberFormat="1" applyFont="1" applyBorder="1" applyAlignment="1">
      <alignment horizontal="center" vertical="center" wrapText="1"/>
    </xf>
    <xf numFmtId="0" fontId="35" fillId="0" borderId="74" xfId="0" applyFont="1" applyBorder="1" applyAlignment="1">
      <alignment horizontal="center" vertical="center" wrapText="1"/>
    </xf>
    <xf numFmtId="0" fontId="35" fillId="0" borderId="75"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10" fillId="18" borderId="12" xfId="0" applyFont="1" applyFill="1" applyBorder="1" applyAlignment="1">
      <alignment vertical="center" wrapText="1"/>
    </xf>
    <xf numFmtId="0" fontId="11" fillId="18" borderId="12" xfId="0" applyFont="1" applyFill="1" applyBorder="1" applyAlignment="1">
      <alignment vertical="center" wrapText="1"/>
    </xf>
    <xf numFmtId="0" fontId="11" fillId="18" borderId="0" xfId="0" applyFont="1" applyFill="1" applyBorder="1" applyAlignment="1">
      <alignment vertical="center" wrapText="1"/>
    </xf>
    <xf numFmtId="3" fontId="0" fillId="0" borderId="14" xfId="0" applyNumberFormat="1" applyFill="1" applyBorder="1" applyAlignment="1">
      <alignment horizontal="right" vertical="center"/>
    </xf>
    <xf numFmtId="3" fontId="0" fillId="0" borderId="6" xfId="0" applyNumberFormat="1" applyFill="1" applyBorder="1" applyAlignment="1">
      <alignment horizontal="right" vertical="center"/>
    </xf>
    <xf numFmtId="3" fontId="0" fillId="0" borderId="53" xfId="0" applyNumberFormat="1" applyFill="1" applyBorder="1" applyAlignment="1">
      <alignment horizontal="right" vertical="center"/>
    </xf>
    <xf numFmtId="3" fontId="0" fillId="0" borderId="49" xfId="0" applyNumberFormat="1" applyFill="1" applyBorder="1" applyAlignment="1">
      <alignment horizontal="right" vertical="center"/>
    </xf>
    <xf numFmtId="3" fontId="10" fillId="0" borderId="22" xfId="0" applyNumberFormat="1" applyFont="1" applyFill="1" applyBorder="1" applyAlignment="1">
      <alignment horizontal="center" vertical="center"/>
    </xf>
    <xf numFmtId="3" fontId="10" fillId="0" borderId="80" xfId="0" applyNumberFormat="1" applyFont="1" applyFill="1" applyBorder="1" applyAlignment="1">
      <alignment horizontal="center" vertical="center"/>
    </xf>
    <xf numFmtId="1" fontId="21" fillId="0" borderId="14"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3" fontId="21" fillId="0" borderId="14"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6" xfId="0" applyFont="1" applyFill="1" applyBorder="1" applyAlignment="1">
      <alignment horizontal="left" vertical="center"/>
    </xf>
    <xf numFmtId="167" fontId="11" fillId="0" borderId="0" xfId="1" applyNumberFormat="1" applyFont="1" applyBorder="1" applyAlignment="1">
      <alignment horizontal="center" wrapText="1"/>
    </xf>
    <xf numFmtId="0" fontId="34" fillId="0" borderId="0" xfId="0" applyFont="1" applyBorder="1" applyAlignment="1">
      <alignment horizontal="center" vertical="center"/>
    </xf>
    <xf numFmtId="0" fontId="31" fillId="0" borderId="0" xfId="0" applyFont="1" applyBorder="1" applyAlignment="1">
      <alignment horizontal="center" vertical="center"/>
    </xf>
    <xf numFmtId="0" fontId="31" fillId="18" borderId="12" xfId="0" applyFont="1" applyFill="1" applyBorder="1"/>
    <xf numFmtId="0" fontId="31" fillId="18" borderId="0" xfId="0" applyFont="1" applyFill="1" applyBorder="1"/>
    <xf numFmtId="3" fontId="0" fillId="5" borderId="43" xfId="0" applyNumberFormat="1" applyFill="1" applyBorder="1" applyAlignment="1">
      <alignment horizontal="center"/>
    </xf>
    <xf numFmtId="0" fontId="0" fillId="5" borderId="43" xfId="0" applyFill="1" applyBorder="1" applyAlignment="1">
      <alignment horizontal="center"/>
    </xf>
    <xf numFmtId="0" fontId="0" fillId="5" borderId="78" xfId="0" applyFill="1" applyBorder="1" applyAlignment="1">
      <alignment horizontal="center"/>
    </xf>
    <xf numFmtId="3" fontId="0" fillId="5" borderId="0" xfId="0" applyNumberFormat="1" applyFill="1" applyBorder="1" applyAlignment="1">
      <alignment horizontal="center"/>
    </xf>
    <xf numFmtId="0" fontId="0" fillId="5" borderId="0" xfId="0" applyFill="1" applyBorder="1" applyAlignment="1">
      <alignment horizontal="center"/>
    </xf>
    <xf numFmtId="0" fontId="0" fillId="5" borderId="79" xfId="0" applyFill="1" applyBorder="1" applyAlignment="1">
      <alignment horizontal="center"/>
    </xf>
    <xf numFmtId="3" fontId="0" fillId="5" borderId="19" xfId="0" applyNumberFormat="1" applyFill="1" applyBorder="1" applyAlignment="1">
      <alignment horizontal="center"/>
    </xf>
    <xf numFmtId="0" fontId="0" fillId="5" borderId="19" xfId="0" applyFill="1" applyBorder="1" applyAlignment="1">
      <alignment horizontal="center"/>
    </xf>
    <xf numFmtId="0" fontId="0" fillId="5" borderId="59" xfId="0" applyFill="1" applyBorder="1" applyAlignment="1">
      <alignment horizontal="center"/>
    </xf>
    <xf numFmtId="0" fontId="10" fillId="18" borderId="12" xfId="0" applyFont="1" applyFill="1" applyBorder="1"/>
    <xf numFmtId="0" fontId="0" fillId="18" borderId="0" xfId="0" applyFill="1" applyBorder="1"/>
    <xf numFmtId="0" fontId="11" fillId="18" borderId="12" xfId="0" applyFont="1" applyFill="1" applyBorder="1" applyAlignment="1">
      <alignment horizontal="left" vertical="center"/>
    </xf>
    <xf numFmtId="0" fontId="11" fillId="18" borderId="0" xfId="0" applyFont="1" applyFill="1" applyBorder="1" applyAlignment="1">
      <alignment horizontal="left" vertical="center"/>
    </xf>
    <xf numFmtId="3" fontId="54" fillId="2" borderId="33" xfId="0" applyNumberFormat="1" applyFont="1" applyFill="1" applyBorder="1" applyAlignment="1">
      <alignment horizontal="center" vertical="center" wrapText="1"/>
    </xf>
    <xf numFmtId="3" fontId="54" fillId="0" borderId="33" xfId="0" applyNumberFormat="1" applyFont="1" applyBorder="1" applyAlignment="1">
      <alignment horizontal="center" vertical="center" wrapText="1"/>
    </xf>
    <xf numFmtId="3" fontId="54" fillId="0" borderId="77" xfId="0" applyNumberFormat="1" applyFont="1" applyBorder="1" applyAlignment="1">
      <alignment horizontal="center" vertical="center" wrapText="1"/>
    </xf>
    <xf numFmtId="3" fontId="54" fillId="2" borderId="1" xfId="0" applyNumberFormat="1" applyFont="1" applyFill="1" applyBorder="1" applyAlignment="1">
      <alignment horizontal="center" vertical="center" wrapText="1"/>
    </xf>
    <xf numFmtId="3" fontId="54" fillId="0" borderId="1" xfId="0" applyNumberFormat="1" applyFont="1" applyBorder="1" applyAlignment="1">
      <alignment horizontal="center" vertical="center" wrapText="1"/>
    </xf>
    <xf numFmtId="3" fontId="54" fillId="0" borderId="52" xfId="0" applyNumberFormat="1" applyFont="1" applyBorder="1" applyAlignment="1">
      <alignment horizontal="center" vertical="center" wrapText="1"/>
    </xf>
    <xf numFmtId="0" fontId="31" fillId="0" borderId="0" xfId="0" applyFont="1" applyBorder="1" applyAlignment="1">
      <alignment horizontal="center" vertical="top"/>
    </xf>
    <xf numFmtId="0" fontId="0" fillId="18" borderId="12" xfId="0" applyFill="1" applyBorder="1"/>
    <xf numFmtId="0" fontId="11" fillId="18" borderId="12" xfId="0" applyFont="1" applyFill="1" applyBorder="1"/>
    <xf numFmtId="0" fontId="11" fillId="18" borderId="0" xfId="0" applyFont="1" applyFill="1" applyBorder="1"/>
    <xf numFmtId="3" fontId="57" fillId="0" borderId="33" xfId="0" applyNumberFormat="1" applyFont="1" applyBorder="1" applyAlignment="1">
      <alignment horizontal="center" vertical="center" wrapText="1"/>
    </xf>
    <xf numFmtId="3" fontId="57" fillId="0" borderId="77" xfId="0" applyNumberFormat="1" applyFont="1" applyBorder="1" applyAlignment="1">
      <alignment horizontal="center" vertical="center" wrapText="1"/>
    </xf>
    <xf numFmtId="0" fontId="35" fillId="0" borderId="31" xfId="0" applyFont="1" applyBorder="1" applyAlignment="1">
      <alignment horizontal="center" vertical="center" wrapText="1"/>
    </xf>
    <xf numFmtId="0" fontId="35" fillId="0" borderId="76" xfId="0" applyFont="1" applyBorder="1" applyAlignment="1">
      <alignment horizontal="center" vertical="center" wrapText="1"/>
    </xf>
    <xf numFmtId="0" fontId="21" fillId="18" borderId="0" xfId="0" applyFont="1" applyFill="1" applyBorder="1"/>
    <xf numFmtId="0" fontId="14" fillId="0" borderId="0" xfId="0" applyFont="1" applyFill="1" applyBorder="1" applyAlignment="1">
      <alignment horizontal="center" vertical="center" wrapText="1"/>
    </xf>
    <xf numFmtId="0" fontId="14" fillId="18" borderId="12" xfId="0" applyFont="1" applyFill="1" applyBorder="1" applyAlignment="1">
      <alignment horizontal="left" vertical="center"/>
    </xf>
    <xf numFmtId="0" fontId="14" fillId="18" borderId="0" xfId="0" applyFont="1" applyFill="1" applyBorder="1" applyAlignment="1">
      <alignment horizontal="left" vertical="center"/>
    </xf>
    <xf numFmtId="0" fontId="21" fillId="0" borderId="32" xfId="0" applyFont="1" applyBorder="1" applyAlignment="1">
      <alignment horizontal="center" wrapText="1"/>
    </xf>
    <xf numFmtId="0" fontId="21" fillId="0" borderId="34" xfId="0" applyFont="1" applyBorder="1" applyAlignment="1">
      <alignment horizontal="center" wrapText="1"/>
    </xf>
    <xf numFmtId="3" fontId="20" fillId="2" borderId="33" xfId="0" applyNumberFormat="1" applyFont="1" applyFill="1" applyBorder="1" applyAlignment="1">
      <alignment horizontal="center" vertical="center" wrapText="1"/>
    </xf>
    <xf numFmtId="3" fontId="20" fillId="0" borderId="33" xfId="0" applyNumberFormat="1" applyFont="1" applyBorder="1" applyAlignment="1">
      <alignment horizontal="center" vertical="center" wrapText="1"/>
    </xf>
    <xf numFmtId="3" fontId="20" fillId="0" borderId="77" xfId="0" applyNumberFormat="1" applyFont="1" applyBorder="1" applyAlignment="1">
      <alignment horizontal="center" vertical="center" wrapText="1"/>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1" fillId="18" borderId="12" xfId="0" applyFont="1" applyFill="1" applyBorder="1"/>
    <xf numFmtId="0" fontId="14" fillId="67" borderId="1" xfId="0" applyFont="1" applyFill="1" applyBorder="1" applyAlignment="1">
      <alignment horizontal="center" vertical="center"/>
    </xf>
    <xf numFmtId="10" fontId="21" fillId="0" borderId="41" xfId="0" applyNumberFormat="1" applyFont="1" applyFill="1" applyBorder="1" applyAlignment="1">
      <alignment horizontal="right" vertical="center"/>
    </xf>
    <xf numFmtId="10" fontId="21" fillId="0" borderId="42" xfId="0" applyNumberFormat="1" applyFont="1" applyFill="1" applyBorder="1" applyAlignment="1">
      <alignment horizontal="right" vertical="center"/>
    </xf>
    <xf numFmtId="10" fontId="21" fillId="0" borderId="31" xfId="0" applyNumberFormat="1" applyFont="1" applyFill="1" applyBorder="1" applyAlignment="1">
      <alignment horizontal="right" vertical="center"/>
    </xf>
    <xf numFmtId="0" fontId="14" fillId="25" borderId="41" xfId="0" applyFont="1" applyFill="1" applyBorder="1" applyAlignment="1">
      <alignment horizontal="center" vertical="center" wrapText="1"/>
    </xf>
    <xf numFmtId="0" fontId="14" fillId="25" borderId="31" xfId="0" applyFont="1" applyFill="1" applyBorder="1" applyAlignment="1">
      <alignment horizontal="center" vertical="center" wrapText="1"/>
    </xf>
    <xf numFmtId="0" fontId="66" fillId="68" borderId="99" xfId="0" applyFont="1" applyFill="1" applyBorder="1" applyAlignment="1">
      <alignment horizontal="center" vertical="center"/>
    </xf>
    <xf numFmtId="0" fontId="66" fillId="68" borderId="0" xfId="0" applyFont="1" applyFill="1" applyBorder="1" applyAlignment="1">
      <alignment horizontal="center" vertical="center"/>
    </xf>
    <xf numFmtId="0" fontId="65" fillId="65" borderId="41" xfId="0" applyFont="1" applyFill="1" applyBorder="1" applyAlignment="1">
      <alignment horizontal="center" vertical="center" wrapText="1"/>
    </xf>
    <xf numFmtId="0" fontId="65" fillId="65" borderId="31" xfId="0" applyFont="1" applyFill="1" applyBorder="1" applyAlignment="1">
      <alignment horizontal="center" vertical="center" wrapText="1"/>
    </xf>
    <xf numFmtId="0" fontId="67" fillId="63" borderId="0" xfId="0" applyFont="1" applyFill="1" applyAlignment="1">
      <alignment horizontal="center" vertical="center"/>
    </xf>
    <xf numFmtId="10" fontId="21" fillId="0" borderId="1" xfId="0" applyNumberFormat="1" applyFont="1" applyFill="1" applyBorder="1" applyAlignment="1">
      <alignment horizontal="right" vertical="center"/>
    </xf>
    <xf numFmtId="0" fontId="14" fillId="66" borderId="1" xfId="0" applyFont="1" applyFill="1" applyBorder="1" applyAlignment="1">
      <alignment horizontal="center" vertical="center"/>
    </xf>
    <xf numFmtId="10" fontId="14" fillId="64" borderId="1" xfId="0" applyNumberFormat="1" applyFont="1" applyFill="1" applyBorder="1" applyAlignment="1">
      <alignment horizontal="right" vertical="center"/>
    </xf>
    <xf numFmtId="10" fontId="14" fillId="62" borderId="1" xfId="0" applyNumberFormat="1" applyFont="1" applyFill="1" applyBorder="1" applyAlignment="1">
      <alignment horizontal="right" vertical="center"/>
    </xf>
    <xf numFmtId="0" fontId="11" fillId="66" borderId="41" xfId="0" applyFont="1" applyFill="1" applyBorder="1" applyAlignment="1">
      <alignment horizontal="center" vertical="center"/>
    </xf>
    <xf numFmtId="0" fontId="11" fillId="66" borderId="42" xfId="0" applyFont="1" applyFill="1" applyBorder="1" applyAlignment="1">
      <alignment horizontal="center" vertical="center"/>
    </xf>
    <xf numFmtId="0" fontId="11" fillId="66" borderId="31" xfId="0" applyFont="1" applyFill="1" applyBorder="1" applyAlignment="1">
      <alignment horizontal="center" vertical="center"/>
    </xf>
  </cellXfs>
  <cellStyles count="66">
    <cellStyle name="20% - Énfasis1" xfId="22" builtinId="30" customBuiltin="1"/>
    <cellStyle name="20% - Énfasis1 2" xfId="52"/>
    <cellStyle name="20% - Énfasis2" xfId="26" builtinId="34" customBuiltin="1"/>
    <cellStyle name="20% - Énfasis2 2" xfId="54"/>
    <cellStyle name="20% - Énfasis3" xfId="30" builtinId="38" customBuiltin="1"/>
    <cellStyle name="20% - Énfasis3 2" xfId="56"/>
    <cellStyle name="20% - Énfasis4" xfId="34" builtinId="42" customBuiltin="1"/>
    <cellStyle name="20% - Énfasis4 2" xfId="58"/>
    <cellStyle name="20% - Énfasis5" xfId="38" builtinId="46" customBuiltin="1"/>
    <cellStyle name="20% - Énfasis5 2" xfId="60"/>
    <cellStyle name="20% - Énfasis6" xfId="42" builtinId="50" customBuiltin="1"/>
    <cellStyle name="20% - Énfasis6 2" xfId="62"/>
    <cellStyle name="40% - Énfasis1" xfId="23" builtinId="31" customBuiltin="1"/>
    <cellStyle name="40% - Énfasis1 2" xfId="53"/>
    <cellStyle name="40% - Énfasis2" xfId="27" builtinId="35" customBuiltin="1"/>
    <cellStyle name="40% - Énfasis2 2" xfId="55"/>
    <cellStyle name="40% - Énfasis3" xfId="31" builtinId="39" customBuiltin="1"/>
    <cellStyle name="40% - Énfasis3 2" xfId="57"/>
    <cellStyle name="40% - Énfasis4" xfId="35" builtinId="43" customBuiltin="1"/>
    <cellStyle name="40% - Énfasis4 2" xfId="59"/>
    <cellStyle name="40% - Énfasis5" xfId="39" builtinId="47" customBuiltin="1"/>
    <cellStyle name="40% - Énfasis5 2" xfId="61"/>
    <cellStyle name="40% - Énfasis6" xfId="43" builtinId="51" customBuiltin="1"/>
    <cellStyle name="40% - Énfasis6 2" xfId="63"/>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Neutral" xfId="12" builtinId="28" customBuiltin="1"/>
    <cellStyle name="Normal" xfId="0" builtinId="0"/>
    <cellStyle name="Normal 10" xfId="65"/>
    <cellStyle name="Normal 2" xfId="4"/>
    <cellStyle name="Normal 2 2" xfId="48"/>
    <cellStyle name="Normal 3" xfId="2"/>
    <cellStyle name="Normal 4" xfId="45"/>
    <cellStyle name="Normal 5" xfId="3"/>
    <cellStyle name="Normal 6" xfId="47"/>
    <cellStyle name="Normal 7" xfId="49"/>
    <cellStyle name="Normal 8" xfId="50"/>
    <cellStyle name="Normal 9" xfId="64"/>
    <cellStyle name="Notas 2" xfId="46"/>
    <cellStyle name="Notas 3" xfId="51"/>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1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99CC00"/>
      <color rgb="FF00CC00"/>
      <color rgb="FFFF99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35719</xdr:rowOff>
    </xdr:from>
    <xdr:to>
      <xdr:col>0</xdr:col>
      <xdr:colOff>1257300</xdr:colOff>
      <xdr:row>1</xdr:row>
      <xdr:rowOff>492919</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719"/>
          <a:ext cx="1066800"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988219</xdr:colOff>
      <xdr:row>52</xdr:row>
      <xdr:rowOff>238124</xdr:rowOff>
    </xdr:from>
    <xdr:to>
      <xdr:col>4</xdr:col>
      <xdr:colOff>1000125</xdr:colOff>
      <xdr:row>52</xdr:row>
      <xdr:rowOff>238124</xdr:rowOff>
    </xdr:to>
    <xdr:cxnSp macro="">
      <xdr:nvCxnSpPr>
        <xdr:cNvPr id="8" name="Conector recto 7"/>
        <xdr:cNvCxnSpPr/>
      </xdr:nvCxnSpPr>
      <xdr:spPr>
        <a:xfrm>
          <a:off x="3905250" y="10715624"/>
          <a:ext cx="29289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511969</xdr:colOff>
      <xdr:row>52</xdr:row>
      <xdr:rowOff>261937</xdr:rowOff>
    </xdr:from>
    <xdr:to>
      <xdr:col>6</xdr:col>
      <xdr:colOff>916781</xdr:colOff>
      <xdr:row>52</xdr:row>
      <xdr:rowOff>261937</xdr:rowOff>
    </xdr:to>
    <xdr:cxnSp macro="">
      <xdr:nvCxnSpPr>
        <xdr:cNvPr id="10" name="Conector recto 9"/>
        <xdr:cNvCxnSpPr/>
      </xdr:nvCxnSpPr>
      <xdr:spPr>
        <a:xfrm>
          <a:off x="7334250" y="8477250"/>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202405</xdr:colOff>
      <xdr:row>0</xdr:row>
      <xdr:rowOff>59531</xdr:rowOff>
    </xdr:from>
    <xdr:to>
      <xdr:col>0</xdr:col>
      <xdr:colOff>1273968</xdr:colOff>
      <xdr:row>1</xdr:row>
      <xdr:rowOff>516731</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5" y="59531"/>
          <a:ext cx="1071563"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547686</xdr:colOff>
      <xdr:row>162</xdr:row>
      <xdr:rowOff>0</xdr:rowOff>
    </xdr:from>
    <xdr:to>
      <xdr:col>3</xdr:col>
      <xdr:colOff>1643061</xdr:colOff>
      <xdr:row>162</xdr:row>
      <xdr:rowOff>0</xdr:rowOff>
    </xdr:to>
    <xdr:cxnSp macro="">
      <xdr:nvCxnSpPr>
        <xdr:cNvPr id="3" name="Conector recto 2"/>
        <xdr:cNvCxnSpPr/>
      </xdr:nvCxnSpPr>
      <xdr:spPr>
        <a:xfrm>
          <a:off x="3767136" y="30194250"/>
          <a:ext cx="2971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928687</xdr:colOff>
      <xdr:row>162</xdr:row>
      <xdr:rowOff>0</xdr:rowOff>
    </xdr:from>
    <xdr:to>
      <xdr:col>6</xdr:col>
      <xdr:colOff>923343</xdr:colOff>
      <xdr:row>162</xdr:row>
      <xdr:rowOff>0</xdr:rowOff>
    </xdr:to>
    <xdr:cxnSp macro="">
      <xdr:nvCxnSpPr>
        <xdr:cNvPr id="4" name="Conector recto 3"/>
        <xdr:cNvCxnSpPr/>
      </xdr:nvCxnSpPr>
      <xdr:spPr>
        <a:xfrm>
          <a:off x="8262937" y="30194250"/>
          <a:ext cx="38808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416718</xdr:colOff>
      <xdr:row>0</xdr:row>
      <xdr:rowOff>59531</xdr:rowOff>
    </xdr:from>
    <xdr:to>
      <xdr:col>0</xdr:col>
      <xdr:colOff>1316718</xdr:colOff>
      <xdr:row>1</xdr:row>
      <xdr:rowOff>492628</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718" y="59531"/>
          <a:ext cx="900000" cy="96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690562</xdr:colOff>
      <xdr:row>163</xdr:row>
      <xdr:rowOff>0</xdr:rowOff>
    </xdr:from>
    <xdr:to>
      <xdr:col>4</xdr:col>
      <xdr:colOff>2274094</xdr:colOff>
      <xdr:row>163</xdr:row>
      <xdr:rowOff>0</xdr:rowOff>
    </xdr:to>
    <xdr:cxnSp macro="">
      <xdr:nvCxnSpPr>
        <xdr:cNvPr id="3" name="Conector recto 2"/>
        <xdr:cNvCxnSpPr/>
      </xdr:nvCxnSpPr>
      <xdr:spPr>
        <a:xfrm>
          <a:off x="6167437" y="34470975"/>
          <a:ext cx="34218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619125</xdr:colOff>
      <xdr:row>163</xdr:row>
      <xdr:rowOff>0</xdr:rowOff>
    </xdr:from>
    <xdr:to>
      <xdr:col>6</xdr:col>
      <xdr:colOff>1321594</xdr:colOff>
      <xdr:row>163</xdr:row>
      <xdr:rowOff>0</xdr:rowOff>
    </xdr:to>
    <xdr:cxnSp macro="">
      <xdr:nvCxnSpPr>
        <xdr:cNvPr id="4" name="Conector recto 3"/>
        <xdr:cNvCxnSpPr/>
      </xdr:nvCxnSpPr>
      <xdr:spPr>
        <a:xfrm>
          <a:off x="10648950" y="34470975"/>
          <a:ext cx="33980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321467</xdr:colOff>
      <xdr:row>0</xdr:row>
      <xdr:rowOff>59531</xdr:rowOff>
    </xdr:from>
    <xdr:to>
      <xdr:col>0</xdr:col>
      <xdr:colOff>1654968</xdr:colOff>
      <xdr:row>1</xdr:row>
      <xdr:rowOff>492628</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59531"/>
          <a:ext cx="1333501" cy="96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583406</xdr:colOff>
      <xdr:row>94</xdr:row>
      <xdr:rowOff>164306</xdr:rowOff>
    </xdr:from>
    <xdr:to>
      <xdr:col>3</xdr:col>
      <xdr:colOff>1559531</xdr:colOff>
      <xdr:row>94</xdr:row>
      <xdr:rowOff>164306</xdr:rowOff>
    </xdr:to>
    <xdr:cxnSp macro="">
      <xdr:nvCxnSpPr>
        <xdr:cNvPr id="3" name="Conector recto 2"/>
        <xdr:cNvCxnSpPr/>
      </xdr:nvCxnSpPr>
      <xdr:spPr>
        <a:xfrm>
          <a:off x="4174331" y="18680906"/>
          <a:ext cx="30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535781</xdr:colOff>
      <xdr:row>94</xdr:row>
      <xdr:rowOff>154781</xdr:rowOff>
    </xdr:from>
    <xdr:to>
      <xdr:col>6</xdr:col>
      <xdr:colOff>1214437</xdr:colOff>
      <xdr:row>94</xdr:row>
      <xdr:rowOff>154781</xdr:rowOff>
    </xdr:to>
    <xdr:cxnSp macro="">
      <xdr:nvCxnSpPr>
        <xdr:cNvPr id="4" name="Conector recto 3"/>
        <xdr:cNvCxnSpPr/>
      </xdr:nvCxnSpPr>
      <xdr:spPr>
        <a:xfrm>
          <a:off x="9527381" y="18671381"/>
          <a:ext cx="23741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284513</xdr:colOff>
      <xdr:row>0</xdr:row>
      <xdr:rowOff>98961</xdr:rowOff>
    </xdr:from>
    <xdr:to>
      <xdr:col>0</xdr:col>
      <xdr:colOff>1523215</xdr:colOff>
      <xdr:row>1</xdr:row>
      <xdr:rowOff>467045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513" y="98961"/>
          <a:ext cx="1238702" cy="90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246010</xdr:colOff>
      <xdr:row>236</xdr:row>
      <xdr:rowOff>272143</xdr:rowOff>
    </xdr:from>
    <xdr:to>
      <xdr:col>4</xdr:col>
      <xdr:colOff>857250</xdr:colOff>
      <xdr:row>236</xdr:row>
      <xdr:rowOff>275761</xdr:rowOff>
    </xdr:to>
    <xdr:cxnSp macro="">
      <xdr:nvCxnSpPr>
        <xdr:cNvPr id="3" name="Conector recto 2"/>
        <xdr:cNvCxnSpPr/>
      </xdr:nvCxnSpPr>
      <xdr:spPr>
        <a:xfrm flipV="1">
          <a:off x="3665485" y="60870193"/>
          <a:ext cx="4649840" cy="3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989456</xdr:colOff>
      <xdr:row>236</xdr:row>
      <xdr:rowOff>272143</xdr:rowOff>
    </xdr:from>
    <xdr:to>
      <xdr:col>5</xdr:col>
      <xdr:colOff>1855520</xdr:colOff>
      <xdr:row>236</xdr:row>
      <xdr:rowOff>272143</xdr:rowOff>
    </xdr:to>
    <xdr:cxnSp macro="">
      <xdr:nvCxnSpPr>
        <xdr:cNvPr id="4" name="Conector recto 3"/>
        <xdr:cNvCxnSpPr/>
      </xdr:nvCxnSpPr>
      <xdr:spPr>
        <a:xfrm>
          <a:off x="8447531" y="60870193"/>
          <a:ext cx="24186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lando_Arias\2019\Reportes_PREDIS\3.Marzo\1024_OP_MAR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rlando_Arias\2019\Reportes_PREDIS\1.Enero\RP_TodoEne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rlando_Arias\2019\Reportes_PREDIS\2.Febrero\RP_Todo_Ene_Feb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Orlando_Arias\2019\Reportes_PREDIS\3.Marzo\1114_OP_MAR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rlando.arias\Documents\Orlando%20Arias\2016\Plan%20de%20accion%20Inversion%202016\Bogota%20Mejor%20Para%20Todos\Diciembre\Plan%20Accion%20BMPT-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261</v>
          </cell>
          <cell r="O2">
            <v>254</v>
          </cell>
          <cell r="P2" t="str">
            <v>SARA LUCIA GOMEZ MACHADO</v>
          </cell>
          <cell r="Q2" t="str">
            <v>CONTRATO DE PRESTACION DE SERVICIOS PROFESIONALES</v>
          </cell>
          <cell r="R2">
            <v>226</v>
          </cell>
          <cell r="S2" t="str">
            <v>VIGENTE</v>
          </cell>
          <cell r="T2">
            <v>1963867</v>
          </cell>
        </row>
        <row r="3">
          <cell r="N3">
            <v>252</v>
          </cell>
          <cell r="O3">
            <v>256</v>
          </cell>
          <cell r="P3" t="str">
            <v>LIDA ROCIO ROA MONSALVE</v>
          </cell>
          <cell r="Q3" t="str">
            <v>CONTRATO DE PRESTACION DE SERVICIOS PROFESIONALES</v>
          </cell>
          <cell r="R3">
            <v>227</v>
          </cell>
          <cell r="S3" t="str">
            <v>VIGENTE</v>
          </cell>
          <cell r="T3">
            <v>1963867</v>
          </cell>
        </row>
        <row r="4">
          <cell r="N4">
            <v>276</v>
          </cell>
          <cell r="O4">
            <v>257</v>
          </cell>
          <cell r="P4" t="str">
            <v>VANESSA  GONZALEZ VEJOLLIN</v>
          </cell>
          <cell r="Q4" t="str">
            <v>CONTRATO DE PRESTACION DE SERVICIOS PROFESIONALES</v>
          </cell>
          <cell r="R4">
            <v>241</v>
          </cell>
          <cell r="S4" t="str">
            <v>VIGENTE</v>
          </cell>
          <cell r="T4">
            <v>1606800</v>
          </cell>
        </row>
        <row r="5">
          <cell r="N5">
            <v>177</v>
          </cell>
          <cell r="O5">
            <v>219</v>
          </cell>
          <cell r="P5" t="str">
            <v>PAULA ANDREA ÁVILA ESPINEL</v>
          </cell>
          <cell r="Q5" t="str">
            <v>CONTRATO DE PRESTACION DE SERVICIOS PROFESIONALES</v>
          </cell>
          <cell r="R5">
            <v>171</v>
          </cell>
          <cell r="S5" t="str">
            <v>VIGENTE</v>
          </cell>
          <cell r="T5">
            <v>5022000</v>
          </cell>
        </row>
        <row r="6">
          <cell r="N6">
            <v>166</v>
          </cell>
          <cell r="O6">
            <v>168</v>
          </cell>
          <cell r="P6" t="str">
            <v>YANETH  MORA HERNANDEZ</v>
          </cell>
          <cell r="Q6" t="str">
            <v>CONTRATO DE PRESTACION DE SERVICIOS PROFESIONALES</v>
          </cell>
          <cell r="R6">
            <v>147</v>
          </cell>
          <cell r="S6" t="str">
            <v>VIGENTE</v>
          </cell>
          <cell r="T6">
            <v>5022000</v>
          </cell>
        </row>
        <row r="7">
          <cell r="N7">
            <v>240</v>
          </cell>
          <cell r="O7">
            <v>242</v>
          </cell>
          <cell r="P7" t="str">
            <v xml:space="preserve">YENNY  SANCHEZ </v>
          </cell>
          <cell r="Q7" t="str">
            <v>CONTRATO DE PRESTACION DE SERVICIOS PROFESIONALES</v>
          </cell>
          <cell r="R7">
            <v>215</v>
          </cell>
          <cell r="S7" t="str">
            <v>VIGENTE</v>
          </cell>
          <cell r="T7">
            <v>2053133</v>
          </cell>
        </row>
        <row r="8">
          <cell r="N8">
            <v>172</v>
          </cell>
          <cell r="O8">
            <v>174</v>
          </cell>
          <cell r="P8" t="str">
            <v>FABIO ALBERTO LOPEZ SUAREZ</v>
          </cell>
          <cell r="Q8" t="str">
            <v>CONTRATO DE PRESTACION DE SERVICIOS PROFESIONALES</v>
          </cell>
          <cell r="R8">
            <v>159</v>
          </cell>
          <cell r="S8" t="str">
            <v>VIGENTE</v>
          </cell>
          <cell r="T8">
            <v>6840667</v>
          </cell>
        </row>
        <row r="9">
          <cell r="N9">
            <v>262</v>
          </cell>
          <cell r="O9">
            <v>255</v>
          </cell>
          <cell r="P9" t="str">
            <v>ANA CECILIA ESCOBAR RAMIREZ</v>
          </cell>
          <cell r="Q9" t="str">
            <v>CONTRATO DE PRESTACION DE SERVICIOS PROFESIONALES</v>
          </cell>
          <cell r="R9">
            <v>225</v>
          </cell>
          <cell r="S9" t="str">
            <v>VIGENTE</v>
          </cell>
          <cell r="T9">
            <v>1963867</v>
          </cell>
        </row>
        <row r="10">
          <cell r="N10">
            <v>175</v>
          </cell>
          <cell r="O10">
            <v>220</v>
          </cell>
          <cell r="P10" t="str">
            <v>SARA BEATRIZ ACUÑA GOMEZ</v>
          </cell>
          <cell r="Q10" t="str">
            <v>CONTRATO DE PRESTACION DE SERVICIOS PROFESIONALES</v>
          </cell>
          <cell r="R10">
            <v>169</v>
          </cell>
          <cell r="S10" t="str">
            <v>VIGENTE</v>
          </cell>
          <cell r="T10">
            <v>5022000</v>
          </cell>
        </row>
        <row r="11">
          <cell r="N11">
            <v>161</v>
          </cell>
          <cell r="O11">
            <v>167</v>
          </cell>
          <cell r="P11" t="str">
            <v>DIANA  PEDRAZA RINCON</v>
          </cell>
          <cell r="Q11" t="str">
            <v>CONTRATO DE PRESTACION DE SERVICIOS PROFESIONALES</v>
          </cell>
          <cell r="R11">
            <v>142</v>
          </cell>
          <cell r="S11" t="str">
            <v>VIGENTE</v>
          </cell>
          <cell r="T11">
            <v>5022000</v>
          </cell>
        </row>
        <row r="12">
          <cell r="N12">
            <v>275</v>
          </cell>
          <cell r="O12">
            <v>258</v>
          </cell>
          <cell r="P12" t="str">
            <v>NURY YENSSY BOHORQUEZ SANCEHZ</v>
          </cell>
          <cell r="Q12" t="str">
            <v>CONTRATO DE PRESTACION DE SERVICIOS PROFESIONALES</v>
          </cell>
          <cell r="R12">
            <v>242</v>
          </cell>
          <cell r="S12" t="str">
            <v>VIGENTE</v>
          </cell>
          <cell r="T12">
            <v>1696067</v>
          </cell>
        </row>
        <row r="13">
          <cell r="N13">
            <v>241</v>
          </cell>
          <cell r="O13">
            <v>246</v>
          </cell>
          <cell r="P13" t="str">
            <v>CAMILO  CASAS ABRIL</v>
          </cell>
          <cell r="Q13" t="str">
            <v>CONTRATO DE PRESTACION DE SERVICIOS PROFESIONALES</v>
          </cell>
          <cell r="R13">
            <v>213</v>
          </cell>
          <cell r="S13" t="str">
            <v>VIGENTE</v>
          </cell>
          <cell r="T13">
            <v>1785333</v>
          </cell>
        </row>
        <row r="14">
          <cell r="N14">
            <v>213</v>
          </cell>
          <cell r="O14">
            <v>237</v>
          </cell>
          <cell r="P14" t="str">
            <v>ANGELA MARIA CADENA GOMEZ</v>
          </cell>
          <cell r="Q14" t="str">
            <v>CONTRATO DE PRESTACION DE SERVICIOS PROFESIONALES</v>
          </cell>
          <cell r="R14">
            <v>196</v>
          </cell>
          <cell r="S14" t="str">
            <v>VIGENTE</v>
          </cell>
          <cell r="T14">
            <v>4860000</v>
          </cell>
        </row>
        <row r="15">
          <cell r="N15">
            <v>258</v>
          </cell>
          <cell r="O15">
            <v>241</v>
          </cell>
          <cell r="P15" t="str">
            <v>JENNY LORENA BOHORQUEZ MORENO</v>
          </cell>
          <cell r="Q15" t="str">
            <v>CONTRATO DE PRESTACION DE SERVICIOS PROFESIONALES</v>
          </cell>
          <cell r="R15">
            <v>232</v>
          </cell>
          <cell r="S15" t="str">
            <v>VIGENTE</v>
          </cell>
          <cell r="T15">
            <v>1696067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ERCEROSREPETIDOS"/>
    </sheetNames>
    <sheetDataSet>
      <sheetData sheetId="0"/>
      <sheetData sheetId="1">
        <row r="48">
          <cell r="J48">
            <v>35</v>
          </cell>
          <cell r="K48">
            <v>43483</v>
          </cell>
          <cell r="L48" t="str">
            <v>CC</v>
          </cell>
          <cell r="M48">
            <v>19752295</v>
          </cell>
          <cell r="N48" t="str">
            <v>JUAN JOSE ALVEAR MEJIA</v>
          </cell>
        </row>
        <row r="49">
          <cell r="J49">
            <v>45</v>
          </cell>
          <cell r="K49">
            <v>43483</v>
          </cell>
          <cell r="L49" t="str">
            <v>CC</v>
          </cell>
          <cell r="M49">
            <v>1031141398</v>
          </cell>
          <cell r="N49" t="str">
            <v>johan camilo prieto carreño</v>
          </cell>
        </row>
        <row r="50">
          <cell r="J50">
            <v>141</v>
          </cell>
          <cell r="K50">
            <v>43488</v>
          </cell>
          <cell r="L50" t="str">
            <v>CC</v>
          </cell>
          <cell r="M50">
            <v>1015434867</v>
          </cell>
          <cell r="N50" t="str">
            <v>yenifer andrea lagos bueno</v>
          </cell>
        </row>
        <row r="51">
          <cell r="J51">
            <v>136</v>
          </cell>
          <cell r="K51">
            <v>43488</v>
          </cell>
          <cell r="L51" t="str">
            <v>CC</v>
          </cell>
          <cell r="M51">
            <v>1019033224</v>
          </cell>
          <cell r="N51" t="str">
            <v>CAMILO ANDRES BECERRA SANCHEZ</v>
          </cell>
        </row>
        <row r="52">
          <cell r="J52">
            <v>77</v>
          </cell>
          <cell r="K52">
            <v>43486</v>
          </cell>
          <cell r="L52" t="str">
            <v>CC</v>
          </cell>
          <cell r="M52">
            <v>11185322</v>
          </cell>
          <cell r="N52" t="str">
            <v>JAVIER FERNANDO MATEUS TOVAR</v>
          </cell>
        </row>
        <row r="53">
          <cell r="J53">
            <v>66</v>
          </cell>
          <cell r="K53">
            <v>43486</v>
          </cell>
          <cell r="L53" t="str">
            <v>CC</v>
          </cell>
          <cell r="M53">
            <v>1129576493</v>
          </cell>
          <cell r="N53" t="str">
            <v>EFRAIN JOSE CANEDO CASTRO</v>
          </cell>
        </row>
        <row r="54">
          <cell r="J54">
            <v>39</v>
          </cell>
          <cell r="K54">
            <v>43483</v>
          </cell>
          <cell r="L54" t="str">
            <v>CC</v>
          </cell>
          <cell r="M54">
            <v>1049626807</v>
          </cell>
          <cell r="N54" t="str">
            <v>LAURA ANGELICA MORENO LEMUS</v>
          </cell>
        </row>
        <row r="55">
          <cell r="J55">
            <v>139</v>
          </cell>
          <cell r="K55">
            <v>43488</v>
          </cell>
          <cell r="L55" t="str">
            <v>CC</v>
          </cell>
          <cell r="M55">
            <v>1053818624</v>
          </cell>
          <cell r="N55" t="str">
            <v>ANDREA YIZETH CESPEDES VILLAR</v>
          </cell>
        </row>
        <row r="56">
          <cell r="J56">
            <v>100</v>
          </cell>
          <cell r="K56">
            <v>43486</v>
          </cell>
          <cell r="L56" t="str">
            <v>CC</v>
          </cell>
          <cell r="M56">
            <v>80927382</v>
          </cell>
          <cell r="N56" t="str">
            <v>CARLOS ERNESTO LINCE RODRIGUEZ</v>
          </cell>
        </row>
        <row r="57">
          <cell r="J57">
            <v>0</v>
          </cell>
          <cell r="K57">
            <v>43487</v>
          </cell>
          <cell r="L57" t="str">
            <v>CC</v>
          </cell>
          <cell r="M57">
            <v>1010203131</v>
          </cell>
          <cell r="N57" t="str">
            <v>Jorge Eliecer Rodriguez Casallas</v>
          </cell>
        </row>
        <row r="58">
          <cell r="J58">
            <v>135</v>
          </cell>
          <cell r="K58">
            <v>43488</v>
          </cell>
          <cell r="L58" t="str">
            <v>CC</v>
          </cell>
          <cell r="M58">
            <v>1010203131</v>
          </cell>
          <cell r="N58" t="str">
            <v>Jorge Eliecer Rodriguez Casallas</v>
          </cell>
        </row>
        <row r="59">
          <cell r="J59">
            <v>67</v>
          </cell>
          <cell r="K59">
            <v>43486</v>
          </cell>
          <cell r="L59" t="str">
            <v>CC</v>
          </cell>
          <cell r="M59">
            <v>1014238520</v>
          </cell>
          <cell r="N59" t="str">
            <v>NATALIA  ACHIARDI ORTIZ</v>
          </cell>
        </row>
        <row r="60">
          <cell r="J60">
            <v>138</v>
          </cell>
          <cell r="K60">
            <v>43488</v>
          </cell>
          <cell r="L60" t="str">
            <v>CC</v>
          </cell>
          <cell r="M60">
            <v>53051195</v>
          </cell>
          <cell r="N60" t="str">
            <v>MONICA  COY DE MARQUEZ</v>
          </cell>
        </row>
        <row r="61">
          <cell r="J61">
            <v>99</v>
          </cell>
          <cell r="K61">
            <v>43486</v>
          </cell>
          <cell r="L61" t="str">
            <v>CC</v>
          </cell>
          <cell r="M61">
            <v>1015401538</v>
          </cell>
          <cell r="N61" t="str">
            <v>ANA MARIA FLOREZ FLOREZ</v>
          </cell>
        </row>
        <row r="62">
          <cell r="J62">
            <v>142</v>
          </cell>
          <cell r="K62">
            <v>43488</v>
          </cell>
          <cell r="L62" t="str">
            <v>CC</v>
          </cell>
          <cell r="M62">
            <v>1022330414</v>
          </cell>
          <cell r="N62" t="str">
            <v>SERGIO IVAN ROJAS BERRIO</v>
          </cell>
        </row>
        <row r="63">
          <cell r="J63">
            <v>47</v>
          </cell>
          <cell r="K63">
            <v>43483</v>
          </cell>
          <cell r="L63" t="str">
            <v>CC</v>
          </cell>
          <cell r="M63">
            <v>80014723</v>
          </cell>
          <cell r="N63" t="str">
            <v>MAURICIO  CORTES GARZON</v>
          </cell>
        </row>
        <row r="64">
          <cell r="J64">
            <v>43</v>
          </cell>
          <cell r="K64">
            <v>43483</v>
          </cell>
          <cell r="L64" t="str">
            <v>CC</v>
          </cell>
          <cell r="M64">
            <v>1022381674</v>
          </cell>
          <cell r="N64" t="str">
            <v>SHARON NATHALY BALLESTEROS SUAREZ</v>
          </cell>
        </row>
        <row r="65">
          <cell r="J65">
            <v>137</v>
          </cell>
          <cell r="K65">
            <v>43488</v>
          </cell>
          <cell r="L65" t="str">
            <v>CC</v>
          </cell>
          <cell r="M65">
            <v>52390572</v>
          </cell>
          <cell r="N65" t="str">
            <v>PAOLA ALEJANDRA BUITRAGO CORTES</v>
          </cell>
        </row>
        <row r="66">
          <cell r="J66">
            <v>148</v>
          </cell>
          <cell r="K66">
            <v>43489</v>
          </cell>
          <cell r="L66" t="str">
            <v>CC</v>
          </cell>
          <cell r="M66">
            <v>1018423829</v>
          </cell>
          <cell r="N66" t="str">
            <v>PAOLA ANDREA LUNA CORTES</v>
          </cell>
        </row>
        <row r="67">
          <cell r="J67">
            <v>187</v>
          </cell>
          <cell r="K67">
            <v>43495</v>
          </cell>
          <cell r="L67" t="str">
            <v>CC</v>
          </cell>
          <cell r="M67">
            <v>1072649583</v>
          </cell>
          <cell r="N67" t="str">
            <v>LINA MARCELA MORENO ROA</v>
          </cell>
        </row>
        <row r="68">
          <cell r="J68">
            <v>188</v>
          </cell>
          <cell r="K68">
            <v>43495</v>
          </cell>
          <cell r="L68" t="str">
            <v>CC</v>
          </cell>
          <cell r="M68">
            <v>80859872</v>
          </cell>
          <cell r="N68" t="str">
            <v>JOHAN ALBERTO GARZON CASTAÑEDA</v>
          </cell>
        </row>
        <row r="69">
          <cell r="J69">
            <v>193</v>
          </cell>
          <cell r="K69">
            <v>43496</v>
          </cell>
          <cell r="L69" t="str">
            <v>CC</v>
          </cell>
          <cell r="M69">
            <v>80504076</v>
          </cell>
          <cell r="N69" t="str">
            <v>DIEGO LUIS ROBAYO DE ANGULO</v>
          </cell>
        </row>
        <row r="70">
          <cell r="J70">
            <v>44</v>
          </cell>
          <cell r="K70">
            <v>43483</v>
          </cell>
          <cell r="L70" t="str">
            <v>CC</v>
          </cell>
          <cell r="M70">
            <v>1057574035</v>
          </cell>
          <cell r="N70" t="str">
            <v>JUAN PABLO SANCHEZ CHAVES</v>
          </cell>
        </row>
        <row r="71">
          <cell r="J71">
            <v>140</v>
          </cell>
          <cell r="K71">
            <v>43488</v>
          </cell>
          <cell r="L71" t="str">
            <v>CC</v>
          </cell>
          <cell r="M71">
            <v>1012360177</v>
          </cell>
          <cell r="N71" t="str">
            <v>JUAN CARLOS SARMIENTO NOVOA</v>
          </cell>
        </row>
        <row r="72">
          <cell r="J72">
            <v>150</v>
          </cell>
          <cell r="K72">
            <v>43489</v>
          </cell>
          <cell r="L72" t="str">
            <v>CC</v>
          </cell>
          <cell r="M72">
            <v>1097391309</v>
          </cell>
          <cell r="N72" t="str">
            <v>ANA GABRIELA PINILLA GONZALEZ</v>
          </cell>
        </row>
        <row r="73">
          <cell r="J73">
            <v>194</v>
          </cell>
          <cell r="K73">
            <v>43496</v>
          </cell>
          <cell r="L73" t="str">
            <v>CC</v>
          </cell>
          <cell r="M73">
            <v>1010203131</v>
          </cell>
          <cell r="N73" t="str">
            <v>Jorge Eliecer Rodriguez Casallas</v>
          </cell>
        </row>
        <row r="74">
          <cell r="J74">
            <v>52</v>
          </cell>
          <cell r="K74">
            <v>43483</v>
          </cell>
          <cell r="L74" t="str">
            <v>CC</v>
          </cell>
          <cell r="M74">
            <v>1130615434</v>
          </cell>
          <cell r="N74" t="str">
            <v>DIEGO IVAN MENESES FIGUEROA</v>
          </cell>
        </row>
        <row r="75">
          <cell r="J75">
            <v>46</v>
          </cell>
          <cell r="K75">
            <v>43483</v>
          </cell>
          <cell r="L75" t="str">
            <v>CC</v>
          </cell>
          <cell r="M75">
            <v>41644787</v>
          </cell>
          <cell r="N75" t="str">
            <v>LEONOR ISBELIA GOMEZ HERNANDEZ</v>
          </cell>
        </row>
        <row r="141">
          <cell r="J141">
            <v>37</v>
          </cell>
          <cell r="K141">
            <v>43483</v>
          </cell>
          <cell r="L141" t="str">
            <v>CC</v>
          </cell>
          <cell r="M141">
            <v>9725241</v>
          </cell>
          <cell r="N141" t="str">
            <v>JUAN PABLO HENAO VALLEJO</v>
          </cell>
        </row>
        <row r="142">
          <cell r="J142">
            <v>202</v>
          </cell>
          <cell r="K142">
            <v>43496</v>
          </cell>
          <cell r="L142" t="str">
            <v>CC</v>
          </cell>
          <cell r="M142">
            <v>80504076</v>
          </cell>
          <cell r="N142" t="str">
            <v>DIEGO LUIS ROBAYO DE ANGULO</v>
          </cell>
        </row>
        <row r="143">
          <cell r="J143">
            <v>38</v>
          </cell>
          <cell r="K143">
            <v>43483</v>
          </cell>
          <cell r="L143" t="str">
            <v>CC</v>
          </cell>
          <cell r="M143">
            <v>51916256</v>
          </cell>
          <cell r="N143" t="str">
            <v>YOLANDA  LOPEZ CORREAL</v>
          </cell>
        </row>
        <row r="144">
          <cell r="J144">
            <v>110</v>
          </cell>
          <cell r="K144">
            <v>43487</v>
          </cell>
          <cell r="L144" t="str">
            <v>CC</v>
          </cell>
          <cell r="M144">
            <v>52928509</v>
          </cell>
          <cell r="N144" t="str">
            <v>DIANA MARCELA GARCIA SIERRA</v>
          </cell>
        </row>
        <row r="145">
          <cell r="J145">
            <v>36</v>
          </cell>
          <cell r="K145">
            <v>43483</v>
          </cell>
          <cell r="L145" t="str">
            <v>CC</v>
          </cell>
          <cell r="M145">
            <v>51567474</v>
          </cell>
          <cell r="N145" t="str">
            <v>GLORIA LIDIA RODRIGUEZ CASTRO</v>
          </cell>
        </row>
        <row r="146">
          <cell r="J146">
            <v>129</v>
          </cell>
          <cell r="K146">
            <v>43487</v>
          </cell>
          <cell r="L146" t="str">
            <v>CC</v>
          </cell>
          <cell r="M146">
            <v>53176815</v>
          </cell>
          <cell r="N146" t="str">
            <v>CATALINA  CAVELIER ADARVE</v>
          </cell>
        </row>
        <row r="147">
          <cell r="J147">
            <v>61</v>
          </cell>
          <cell r="K147">
            <v>43486</v>
          </cell>
          <cell r="L147" t="str">
            <v>CC</v>
          </cell>
          <cell r="M147">
            <v>52807245</v>
          </cell>
          <cell r="N147" t="str">
            <v>LILIANA MARCELA PAMPLONA ROMERO</v>
          </cell>
        </row>
        <row r="148">
          <cell r="J148">
            <v>111</v>
          </cell>
          <cell r="K148">
            <v>43487</v>
          </cell>
          <cell r="L148" t="str">
            <v>CC</v>
          </cell>
          <cell r="M148">
            <v>1020715507</v>
          </cell>
          <cell r="N148" t="str">
            <v>MELISSA  SOLORZANO TORO</v>
          </cell>
        </row>
        <row r="149">
          <cell r="J149">
            <v>115</v>
          </cell>
          <cell r="K149">
            <v>43487</v>
          </cell>
          <cell r="L149" t="str">
            <v>CC</v>
          </cell>
          <cell r="M149">
            <v>38552282</v>
          </cell>
          <cell r="N149" t="str">
            <v>CAROLINA DEL PILAR MARTINEZ PEÑA</v>
          </cell>
        </row>
        <row r="150">
          <cell r="J150">
            <v>168</v>
          </cell>
          <cell r="K150">
            <v>43494</v>
          </cell>
          <cell r="L150" t="str">
            <v>CC</v>
          </cell>
          <cell r="M150">
            <v>19322366</v>
          </cell>
          <cell r="N150" t="str">
            <v>CARLOS  LEMA POSADA</v>
          </cell>
        </row>
        <row r="151">
          <cell r="J151">
            <v>164</v>
          </cell>
          <cell r="K151">
            <v>43494</v>
          </cell>
          <cell r="L151" t="str">
            <v>CC</v>
          </cell>
          <cell r="M151">
            <v>80720954</v>
          </cell>
          <cell r="N151" t="str">
            <v>DIEGO ANDRES MUÑOZ CASALLAS</v>
          </cell>
        </row>
        <row r="152">
          <cell r="J152">
            <v>165</v>
          </cell>
          <cell r="K152">
            <v>43494</v>
          </cell>
          <cell r="L152" t="str">
            <v>CC</v>
          </cell>
          <cell r="M152">
            <v>80041419</v>
          </cell>
          <cell r="N152" t="str">
            <v>HANZ  RIPPE GABRIEL</v>
          </cell>
        </row>
        <row r="153">
          <cell r="J153">
            <v>181</v>
          </cell>
          <cell r="K153">
            <v>43495</v>
          </cell>
          <cell r="L153" t="str">
            <v>CC</v>
          </cell>
          <cell r="M153">
            <v>80093416</v>
          </cell>
          <cell r="N153" t="str">
            <v>LUIS ALFREDO BARON LEAL</v>
          </cell>
        </row>
        <row r="154">
          <cell r="J154">
            <v>189</v>
          </cell>
          <cell r="K154">
            <v>43496</v>
          </cell>
          <cell r="L154" t="str">
            <v>CC</v>
          </cell>
          <cell r="M154">
            <v>1032451167</v>
          </cell>
          <cell r="N154" t="str">
            <v>HECTOR CAMILO GOMEZ CAMARGO</v>
          </cell>
        </row>
        <row r="155">
          <cell r="J155">
            <v>173</v>
          </cell>
          <cell r="K155">
            <v>43494</v>
          </cell>
          <cell r="L155" t="str">
            <v>CC</v>
          </cell>
          <cell r="M155">
            <v>1014244983</v>
          </cell>
          <cell r="N155" t="str">
            <v>ANA MARIA COLLAZOS SOLANO</v>
          </cell>
        </row>
        <row r="156">
          <cell r="J156">
            <v>162</v>
          </cell>
          <cell r="K156">
            <v>43494</v>
          </cell>
          <cell r="L156" t="str">
            <v>CC</v>
          </cell>
          <cell r="M156">
            <v>53120513</v>
          </cell>
          <cell r="N156" t="str">
            <v>JOHANNA MARCELA GALINDO URREGO</v>
          </cell>
        </row>
        <row r="157">
          <cell r="J157">
            <v>184</v>
          </cell>
          <cell r="K157">
            <v>43495</v>
          </cell>
          <cell r="L157" t="str">
            <v>CC</v>
          </cell>
          <cell r="M157">
            <v>1018452223</v>
          </cell>
          <cell r="N157" t="str">
            <v>JUAN FELIPE ESPINOSA DE LOS MONTEROS</v>
          </cell>
        </row>
        <row r="158">
          <cell r="J158">
            <v>167</v>
          </cell>
          <cell r="K158">
            <v>43494</v>
          </cell>
          <cell r="L158" t="str">
            <v>CC</v>
          </cell>
          <cell r="M158">
            <v>52912702</v>
          </cell>
          <cell r="N158" t="str">
            <v>MONICA ANDREA SARMIENTO ROA</v>
          </cell>
        </row>
        <row r="159">
          <cell r="J159">
            <v>170</v>
          </cell>
          <cell r="K159">
            <v>43494</v>
          </cell>
          <cell r="L159" t="str">
            <v>CC</v>
          </cell>
          <cell r="M159">
            <v>45545356</v>
          </cell>
          <cell r="N159" t="str">
            <v>SANDRA ESTER MENDOZA LAFAURIE</v>
          </cell>
        </row>
        <row r="160">
          <cell r="J160">
            <v>174</v>
          </cell>
          <cell r="K160">
            <v>43495</v>
          </cell>
          <cell r="L160" t="str">
            <v>CC</v>
          </cell>
          <cell r="M160">
            <v>1033677719</v>
          </cell>
          <cell r="N160" t="str">
            <v>CARLOS ARTURO ROJAS PEREZ</v>
          </cell>
        </row>
        <row r="161">
          <cell r="J161">
            <v>163</v>
          </cell>
          <cell r="K161">
            <v>43494</v>
          </cell>
          <cell r="L161" t="str">
            <v>CC</v>
          </cell>
          <cell r="M161">
            <v>53122083</v>
          </cell>
          <cell r="N161" t="str">
            <v>GINA CATHERINE LEON CABRERA</v>
          </cell>
        </row>
        <row r="162">
          <cell r="J162">
            <v>180</v>
          </cell>
          <cell r="K162">
            <v>43495</v>
          </cell>
          <cell r="L162" t="str">
            <v>CC</v>
          </cell>
          <cell r="M162">
            <v>1019065560</v>
          </cell>
          <cell r="N162" t="str">
            <v>JUAN SEBASTIAN PINTO MUÑOZ</v>
          </cell>
        </row>
        <row r="163">
          <cell r="J163">
            <v>179</v>
          </cell>
          <cell r="K163">
            <v>43495</v>
          </cell>
          <cell r="L163" t="str">
            <v>CC</v>
          </cell>
          <cell r="M163">
            <v>79515828</v>
          </cell>
          <cell r="N163" t="str">
            <v>MIGUEL ANTONIO RODRIGUEZ SILVA</v>
          </cell>
        </row>
        <row r="164">
          <cell r="J164">
            <v>176</v>
          </cell>
          <cell r="K164">
            <v>43495</v>
          </cell>
          <cell r="L164" t="str">
            <v>CC</v>
          </cell>
          <cell r="M164">
            <v>38602381</v>
          </cell>
          <cell r="N164" t="str">
            <v>LAURA  MEJIA TORRES</v>
          </cell>
        </row>
        <row r="165">
          <cell r="J165">
            <v>192</v>
          </cell>
          <cell r="K165">
            <v>43496</v>
          </cell>
          <cell r="L165" t="str">
            <v>CC</v>
          </cell>
          <cell r="M165">
            <v>53166489</v>
          </cell>
          <cell r="N165" t="str">
            <v>CONSTANZA  MEDINA DIAZ</v>
          </cell>
        </row>
        <row r="166">
          <cell r="J166">
            <v>191</v>
          </cell>
          <cell r="K166">
            <v>43496</v>
          </cell>
          <cell r="L166" t="str">
            <v>CC</v>
          </cell>
          <cell r="M166">
            <v>1026263133</v>
          </cell>
          <cell r="N166" t="str">
            <v>MARIA ALEJANDRA TORO VESGA</v>
          </cell>
        </row>
        <row r="167">
          <cell r="J167">
            <v>190</v>
          </cell>
          <cell r="K167">
            <v>43496</v>
          </cell>
          <cell r="L167" t="str">
            <v>CC</v>
          </cell>
          <cell r="M167">
            <v>1014272803</v>
          </cell>
          <cell r="N167" t="str">
            <v>edgar andres gutierrez sanchez</v>
          </cell>
        </row>
        <row r="168">
          <cell r="J168">
            <v>42</v>
          </cell>
          <cell r="K168">
            <v>43483</v>
          </cell>
          <cell r="L168" t="str">
            <v>CC</v>
          </cell>
          <cell r="M168">
            <v>52702693</v>
          </cell>
          <cell r="N168" t="str">
            <v>YESICA MILENA ACOSTA MOLINA</v>
          </cell>
        </row>
        <row r="169">
          <cell r="J169">
            <v>157</v>
          </cell>
          <cell r="K169">
            <v>43490</v>
          </cell>
          <cell r="L169" t="str">
            <v>NIT</v>
          </cell>
          <cell r="M169">
            <v>830037248</v>
          </cell>
          <cell r="N169" t="str">
            <v>CODENSA S. A. ESP</v>
          </cell>
        </row>
        <row r="170">
          <cell r="J170">
            <v>204</v>
          </cell>
          <cell r="K170">
            <v>43496</v>
          </cell>
          <cell r="L170" t="str">
            <v>CC</v>
          </cell>
          <cell r="M170">
            <v>79683697</v>
          </cell>
          <cell r="N170" t="str">
            <v>ALBERTO ANDRES GOMEZ MOSQUERA</v>
          </cell>
        </row>
        <row r="171">
          <cell r="J171">
            <v>132</v>
          </cell>
          <cell r="K171">
            <v>43488</v>
          </cell>
          <cell r="L171" t="str">
            <v>NIT</v>
          </cell>
          <cell r="M171">
            <v>901145808</v>
          </cell>
          <cell r="N171" t="str">
            <v>PROMOAMBIENTAL DISTRITO S A S ESP</v>
          </cell>
        </row>
        <row r="172">
          <cell r="J172">
            <v>57</v>
          </cell>
          <cell r="K172">
            <v>43486</v>
          </cell>
          <cell r="L172" t="str">
            <v>NIT</v>
          </cell>
          <cell r="M172">
            <v>899999115</v>
          </cell>
          <cell r="N172" t="str">
            <v>EMPRESA DE TELECOMUNICACIONES DE BOGOTA SA ESP</v>
          </cell>
        </row>
        <row r="173">
          <cell r="J173">
            <v>58</v>
          </cell>
          <cell r="K173">
            <v>43486</v>
          </cell>
          <cell r="L173" t="str">
            <v>NIT</v>
          </cell>
          <cell r="M173">
            <v>899999115</v>
          </cell>
          <cell r="N173" t="str">
            <v>EMPRESA DE TELECOMUNICACIONES DE BOGOTA SA ESP</v>
          </cell>
        </row>
        <row r="174">
          <cell r="J174">
            <v>131</v>
          </cell>
          <cell r="K174">
            <v>43488</v>
          </cell>
          <cell r="L174" t="str">
            <v>NIT</v>
          </cell>
          <cell r="M174">
            <v>899999115</v>
          </cell>
          <cell r="N174" t="str">
            <v>EMPRESA DE TELECOMUNICACIONES DE BOGOTA SA ESP</v>
          </cell>
        </row>
        <row r="175">
          <cell r="J175">
            <v>30</v>
          </cell>
          <cell r="K175">
            <v>43483</v>
          </cell>
          <cell r="L175" t="str">
            <v>CC</v>
          </cell>
          <cell r="M175">
            <v>79380681</v>
          </cell>
          <cell r="N175" t="str">
            <v>ORLANDO  ARIAS CAICEDO</v>
          </cell>
        </row>
        <row r="176">
          <cell r="J176">
            <v>20</v>
          </cell>
          <cell r="K176">
            <v>43481</v>
          </cell>
          <cell r="L176" t="str">
            <v>CC</v>
          </cell>
          <cell r="M176">
            <v>51783758</v>
          </cell>
          <cell r="N176" t="str">
            <v>OLGA LUCIA VERGARA ARENAS</v>
          </cell>
        </row>
        <row r="177">
          <cell r="J177">
            <v>11</v>
          </cell>
          <cell r="K177">
            <v>43480</v>
          </cell>
          <cell r="L177" t="str">
            <v>CC</v>
          </cell>
          <cell r="M177">
            <v>80055570</v>
          </cell>
          <cell r="N177" t="str">
            <v>KRISTHIAM ANDRES CARRIZOSA TRUJILLO</v>
          </cell>
        </row>
        <row r="178">
          <cell r="J178">
            <v>8</v>
          </cell>
          <cell r="K178">
            <v>43480</v>
          </cell>
          <cell r="L178" t="str">
            <v>CC</v>
          </cell>
          <cell r="M178">
            <v>51554132</v>
          </cell>
          <cell r="N178" t="str">
            <v>ADRIANA  BERNAO GUTIERREZ</v>
          </cell>
        </row>
        <row r="179">
          <cell r="J179">
            <v>7</v>
          </cell>
          <cell r="K179">
            <v>43480</v>
          </cell>
          <cell r="L179" t="str">
            <v>CC</v>
          </cell>
          <cell r="M179">
            <v>79905599</v>
          </cell>
          <cell r="N179" t="str">
            <v>HELBER AURELIO SILVA LEGUIZAMON</v>
          </cell>
        </row>
        <row r="180">
          <cell r="J180">
            <v>159</v>
          </cell>
          <cell r="K180">
            <v>43490</v>
          </cell>
          <cell r="L180" t="str">
            <v>NIT</v>
          </cell>
          <cell r="M180">
            <v>900171311</v>
          </cell>
          <cell r="N180" t="str">
            <v>TECHNOLOGY WORLD GROUP SAS</v>
          </cell>
        </row>
        <row r="181">
          <cell r="J181">
            <v>10</v>
          </cell>
          <cell r="K181">
            <v>43480</v>
          </cell>
          <cell r="L181" t="str">
            <v>CC</v>
          </cell>
          <cell r="M181">
            <v>52991321</v>
          </cell>
          <cell r="N181" t="str">
            <v>SANDRA YANETH ROMO BENAVIDES</v>
          </cell>
        </row>
        <row r="182">
          <cell r="J182">
            <v>9</v>
          </cell>
          <cell r="K182">
            <v>43480</v>
          </cell>
          <cell r="L182" t="str">
            <v>CC</v>
          </cell>
          <cell r="M182">
            <v>52907805</v>
          </cell>
          <cell r="N182" t="str">
            <v>DIANA MARCELA RAMIREZ CASTILLO</v>
          </cell>
        </row>
        <row r="183">
          <cell r="J183">
            <v>6</v>
          </cell>
          <cell r="K183">
            <v>43480</v>
          </cell>
          <cell r="L183" t="str">
            <v>CC</v>
          </cell>
          <cell r="M183">
            <v>1030528018</v>
          </cell>
          <cell r="N183" t="str">
            <v>HELBERT MAURICIO GUZMAN MATIAS</v>
          </cell>
        </row>
        <row r="184">
          <cell r="J184">
            <v>31</v>
          </cell>
          <cell r="K184">
            <v>43483</v>
          </cell>
          <cell r="L184" t="str">
            <v>CC</v>
          </cell>
          <cell r="M184">
            <v>1030583336</v>
          </cell>
          <cell r="N184" t="str">
            <v>RONALD  MORERA ESTEVEZ</v>
          </cell>
        </row>
        <row r="185">
          <cell r="J185">
            <v>32</v>
          </cell>
          <cell r="K185">
            <v>43483</v>
          </cell>
          <cell r="L185" t="str">
            <v>CC</v>
          </cell>
          <cell r="M185">
            <v>1032416316</v>
          </cell>
          <cell r="N185" t="str">
            <v>DANILO  SANCHEZ SUARIQUE</v>
          </cell>
        </row>
        <row r="186">
          <cell r="J186">
            <v>34</v>
          </cell>
          <cell r="K186">
            <v>43483</v>
          </cell>
          <cell r="L186" t="str">
            <v>CC</v>
          </cell>
          <cell r="M186">
            <v>1010161501</v>
          </cell>
          <cell r="N186" t="str">
            <v>MAGALLY SUSANA MOREA PEÑA</v>
          </cell>
        </row>
        <row r="187">
          <cell r="J187">
            <v>14</v>
          </cell>
          <cell r="K187">
            <v>43480</v>
          </cell>
          <cell r="L187" t="str">
            <v>CC</v>
          </cell>
          <cell r="M187">
            <v>1113640263</v>
          </cell>
          <cell r="N187" t="str">
            <v>ANDERSON  MARTINEZ VAHOS</v>
          </cell>
        </row>
        <row r="188">
          <cell r="J188">
            <v>15</v>
          </cell>
          <cell r="K188">
            <v>43481</v>
          </cell>
          <cell r="L188" t="str">
            <v>CC</v>
          </cell>
          <cell r="M188">
            <v>79627678</v>
          </cell>
          <cell r="N188" t="str">
            <v>ANDRES  CARDENAS VILLAMIL</v>
          </cell>
        </row>
        <row r="189">
          <cell r="J189">
            <v>12</v>
          </cell>
          <cell r="K189">
            <v>43480</v>
          </cell>
          <cell r="L189" t="str">
            <v>CC</v>
          </cell>
          <cell r="M189">
            <v>1119886269</v>
          </cell>
          <cell r="N189" t="str">
            <v>LEYSI YURANI GIRALDO MEDINA</v>
          </cell>
        </row>
        <row r="190">
          <cell r="J190">
            <v>13</v>
          </cell>
          <cell r="K190">
            <v>43480</v>
          </cell>
          <cell r="L190" t="str">
            <v>CC</v>
          </cell>
          <cell r="M190">
            <v>1130625060</v>
          </cell>
          <cell r="N190" t="str">
            <v>VICTOR MANUEL ALFONSO MEDINA</v>
          </cell>
        </row>
        <row r="191">
          <cell r="J191">
            <v>40</v>
          </cell>
          <cell r="K191">
            <v>43483</v>
          </cell>
          <cell r="L191" t="str">
            <v>CC</v>
          </cell>
          <cell r="M191">
            <v>52735744</v>
          </cell>
          <cell r="N191" t="str">
            <v>ANGELICA ESPERANZA ACUÑA HERNANDEZ</v>
          </cell>
        </row>
        <row r="192">
          <cell r="J192">
            <v>82</v>
          </cell>
          <cell r="K192">
            <v>43486</v>
          </cell>
          <cell r="L192" t="str">
            <v>CC</v>
          </cell>
          <cell r="M192">
            <v>1023876968</v>
          </cell>
          <cell r="N192" t="str">
            <v>DARIO FERDEY YAIMA TOCANCIPA</v>
          </cell>
        </row>
        <row r="193">
          <cell r="J193">
            <v>51</v>
          </cell>
          <cell r="K193">
            <v>43483</v>
          </cell>
          <cell r="L193" t="str">
            <v>CC</v>
          </cell>
          <cell r="M193">
            <v>36180733</v>
          </cell>
          <cell r="N193" t="str">
            <v>IRMA  CASTAÑEDA RAMIREZ</v>
          </cell>
        </row>
        <row r="194">
          <cell r="J194">
            <v>55</v>
          </cell>
          <cell r="K194">
            <v>43483</v>
          </cell>
          <cell r="L194" t="str">
            <v>CC</v>
          </cell>
          <cell r="M194">
            <v>53130409</v>
          </cell>
          <cell r="N194" t="str">
            <v>JEIMMY SOLEY QUIROGA RAMIREZ</v>
          </cell>
        </row>
        <row r="195">
          <cell r="J195">
            <v>81</v>
          </cell>
          <cell r="K195">
            <v>43486</v>
          </cell>
          <cell r="L195" t="str">
            <v>CC</v>
          </cell>
          <cell r="M195">
            <v>80813338</v>
          </cell>
          <cell r="N195" t="str">
            <v>OMAR ALEXANDER PATIÑO PINEDA</v>
          </cell>
        </row>
        <row r="196">
          <cell r="J196">
            <v>103</v>
          </cell>
          <cell r="K196">
            <v>43487</v>
          </cell>
          <cell r="L196" t="str">
            <v>CC</v>
          </cell>
          <cell r="M196">
            <v>1052382465</v>
          </cell>
          <cell r="N196" t="str">
            <v>Oscar Fabian Uyaban Dueñas</v>
          </cell>
        </row>
        <row r="197">
          <cell r="J197">
            <v>105</v>
          </cell>
          <cell r="K197">
            <v>43487</v>
          </cell>
          <cell r="L197" t="str">
            <v>CC</v>
          </cell>
          <cell r="M197">
            <v>24337588</v>
          </cell>
          <cell r="N197" t="str">
            <v>YURY ALEJANDRA QUINTERO CASTAÑO</v>
          </cell>
        </row>
        <row r="198">
          <cell r="J198">
            <v>53</v>
          </cell>
          <cell r="K198">
            <v>43483</v>
          </cell>
          <cell r="L198" t="str">
            <v>CC</v>
          </cell>
          <cell r="M198">
            <v>80932456</v>
          </cell>
          <cell r="N198" t="str">
            <v>DAVID ALEXANDER WILCHES FLOREZ</v>
          </cell>
        </row>
        <row r="199">
          <cell r="J199">
            <v>41</v>
          </cell>
          <cell r="K199">
            <v>43483</v>
          </cell>
          <cell r="L199" t="str">
            <v>CC</v>
          </cell>
          <cell r="M199">
            <v>1022363131</v>
          </cell>
          <cell r="N199" t="str">
            <v>ANGELA MARIA CASTRO CEPEDA</v>
          </cell>
        </row>
        <row r="200">
          <cell r="J200">
            <v>33</v>
          </cell>
          <cell r="K200">
            <v>43483</v>
          </cell>
          <cell r="L200" t="str">
            <v>CC</v>
          </cell>
          <cell r="M200">
            <v>1069733981</v>
          </cell>
          <cell r="N200" t="str">
            <v>edwin alexander leon gonzalez</v>
          </cell>
        </row>
        <row r="201">
          <cell r="J201">
            <v>112</v>
          </cell>
          <cell r="K201">
            <v>43487</v>
          </cell>
          <cell r="L201" t="str">
            <v>CC</v>
          </cell>
          <cell r="M201">
            <v>79734158</v>
          </cell>
          <cell r="N201" t="str">
            <v>JUAN CARLOS ALVARADO PEÑA</v>
          </cell>
        </row>
        <row r="202">
          <cell r="J202">
            <v>83</v>
          </cell>
          <cell r="K202">
            <v>43486</v>
          </cell>
          <cell r="L202" t="str">
            <v>CC</v>
          </cell>
          <cell r="M202">
            <v>79852849</v>
          </cell>
          <cell r="N202" t="str">
            <v>CARLOS HERNANDO SANDOVAL MORA</v>
          </cell>
        </row>
        <row r="203">
          <cell r="J203">
            <v>80</v>
          </cell>
          <cell r="K203">
            <v>43486</v>
          </cell>
          <cell r="L203" t="str">
            <v>CC</v>
          </cell>
          <cell r="M203">
            <v>80816938</v>
          </cell>
          <cell r="N203" t="str">
            <v>CRISTIAN STEPH VELASQUEZ ALEJO</v>
          </cell>
        </row>
        <row r="204">
          <cell r="J204">
            <v>84</v>
          </cell>
          <cell r="K204">
            <v>43486</v>
          </cell>
          <cell r="L204" t="str">
            <v>CC</v>
          </cell>
          <cell r="M204">
            <v>79983062</v>
          </cell>
          <cell r="N204" t="str">
            <v>JOSE ANTONIO RAMIREZ OROZCO</v>
          </cell>
        </row>
        <row r="205">
          <cell r="J205">
            <v>116</v>
          </cell>
          <cell r="K205">
            <v>43487</v>
          </cell>
          <cell r="L205" t="str">
            <v>CC</v>
          </cell>
          <cell r="M205">
            <v>80733024</v>
          </cell>
          <cell r="N205" t="str">
            <v>LUIS CARLOS YUSTY TRUJILLO</v>
          </cell>
        </row>
        <row r="206">
          <cell r="J206">
            <v>107</v>
          </cell>
          <cell r="K206">
            <v>43487</v>
          </cell>
          <cell r="L206" t="str">
            <v>CC</v>
          </cell>
          <cell r="M206">
            <v>35503024</v>
          </cell>
          <cell r="N206" t="str">
            <v>CATALINA MARGARITA MO NAGY PATIÑO</v>
          </cell>
        </row>
        <row r="207">
          <cell r="J207">
            <v>128</v>
          </cell>
          <cell r="K207">
            <v>43487</v>
          </cell>
          <cell r="L207" t="str">
            <v>CC</v>
          </cell>
          <cell r="M207">
            <v>79489523</v>
          </cell>
          <cell r="N207" t="str">
            <v>JUAN ANDRES POVEDA RIAÑO</v>
          </cell>
        </row>
        <row r="208">
          <cell r="J208">
            <v>149</v>
          </cell>
          <cell r="K208">
            <v>43489</v>
          </cell>
          <cell r="L208" t="str">
            <v>CC</v>
          </cell>
          <cell r="M208">
            <v>80005591</v>
          </cell>
          <cell r="N208" t="str">
            <v>CHARLY ALEXANDER ROCIASCO MENDEZ</v>
          </cell>
        </row>
        <row r="209">
          <cell r="J209">
            <v>151</v>
          </cell>
          <cell r="K209">
            <v>43489</v>
          </cell>
          <cell r="L209" t="str">
            <v>CC</v>
          </cell>
          <cell r="M209">
            <v>80209434</v>
          </cell>
          <cell r="N209" t="str">
            <v>MILLER ALEJANDRO CASTRO PEREZ</v>
          </cell>
        </row>
        <row r="210">
          <cell r="J210">
            <v>94</v>
          </cell>
          <cell r="K210">
            <v>43486</v>
          </cell>
          <cell r="L210" t="str">
            <v>CC</v>
          </cell>
          <cell r="M210">
            <v>51815339</v>
          </cell>
          <cell r="N210" t="str">
            <v>MARIELA  CAJAMARCA DIAZ</v>
          </cell>
        </row>
        <row r="211">
          <cell r="J211">
            <v>185</v>
          </cell>
          <cell r="K211">
            <v>43495</v>
          </cell>
          <cell r="L211" t="str">
            <v>CC</v>
          </cell>
          <cell r="M211">
            <v>80156853</v>
          </cell>
          <cell r="N211" t="str">
            <v>EDGAR ANDRES MONCADA RUBIO</v>
          </cell>
        </row>
        <row r="212">
          <cell r="J212">
            <v>96</v>
          </cell>
          <cell r="K212">
            <v>43486</v>
          </cell>
          <cell r="L212" t="str">
            <v>CC</v>
          </cell>
          <cell r="M212">
            <v>1023912943</v>
          </cell>
          <cell r="N212" t="str">
            <v>camilo andres moreno malagon</v>
          </cell>
        </row>
        <row r="213">
          <cell r="J213">
            <v>152</v>
          </cell>
          <cell r="K213">
            <v>43490</v>
          </cell>
          <cell r="L213" t="str">
            <v>CC</v>
          </cell>
          <cell r="M213">
            <v>51567894</v>
          </cell>
          <cell r="N213" t="str">
            <v>MARIA CRISTINA SALINAS RUIZ</v>
          </cell>
        </row>
        <row r="214">
          <cell r="J214">
            <v>93</v>
          </cell>
          <cell r="K214">
            <v>43486</v>
          </cell>
          <cell r="L214" t="str">
            <v>CC</v>
          </cell>
          <cell r="M214">
            <v>79844029</v>
          </cell>
          <cell r="N214" t="str">
            <v>EDWIN ARTURO RUIZ MORENO</v>
          </cell>
        </row>
        <row r="215">
          <cell r="J215">
            <v>171</v>
          </cell>
          <cell r="K215">
            <v>43494</v>
          </cell>
          <cell r="L215" t="str">
            <v>CC</v>
          </cell>
          <cell r="M215">
            <v>51826377</v>
          </cell>
          <cell r="N215" t="str">
            <v>LUZ MARINA ZAPATA FLOREZ</v>
          </cell>
        </row>
        <row r="216">
          <cell r="J216">
            <v>154</v>
          </cell>
          <cell r="K216">
            <v>43490</v>
          </cell>
          <cell r="L216" t="str">
            <v>CC</v>
          </cell>
          <cell r="M216">
            <v>52740161</v>
          </cell>
          <cell r="N216" t="str">
            <v>NANCY  ZAMORA</v>
          </cell>
        </row>
        <row r="217">
          <cell r="J217">
            <v>153</v>
          </cell>
          <cell r="K217">
            <v>43490</v>
          </cell>
          <cell r="L217" t="str">
            <v>CC</v>
          </cell>
          <cell r="M217">
            <v>51566749</v>
          </cell>
          <cell r="N217" t="str">
            <v>NUBIA STELLA LIZARAZO SIERRA</v>
          </cell>
        </row>
        <row r="218">
          <cell r="J218">
            <v>68</v>
          </cell>
          <cell r="K218">
            <v>43486</v>
          </cell>
          <cell r="L218" t="str">
            <v>CC</v>
          </cell>
          <cell r="M218">
            <v>1016053047</v>
          </cell>
          <cell r="N218" t="str">
            <v>EDNA CAMILA DEL CONSUELO ACERO TINOCO</v>
          </cell>
        </row>
        <row r="219">
          <cell r="J219">
            <v>95</v>
          </cell>
          <cell r="K219">
            <v>43486</v>
          </cell>
          <cell r="L219" t="str">
            <v>CC</v>
          </cell>
          <cell r="M219">
            <v>79668338</v>
          </cell>
          <cell r="N219" t="str">
            <v>JAIBER ALFONSO SARMIENTO RUIZ</v>
          </cell>
        </row>
        <row r="220">
          <cell r="J220">
            <v>79</v>
          </cell>
          <cell r="K220">
            <v>43486</v>
          </cell>
          <cell r="L220" t="str">
            <v>CC</v>
          </cell>
          <cell r="M220">
            <v>1070918145</v>
          </cell>
          <cell r="N220" t="str">
            <v>JENNY GISELL QUEVEDO QUEVEDO</v>
          </cell>
        </row>
        <row r="221">
          <cell r="J221">
            <v>70</v>
          </cell>
          <cell r="K221">
            <v>43486</v>
          </cell>
          <cell r="L221" t="str">
            <v>CC</v>
          </cell>
          <cell r="M221">
            <v>1019079224</v>
          </cell>
          <cell r="N221" t="str">
            <v>NATALIA  TORRES GARZON</v>
          </cell>
        </row>
        <row r="222">
          <cell r="J222">
            <v>186</v>
          </cell>
          <cell r="K222">
            <v>43495</v>
          </cell>
          <cell r="L222" t="str">
            <v>CC</v>
          </cell>
          <cell r="M222">
            <v>35894001</v>
          </cell>
          <cell r="N222" t="str">
            <v>SANDRA PATRICIA PALACIOS ARCE</v>
          </cell>
        </row>
        <row r="223">
          <cell r="J223">
            <v>183</v>
          </cell>
          <cell r="K223">
            <v>43495</v>
          </cell>
          <cell r="L223" t="str">
            <v>NIT</v>
          </cell>
          <cell r="M223">
            <v>901182191</v>
          </cell>
          <cell r="N223" t="str">
            <v>UNION TEMPORAL ANE 2018</v>
          </cell>
        </row>
        <row r="224">
          <cell r="J224">
            <v>160</v>
          </cell>
          <cell r="K224">
            <v>43493</v>
          </cell>
          <cell r="L224" t="str">
            <v>CC</v>
          </cell>
          <cell r="M224">
            <v>52526173</v>
          </cell>
          <cell r="N224" t="str">
            <v>MONICA  PALACIOS OVIEDO</v>
          </cell>
        </row>
        <row r="225">
          <cell r="J225">
            <v>178</v>
          </cell>
          <cell r="K225">
            <v>43495</v>
          </cell>
          <cell r="L225" t="str">
            <v>CC</v>
          </cell>
          <cell r="M225">
            <v>1127572078</v>
          </cell>
          <cell r="N225" t="str">
            <v>DEBORATH LUCIA GASCON OLARTE</v>
          </cell>
        </row>
        <row r="226">
          <cell r="J226">
            <v>195</v>
          </cell>
          <cell r="K226">
            <v>43496</v>
          </cell>
          <cell r="L226" t="str">
            <v>CC</v>
          </cell>
          <cell r="M226">
            <v>52284866</v>
          </cell>
          <cell r="N226" t="str">
            <v>MARIA ISABEL VANEGAS SILVA</v>
          </cell>
        </row>
        <row r="227">
          <cell r="J227">
            <v>207</v>
          </cell>
          <cell r="K227">
            <v>43496</v>
          </cell>
          <cell r="L227" t="str">
            <v>CC</v>
          </cell>
          <cell r="M227">
            <v>1033731630</v>
          </cell>
          <cell r="N227" t="str">
            <v>JHON  GUAQUE</v>
          </cell>
        </row>
        <row r="228">
          <cell r="J228">
            <v>205</v>
          </cell>
          <cell r="K228">
            <v>43496</v>
          </cell>
          <cell r="L228" t="str">
            <v>CC</v>
          </cell>
          <cell r="M228">
            <v>1030532019</v>
          </cell>
          <cell r="N228" t="str">
            <v>YULY ALEJANDRA MORALES TREJOS</v>
          </cell>
        </row>
        <row r="229">
          <cell r="J229">
            <v>3</v>
          </cell>
          <cell r="K229">
            <v>43479</v>
          </cell>
          <cell r="L229" t="str">
            <v>NIT</v>
          </cell>
          <cell r="M229">
            <v>830037248</v>
          </cell>
          <cell r="N229" t="str">
            <v>CODENSA S. A. ESP</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P"/>
      <sheetName val="PLANEACION"/>
    </sheetNames>
    <sheetDataSet>
      <sheetData sheetId="0"/>
      <sheetData sheetId="1">
        <row r="194">
          <cell r="I194">
            <v>41</v>
          </cell>
          <cell r="J194">
            <v>38</v>
          </cell>
          <cell r="K194">
            <v>43483</v>
          </cell>
          <cell r="L194" t="str">
            <v>CC</v>
          </cell>
          <cell r="M194">
            <v>51916256</v>
          </cell>
          <cell r="N194" t="str">
            <v>YOLANDA  LOPEZ CORREAL</v>
          </cell>
          <cell r="O194" t="str">
            <v>CONTRATO DE PRESTACION DE SERVICIOS PROFESIONALES</v>
          </cell>
          <cell r="P194">
            <v>24</v>
          </cell>
          <cell r="Q194">
            <v>43483</v>
          </cell>
          <cell r="R194" t="str">
            <v>(Cód. 111) Prestar servicios profesionales al Instituto Distrital de Patrimonio Cultural para acompañar el desarrollo de publicaciones generadas en el marco de la estrategia de apropiación social del patrimonio cultural.</v>
          </cell>
          <cell r="S194">
            <v>77000000</v>
          </cell>
          <cell r="T194">
            <v>0</v>
          </cell>
          <cell r="U194">
            <v>0</v>
          </cell>
          <cell r="V194">
            <v>77000000</v>
          </cell>
        </row>
        <row r="195">
          <cell r="I195">
            <v>65</v>
          </cell>
          <cell r="J195">
            <v>36</v>
          </cell>
          <cell r="K195">
            <v>43483</v>
          </cell>
          <cell r="L195" t="str">
            <v>CC</v>
          </cell>
          <cell r="M195">
            <v>51567474</v>
          </cell>
          <cell r="N195" t="str">
            <v>GLORIA LIDIA RODRIGUEZ CASTRO</v>
          </cell>
          <cell r="O195" t="str">
            <v>CONTRATO DE PRESTACION DE SERVICIOS DE APOYO A LA GESTION</v>
          </cell>
          <cell r="P195">
            <v>23</v>
          </cell>
          <cell r="Q195">
            <v>43483</v>
          </cell>
          <cell r="R195" t="str">
            <v>(Cód. 56) Prestar servicios de apoyo a la gestión al Instituto Distrital de Patrimonio Cultural en las actividades administrativas y operativas desarrollados por la Subdirección de Divulgación de los Valores del Patrimonio Cultural.</v>
          </cell>
          <cell r="S195">
            <v>39600000</v>
          </cell>
          <cell r="T195">
            <v>0</v>
          </cell>
          <cell r="U195">
            <v>0</v>
          </cell>
          <cell r="V195">
            <v>39600000</v>
          </cell>
        </row>
        <row r="196">
          <cell r="I196">
            <v>40</v>
          </cell>
          <cell r="J196">
            <v>42</v>
          </cell>
          <cell r="K196">
            <v>43483</v>
          </cell>
          <cell r="L196" t="str">
            <v>CC</v>
          </cell>
          <cell r="M196">
            <v>52702693</v>
          </cell>
          <cell r="N196" t="str">
            <v>YESICA MILENA ACOSTA MOLINA</v>
          </cell>
          <cell r="O196" t="str">
            <v>CONTRATO DE PRESTACION DE SERVICIOS PROFESIONALES</v>
          </cell>
          <cell r="P196">
            <v>32</v>
          </cell>
          <cell r="Q196">
            <v>43483</v>
          </cell>
          <cell r="R196" t="str">
            <v>(Cód. 110)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v>
          </cell>
          <cell r="S196">
            <v>72820000</v>
          </cell>
          <cell r="T196">
            <v>0</v>
          </cell>
          <cell r="U196">
            <v>0</v>
          </cell>
          <cell r="V196">
            <v>72820000</v>
          </cell>
        </row>
        <row r="197">
          <cell r="I197">
            <v>81</v>
          </cell>
          <cell r="J197">
            <v>61</v>
          </cell>
          <cell r="K197">
            <v>43486</v>
          </cell>
          <cell r="L197" t="str">
            <v>CC</v>
          </cell>
          <cell r="M197">
            <v>52807245</v>
          </cell>
          <cell r="N197" t="str">
            <v>LILIANA MARCELA PAMPLONA ROMERO</v>
          </cell>
          <cell r="O197" t="str">
            <v>CONTRATO DE PRESTACION DE SERVICIOS PROFESIONALES</v>
          </cell>
          <cell r="P197">
            <v>35</v>
          </cell>
          <cell r="Q197">
            <v>43483</v>
          </cell>
          <cell r="R197" t="str">
            <v>(Cód. 71) Prestar servicios profesionales al Instituto Distrital de Patrimonio Cultural para orientar la estructuración e implementación de las acciones de fomento a las prácticas del patrimonio cultural.</v>
          </cell>
          <cell r="S197">
            <v>73645000</v>
          </cell>
          <cell r="T197">
            <v>0</v>
          </cell>
          <cell r="U197">
            <v>0</v>
          </cell>
          <cell r="V197">
            <v>73645000</v>
          </cell>
        </row>
        <row r="198">
          <cell r="I198">
            <v>59</v>
          </cell>
          <cell r="J198">
            <v>110</v>
          </cell>
          <cell r="K198">
            <v>43487</v>
          </cell>
          <cell r="L198" t="str">
            <v>CC</v>
          </cell>
          <cell r="M198">
            <v>52928509</v>
          </cell>
          <cell r="N198" t="str">
            <v>DIANA MARCELA GARCIA SIERRA</v>
          </cell>
          <cell r="O198" t="str">
            <v>CONTRATO DE PRESTACION DE SERVICIOS PROFESIONALES</v>
          </cell>
          <cell r="P198">
            <v>81</v>
          </cell>
          <cell r="Q198">
            <v>43487</v>
          </cell>
          <cell r="R198" t="str">
            <v>(Cód. 42) Prestar servicios profesionales al Instituto Distrital de Patrimonio Cultural para orientar las actividades de curaduría y museología del Museo de Bogotá.</v>
          </cell>
          <cell r="S198">
            <v>19860000</v>
          </cell>
          <cell r="T198">
            <v>0</v>
          </cell>
          <cell r="U198">
            <v>0</v>
          </cell>
          <cell r="V198">
            <v>19860000</v>
          </cell>
        </row>
        <row r="199">
          <cell r="I199">
            <v>79</v>
          </cell>
          <cell r="J199">
            <v>129</v>
          </cell>
          <cell r="K199">
            <v>43487</v>
          </cell>
          <cell r="L199" t="str">
            <v>CC</v>
          </cell>
          <cell r="M199">
            <v>53176815</v>
          </cell>
          <cell r="N199" t="str">
            <v>CATALINA  CAVELIER ADARVE</v>
          </cell>
          <cell r="O199" t="str">
            <v>CONTRATO DE PRESTACION DE SERVICIOS PROFESIONALES</v>
          </cell>
          <cell r="P199">
            <v>41</v>
          </cell>
          <cell r="Q199">
            <v>43483</v>
          </cell>
          <cell r="R199" t="str">
            <v>(Cód. 32) Prestar servicios profesionales al Instituto Distrital de Patrimonio Cultural para orientar las estrategias encaminados a la salvaguardia y apropiación social del patrimonio cultural inmaterial.</v>
          </cell>
          <cell r="S199">
            <v>72820000</v>
          </cell>
          <cell r="T199">
            <v>0</v>
          </cell>
          <cell r="U199">
            <v>0</v>
          </cell>
          <cell r="V199">
            <v>72820000</v>
          </cell>
        </row>
        <row r="200">
          <cell r="I200">
            <v>89</v>
          </cell>
          <cell r="J200">
            <v>111</v>
          </cell>
          <cell r="K200">
            <v>43487</v>
          </cell>
          <cell r="L200" t="str">
            <v>CC</v>
          </cell>
          <cell r="M200">
            <v>1020715507</v>
          </cell>
          <cell r="N200" t="str">
            <v>MELISSA  SOLORZANO TORO</v>
          </cell>
          <cell r="O200" t="str">
            <v>CONTRATO DE PRESTACION DE SERVICIOS PROFESIONALES</v>
          </cell>
          <cell r="P200">
            <v>84</v>
          </cell>
          <cell r="Q200">
            <v>43487</v>
          </cell>
          <cell r="R200" t="str">
            <v>(Cód. 80) Prestar servicios profesionales al Instituto Distrital de Patrimonio Cultural para orientar los procesos de gestión de la colección del Museo de Bogotá</v>
          </cell>
          <cell r="S200">
            <v>17880000</v>
          </cell>
          <cell r="T200">
            <v>0</v>
          </cell>
          <cell r="U200">
            <v>0</v>
          </cell>
          <cell r="V200">
            <v>17880000</v>
          </cell>
        </row>
        <row r="201">
          <cell r="I201">
            <v>103</v>
          </cell>
          <cell r="J201">
            <v>115</v>
          </cell>
          <cell r="K201">
            <v>43487</v>
          </cell>
          <cell r="L201" t="str">
            <v>CC</v>
          </cell>
          <cell r="M201">
            <v>38552282</v>
          </cell>
          <cell r="N201" t="str">
            <v>CAROLINA DEL PILAR MARTINEZ PEÑA</v>
          </cell>
          <cell r="O201" t="str">
            <v>CONTRATO DE PRESTACION DE SERVICIOS PROFESIONALES</v>
          </cell>
          <cell r="P201">
            <v>106</v>
          </cell>
          <cell r="Q201">
            <v>43487</v>
          </cell>
          <cell r="R201" t="str">
            <v>(Cód. 31) Prestar servicios profesionales al Instituto Distrital de Patrimonio Cultural para orientar las actividades periodísticas y de prensa requeridas en la estrategia de apropiación social del patrimonio cultural.</v>
          </cell>
          <cell r="S201">
            <v>95260000</v>
          </cell>
          <cell r="T201">
            <v>0</v>
          </cell>
          <cell r="U201">
            <v>0</v>
          </cell>
          <cell r="V201">
            <v>95260000</v>
          </cell>
        </row>
        <row r="202">
          <cell r="I202">
            <v>156</v>
          </cell>
          <cell r="J202">
            <v>168</v>
          </cell>
          <cell r="K202">
            <v>43494</v>
          </cell>
          <cell r="L202" t="str">
            <v>CC</v>
          </cell>
          <cell r="M202">
            <v>19322366</v>
          </cell>
          <cell r="N202" t="str">
            <v>CARLOS  LEMA POSADA</v>
          </cell>
          <cell r="O202" t="str">
            <v>CONTRATO DE PRESTACION DE SERVICIOS PROFESIONALES</v>
          </cell>
          <cell r="P202">
            <v>154</v>
          </cell>
          <cell r="Q202">
            <v>43494</v>
          </cell>
          <cell r="R202" t="str">
            <v>(Cód. 30) Prestar servicios profesionales al Instituto Distrital de Patrimonio Cultural para realizar el registro fotográfico y audiovisual requerido para la ejecución de la estrategia de apropiación social del patrimonio cultural.</v>
          </cell>
          <cell r="S202">
            <v>66880000</v>
          </cell>
          <cell r="T202">
            <v>0</v>
          </cell>
          <cell r="U202">
            <v>0</v>
          </cell>
          <cell r="V202">
            <v>66880000</v>
          </cell>
        </row>
        <row r="203">
          <cell r="I203">
            <v>157</v>
          </cell>
          <cell r="J203">
            <v>164</v>
          </cell>
          <cell r="K203">
            <v>43494</v>
          </cell>
          <cell r="L203" t="str">
            <v>CC</v>
          </cell>
          <cell r="M203">
            <v>80720954</v>
          </cell>
          <cell r="N203" t="str">
            <v>DIEGO ANDRES MUÑOZ CASALLAS</v>
          </cell>
          <cell r="O203" t="str">
            <v>CONTRATO DE PRESTACION DE SERVICIOS PROFESIONALES</v>
          </cell>
          <cell r="P203">
            <v>146</v>
          </cell>
          <cell r="Q203">
            <v>43494</v>
          </cell>
          <cell r="R203" t="str">
            <v>(Cód. 43) Prestar servicios profesionales al Instituto Distrital de Patrimonio Cultural para apoyar el desarrollo de estrategias orientadas a la apropiación social y salvaguardia del Patrimonio Cultural Inmaterial.</v>
          </cell>
          <cell r="S203">
            <v>65560000</v>
          </cell>
          <cell r="T203">
            <v>0</v>
          </cell>
          <cell r="U203">
            <v>0</v>
          </cell>
          <cell r="V203">
            <v>65560000</v>
          </cell>
        </row>
        <row r="204">
          <cell r="I204">
            <v>158</v>
          </cell>
          <cell r="J204">
            <v>165</v>
          </cell>
          <cell r="K204">
            <v>43494</v>
          </cell>
          <cell r="L204" t="str">
            <v>CC</v>
          </cell>
          <cell r="M204">
            <v>80041419</v>
          </cell>
          <cell r="N204" t="str">
            <v>HANZ  RIPPE GABRIEL</v>
          </cell>
          <cell r="O204" t="str">
            <v>CONTRATO DE PRESTACION DE SERVICIOS PROFESIONALES</v>
          </cell>
          <cell r="P204">
            <v>144</v>
          </cell>
          <cell r="Q204">
            <v>43494</v>
          </cell>
          <cell r="R204" t="str">
            <v>(Cód. 57) Prestar servicios profesionales al Instituto Distrital de Patrimonio Cultural para realizar el registro fotográfico y audiovisual requerido para la ejecución de la estrategia de comunicaciones de la entidad.</v>
          </cell>
          <cell r="S204">
            <v>70620000</v>
          </cell>
          <cell r="T204">
            <v>0</v>
          </cell>
          <cell r="U204">
            <v>0</v>
          </cell>
          <cell r="V204">
            <v>70620000</v>
          </cell>
        </row>
        <row r="205">
          <cell r="I205">
            <v>169</v>
          </cell>
          <cell r="J205">
            <v>173</v>
          </cell>
          <cell r="K205">
            <v>43494</v>
          </cell>
          <cell r="L205" t="str">
            <v>CC</v>
          </cell>
          <cell r="M205">
            <v>1014244983</v>
          </cell>
          <cell r="N205" t="str">
            <v>ANA MARIA COLLAZOS SOLANO</v>
          </cell>
          <cell r="O205" t="str">
            <v>CONTRATO DE PRESTACION DE SERVICIOS PROFESIONALES</v>
          </cell>
          <cell r="P205">
            <v>155</v>
          </cell>
          <cell r="Q205">
            <v>43495</v>
          </cell>
          <cell r="R205" t="str">
            <v>(Cód. 23) Prestar servicios profesionales al Instituto Distrital de Patrimonio Cultural para apoyar las acciones de diseño gráfico del Museo de Bogotá.</v>
          </cell>
          <cell r="S205">
            <v>14520000</v>
          </cell>
          <cell r="T205">
            <v>0</v>
          </cell>
          <cell r="U205">
            <v>0</v>
          </cell>
          <cell r="V205">
            <v>14520000</v>
          </cell>
        </row>
        <row r="206">
          <cell r="I206">
            <v>170</v>
          </cell>
          <cell r="J206">
            <v>162</v>
          </cell>
          <cell r="K206">
            <v>43494</v>
          </cell>
          <cell r="L206" t="str">
            <v>CC</v>
          </cell>
          <cell r="M206">
            <v>53120513</v>
          </cell>
          <cell r="N206" t="str">
            <v>JOHANNA MARCELA GALINDO URREGO</v>
          </cell>
          <cell r="O206" t="str">
            <v>CONTRATO DE PRESTACION DE SERVICIOS PROFESIONALES</v>
          </cell>
          <cell r="P206">
            <v>152</v>
          </cell>
          <cell r="Q206">
            <v>43494</v>
          </cell>
          <cell r="R206" t="str">
            <v>(Cód. 61) Prestar servicios profesionales al Instituto Distrital de Patrimonio Cultural para acompañar el componente pedagógico y didáctico del portafolio de servicios educativos y culturales del Museo de Bogotá.</v>
          </cell>
          <cell r="S206">
            <v>16080000</v>
          </cell>
          <cell r="T206">
            <v>0</v>
          </cell>
          <cell r="U206">
            <v>0</v>
          </cell>
          <cell r="V206">
            <v>16080000</v>
          </cell>
        </row>
        <row r="207">
          <cell r="I207">
            <v>172</v>
          </cell>
          <cell r="J207">
            <v>167</v>
          </cell>
          <cell r="K207">
            <v>43494</v>
          </cell>
          <cell r="L207" t="str">
            <v>CC</v>
          </cell>
          <cell r="M207">
            <v>52912702</v>
          </cell>
          <cell r="N207" t="str">
            <v>MONICA ANDREA SARMIENTO ROA</v>
          </cell>
          <cell r="O207" t="str">
            <v>CONTRATO DE PRESTACION DE SERVICIOS PROFESIONALES</v>
          </cell>
          <cell r="P207">
            <v>148</v>
          </cell>
          <cell r="Q207">
            <v>43494</v>
          </cell>
          <cell r="R207" t="str">
            <v xml:space="preserve">(Cód. 83) Prestar servicios profesionales al Instituto Distrital de Patrimonio Cultural para orientar el Programa de Patrimonios Locales y otras iniciativas que contribuyan a la salvaguardia y apropiación social del Patrimonio Cultural Inmaterial. </v>
          </cell>
          <cell r="S207">
            <v>50600000</v>
          </cell>
          <cell r="T207">
            <v>0</v>
          </cell>
          <cell r="U207">
            <v>0</v>
          </cell>
          <cell r="V207">
            <v>50600000</v>
          </cell>
        </row>
        <row r="208">
          <cell r="I208">
            <v>173</v>
          </cell>
          <cell r="J208">
            <v>170</v>
          </cell>
          <cell r="K208">
            <v>43494</v>
          </cell>
          <cell r="L208" t="str">
            <v>CC</v>
          </cell>
          <cell r="M208">
            <v>45545356</v>
          </cell>
          <cell r="N208" t="str">
            <v>SANDRA ESTER MENDOZA LAFAURIE</v>
          </cell>
          <cell r="O208" t="str">
            <v>CONTRATO DE PRESTACION DE SERVICIOS PROFESIONALES</v>
          </cell>
          <cell r="P208">
            <v>149</v>
          </cell>
          <cell r="Q208">
            <v>43495</v>
          </cell>
          <cell r="R208" t="str">
            <v xml:space="preserve">(Cód. 97) Prestar servicios profesionales al Instituto Distrital de Patrimonio Cultural para acompañar el componente histórico de los procesos curatoriales desarrollados por el Museo de Bogotá. </v>
          </cell>
          <cell r="S208">
            <v>17880000</v>
          </cell>
          <cell r="T208">
            <v>0</v>
          </cell>
          <cell r="U208">
            <v>0</v>
          </cell>
          <cell r="V208">
            <v>17880000</v>
          </cell>
        </row>
        <row r="209">
          <cell r="I209">
            <v>177</v>
          </cell>
          <cell r="J209">
            <v>163</v>
          </cell>
          <cell r="K209">
            <v>43494</v>
          </cell>
          <cell r="L209" t="str">
            <v>CC</v>
          </cell>
          <cell r="M209">
            <v>53122083</v>
          </cell>
          <cell r="N209" t="str">
            <v>GINA CATHERINE LEON CABRERA</v>
          </cell>
          <cell r="O209" t="str">
            <v>CONTRATO DE PRESTACION DE SERVICIOS PROFESIONALES</v>
          </cell>
          <cell r="P209">
            <v>158</v>
          </cell>
          <cell r="Q209">
            <v>43495</v>
          </cell>
          <cell r="R209" t="str">
            <v>(Cód. 53) Prestar servicios profesionales al Instituto Distrital de Patrimonio Cultural para apoyar los procesos de investigación, estructuración y redacción de guiones museológicos requeridos por el Museo de Bogotá.</v>
          </cell>
          <cell r="S209">
            <v>17880000</v>
          </cell>
          <cell r="T209">
            <v>0</v>
          </cell>
          <cell r="U209">
            <v>0</v>
          </cell>
          <cell r="V209">
            <v>17880000</v>
          </cell>
        </row>
        <row r="210">
          <cell r="I210">
            <v>159</v>
          </cell>
          <cell r="J210">
            <v>181</v>
          </cell>
          <cell r="K210">
            <v>43495</v>
          </cell>
          <cell r="L210" t="str">
            <v>CC</v>
          </cell>
          <cell r="M210">
            <v>80093416</v>
          </cell>
          <cell r="N210" t="str">
            <v>LUIS ALFREDO BARON LEAL</v>
          </cell>
          <cell r="O210" t="str">
            <v>CONTRATO DE PRESTACION DE SERVICIOS PROFESIONALES</v>
          </cell>
          <cell r="P210">
            <v>143</v>
          </cell>
          <cell r="Q210">
            <v>43495</v>
          </cell>
          <cell r="R210" t="str">
            <v>(Cód. 73) Prestar servicios profesionales al Instituto Distrital de Patrimonio Cultural para acompañar el desarrollo del componente histórico de la estrategia de apropiación social del patrimonio cultural.</v>
          </cell>
          <cell r="S210">
            <v>65560000</v>
          </cell>
          <cell r="T210">
            <v>0</v>
          </cell>
          <cell r="U210">
            <v>0</v>
          </cell>
          <cell r="V210">
            <v>65560000</v>
          </cell>
        </row>
        <row r="211">
          <cell r="I211">
            <v>171</v>
          </cell>
          <cell r="J211">
            <v>184</v>
          </cell>
          <cell r="K211">
            <v>43495</v>
          </cell>
          <cell r="L211" t="str">
            <v>CC</v>
          </cell>
          <cell r="M211">
            <v>1018452223</v>
          </cell>
          <cell r="N211" t="str">
            <v>JUAN FELIPE ESPINOSA DE LOS MONTEROS</v>
          </cell>
          <cell r="O211" t="str">
            <v>CONTRATO DE PRESTACION DE SERVICIOS PROFESIONALES</v>
          </cell>
          <cell r="P211">
            <v>150</v>
          </cell>
          <cell r="Q211">
            <v>43495</v>
          </cell>
          <cell r="R211" t="str">
            <v>(Cód. 63)  Prestar servicios profesionales al Instituto Distrital de Patrimonio Cultural para apoyar las acciones de diseño gráfico del Museo de Bogotá .</v>
          </cell>
          <cell r="S211">
            <v>13320000</v>
          </cell>
          <cell r="T211">
            <v>0</v>
          </cell>
          <cell r="U211">
            <v>0</v>
          </cell>
          <cell r="V211">
            <v>13320000</v>
          </cell>
        </row>
        <row r="212">
          <cell r="I212">
            <v>175</v>
          </cell>
          <cell r="J212">
            <v>174</v>
          </cell>
          <cell r="K212">
            <v>43495</v>
          </cell>
          <cell r="L212" t="str">
            <v>CC</v>
          </cell>
          <cell r="M212">
            <v>1033677719</v>
          </cell>
          <cell r="N212" t="str">
            <v>CARLOS ARTURO ROJAS PEREZ</v>
          </cell>
          <cell r="O212" t="str">
            <v>CONTRATO DE PRESTACION DE SERVICIOS PROFESIONALES</v>
          </cell>
          <cell r="P212">
            <v>157</v>
          </cell>
          <cell r="Q212">
            <v>43496</v>
          </cell>
          <cell r="R212" t="str">
            <v>(Cód. 29) Prestar servicios profesionales al Instituto Distrital de Patrimonio Cultural para apoyar el diseño museográfico de los proyectos adelantados por el Museo de Bogotá.</v>
          </cell>
          <cell r="S212">
            <v>18240000</v>
          </cell>
          <cell r="T212">
            <v>0</v>
          </cell>
          <cell r="U212">
            <v>0</v>
          </cell>
          <cell r="V212">
            <v>18240000</v>
          </cell>
        </row>
        <row r="213">
          <cell r="I213">
            <v>178</v>
          </cell>
          <cell r="J213">
            <v>180</v>
          </cell>
          <cell r="K213">
            <v>43495</v>
          </cell>
          <cell r="L213" t="str">
            <v>CC</v>
          </cell>
          <cell r="M213">
            <v>1019065560</v>
          </cell>
          <cell r="N213" t="str">
            <v>JUAN SEBASTIAN PINTO MUÑOZ</v>
          </cell>
          <cell r="O213" t="str">
            <v>CONTRATO DE PRESTACION DE SERVICIOS PROFESIONALES</v>
          </cell>
          <cell r="P213">
            <v>160</v>
          </cell>
          <cell r="Q213">
            <v>43495</v>
          </cell>
          <cell r="R213" t="str">
            <v>(Cód. 65) Prestar servicios profesionales al Instituto Distrital de Patrimonio Cultural para orientar la estrategia de apropiación social del patrimonio cultural.</v>
          </cell>
          <cell r="S213">
            <v>47300000</v>
          </cell>
          <cell r="T213">
            <v>0</v>
          </cell>
          <cell r="U213">
            <v>0</v>
          </cell>
          <cell r="V213">
            <v>47300000</v>
          </cell>
        </row>
        <row r="214">
          <cell r="I214">
            <v>180</v>
          </cell>
          <cell r="J214">
            <v>179</v>
          </cell>
          <cell r="K214">
            <v>43495</v>
          </cell>
          <cell r="L214" t="str">
            <v>CC</v>
          </cell>
          <cell r="M214">
            <v>79515828</v>
          </cell>
          <cell r="N214" t="str">
            <v>MIGUEL ANTONIO RODRIGUEZ SILVA</v>
          </cell>
          <cell r="O214" t="str">
            <v>CONTRATO DE PRESTACION DE SERVICIOS DE APOYO A LA GESTION</v>
          </cell>
          <cell r="P214">
            <v>156</v>
          </cell>
          <cell r="Q214">
            <v>43495</v>
          </cell>
          <cell r="R214" t="str">
            <v>(Cód. 81) Prestar servicios de apoyo a la gestión al Instituto Distrital de Patrimonio Cultural en los procesos de montaje y actividades logísticas requeridas por el Museo de Bogotá.</v>
          </cell>
          <cell r="S214">
            <v>7500000</v>
          </cell>
          <cell r="T214">
            <v>0</v>
          </cell>
          <cell r="U214">
            <v>0</v>
          </cell>
          <cell r="V214">
            <v>7500000</v>
          </cell>
        </row>
        <row r="215">
          <cell r="I215">
            <v>190</v>
          </cell>
          <cell r="J215">
            <v>176</v>
          </cell>
          <cell r="K215">
            <v>43495</v>
          </cell>
          <cell r="L215" t="str">
            <v>CC</v>
          </cell>
          <cell r="M215">
            <v>38602381</v>
          </cell>
          <cell r="N215" t="str">
            <v>LAURA  MEJIA TORRES</v>
          </cell>
          <cell r="O215" t="str">
            <v>CONTRATO DE PRESTACION DE SERVICIOS PROFESIONALES</v>
          </cell>
          <cell r="P215">
            <v>168</v>
          </cell>
          <cell r="Q215">
            <v>43495</v>
          </cell>
          <cell r="R215" t="str">
            <v xml:space="preserve">(Cód. 67) Prestar servicios profesionales al Instituto Distrital de Patrimonio Cultural para apoyar los procesos de inventario, catalogación y organización de los fondos documentales que conforman el Centro de Documentación. </v>
          </cell>
          <cell r="S215">
            <v>49500000</v>
          </cell>
          <cell r="T215">
            <v>0</v>
          </cell>
          <cell r="U215">
            <v>0</v>
          </cell>
          <cell r="V215">
            <v>49500000</v>
          </cell>
        </row>
        <row r="216">
          <cell r="I216">
            <v>160</v>
          </cell>
          <cell r="J216">
            <v>189</v>
          </cell>
          <cell r="K216">
            <v>43496</v>
          </cell>
          <cell r="L216" t="str">
            <v>CC</v>
          </cell>
          <cell r="M216">
            <v>1032451167</v>
          </cell>
          <cell r="N216" t="str">
            <v>HECTOR CAMILO GOMEZ CAMARGO</v>
          </cell>
          <cell r="O216" t="str">
            <v>CONTRATO DE PRESTACION DE SERVICIOS DE APOYO A LA GESTION</v>
          </cell>
          <cell r="P216">
            <v>153</v>
          </cell>
          <cell r="Q216">
            <v>43495</v>
          </cell>
          <cell r="R216" t="str">
            <v>(Cód. 95) Prestar servicios de apoyo a la gestión al Instituto Distrital de Patrimonio Cultural en los procesos de digitalización de la Colección del Museo de Bogotá.</v>
          </cell>
          <cell r="S216">
            <v>8160000</v>
          </cell>
          <cell r="T216">
            <v>0</v>
          </cell>
          <cell r="U216">
            <v>0</v>
          </cell>
          <cell r="V216">
            <v>8160000</v>
          </cell>
        </row>
        <row r="217">
          <cell r="I217">
            <v>191</v>
          </cell>
          <cell r="J217">
            <v>192</v>
          </cell>
          <cell r="K217">
            <v>43496</v>
          </cell>
          <cell r="L217" t="str">
            <v>CC</v>
          </cell>
          <cell r="M217">
            <v>53166489</v>
          </cell>
          <cell r="N217" t="str">
            <v>CONSTANZA  MEDINA DIAZ</v>
          </cell>
          <cell r="O217" t="str">
            <v>CONTRATO DE PRESTACION DE SERVICIOS PROFESIONALES</v>
          </cell>
          <cell r="P217">
            <v>170</v>
          </cell>
          <cell r="Q217">
            <v>43495</v>
          </cell>
          <cell r="R217" t="str">
            <v>(Cód. 35) Prestar servicios profesionales al Instituto Distrital del Patrimonio Cultural para apoyar la ejecucón de los trámites y procesos requeridos para la producción de los eventos generados en el marco de la estrategia de apropiación social del patrimonio cultural.</v>
          </cell>
          <cell r="S217">
            <v>55000000</v>
          </cell>
          <cell r="T217">
            <v>0</v>
          </cell>
          <cell r="U217">
            <v>0</v>
          </cell>
          <cell r="V217">
            <v>55000000</v>
          </cell>
        </row>
        <row r="218">
          <cell r="I218">
            <v>221</v>
          </cell>
          <cell r="J218">
            <v>191</v>
          </cell>
          <cell r="K218">
            <v>43496</v>
          </cell>
          <cell r="L218" t="str">
            <v>CC</v>
          </cell>
          <cell r="M218">
            <v>1026263133</v>
          </cell>
          <cell r="N218" t="str">
            <v>MARIA ALEJANDRA TORO VESGA</v>
          </cell>
          <cell r="O218" t="str">
            <v>CONTRATO DE PRESTACION DE SERVICIOS PROFESIONALES</v>
          </cell>
          <cell r="P218">
            <v>188</v>
          </cell>
          <cell r="Q218">
            <v>43497</v>
          </cell>
          <cell r="R218" t="str">
            <v>(Cód. 22) 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v>
          </cell>
          <cell r="S218">
            <v>61380000</v>
          </cell>
          <cell r="T218">
            <v>0</v>
          </cell>
          <cell r="U218">
            <v>0</v>
          </cell>
          <cell r="V218">
            <v>61380000</v>
          </cell>
        </row>
        <row r="219">
          <cell r="I219">
            <v>223</v>
          </cell>
          <cell r="J219">
            <v>190</v>
          </cell>
          <cell r="K219">
            <v>43496</v>
          </cell>
          <cell r="L219" t="str">
            <v>CC</v>
          </cell>
          <cell r="M219">
            <v>1014272803</v>
          </cell>
          <cell r="N219" t="str">
            <v>edgar andres gutierrez sanchez</v>
          </cell>
          <cell r="O219" t="str">
            <v>CONTRATO DE PRESTACION DE SERVICIOS PROFESIONALES</v>
          </cell>
          <cell r="P219">
            <v>187</v>
          </cell>
          <cell r="Q219">
            <v>43497</v>
          </cell>
          <cell r="R219" t="str">
            <v>(Cód. 48) Prestar servicios profesionales al Instituto Distrital de Patrimonio Cultural en las actividades de producción de contenidos audiovisuales requeridos para el desarrollo de la estrategia de apropiación social del patrimonio cultural.</v>
          </cell>
          <cell r="S219">
            <v>41580000</v>
          </cell>
          <cell r="T219">
            <v>0</v>
          </cell>
          <cell r="U219">
            <v>0</v>
          </cell>
          <cell r="V219">
            <v>41580000</v>
          </cell>
        </row>
        <row r="220">
          <cell r="I220">
            <v>227</v>
          </cell>
          <cell r="J220">
            <v>202</v>
          </cell>
          <cell r="K220">
            <v>43496</v>
          </cell>
          <cell r="L220" t="str">
            <v>CC</v>
          </cell>
          <cell r="M220">
            <v>80504076</v>
          </cell>
          <cell r="N220" t="str">
            <v>DIEGO LUIS ROBAYO DE ANGULO</v>
          </cell>
          <cell r="O220" t="str">
            <v>CONTRATO DE PRESTACION DE SERVICIOS PROFESIONALES</v>
          </cell>
          <cell r="P220">
            <v>181</v>
          </cell>
          <cell r="Q220">
            <v>43497</v>
          </cell>
          <cell r="R220" t="str">
            <v>(Cód. 44) Prestar servicios profesionales al Instituto Distrital de Patrimonio Cultural para acompañar la producción audiovisual y multimedial requerida para el desarrollo de la estrategia de apropiación social del patrimonio cultural.</v>
          </cell>
          <cell r="S220">
            <v>88000000</v>
          </cell>
          <cell r="T220">
            <v>0</v>
          </cell>
          <cell r="U220">
            <v>0</v>
          </cell>
          <cell r="V220">
            <v>88000000</v>
          </cell>
        </row>
        <row r="221">
          <cell r="I221">
            <v>225</v>
          </cell>
          <cell r="J221">
            <v>223</v>
          </cell>
          <cell r="K221">
            <v>43500</v>
          </cell>
          <cell r="L221" t="str">
            <v>CC</v>
          </cell>
          <cell r="M221">
            <v>80720871</v>
          </cell>
          <cell r="N221" t="str">
            <v>LEONARDO  OCHICA SALAMANCA</v>
          </cell>
          <cell r="O221" t="str">
            <v>CONTRATO DE PRESTACION DE SERVICIOS PROFESIONALES</v>
          </cell>
          <cell r="P221">
            <v>195</v>
          </cell>
          <cell r="Q221">
            <v>43497</v>
          </cell>
          <cell r="R221" t="str">
            <v>(Cód. 68) Prestar servicios profesionales al Instituto Distrital de Patrimonio Cultural para apoyar el diseño de piezas gráficas y de comunicación requeridas para la ejecución de la estrategia de comunicaciones de la entidad y de apropiación social del patrimonio cultural.</v>
          </cell>
          <cell r="S221">
            <v>65560000</v>
          </cell>
          <cell r="T221">
            <v>0</v>
          </cell>
          <cell r="U221">
            <v>0</v>
          </cell>
          <cell r="V221">
            <v>65560000</v>
          </cell>
        </row>
        <row r="222">
          <cell r="I222">
            <v>230</v>
          </cell>
          <cell r="J222">
            <v>218</v>
          </cell>
          <cell r="K222">
            <v>43500</v>
          </cell>
          <cell r="L222" t="str">
            <v>CC</v>
          </cell>
          <cell r="M222">
            <v>53167140</v>
          </cell>
          <cell r="N222" t="str">
            <v>BONILLA RODRIGUEZ NATHALY ANDREA</v>
          </cell>
          <cell r="O222" t="str">
            <v>CONTRATO DE PRESTACION DE SERVICIOS PROFESIONALES</v>
          </cell>
          <cell r="P222">
            <v>183</v>
          </cell>
          <cell r="Q222">
            <v>43497</v>
          </cell>
          <cell r="R222" t="str">
            <v>(Cód. 85) Prestar servicios profesionales al Instituto Distrital de Patrimonio Cultural para apoyar la implementación de las acciones de fomento a las prácticas del patrimonio cultural.</v>
          </cell>
          <cell r="S222">
            <v>49000000</v>
          </cell>
          <cell r="T222">
            <v>0</v>
          </cell>
          <cell r="U222">
            <v>0</v>
          </cell>
          <cell r="V222">
            <v>49000000</v>
          </cell>
        </row>
        <row r="223">
          <cell r="I223">
            <v>176</v>
          </cell>
          <cell r="J223">
            <v>232</v>
          </cell>
          <cell r="K223">
            <v>43501</v>
          </cell>
          <cell r="L223" t="str">
            <v>CC</v>
          </cell>
          <cell r="M223">
            <v>52809486</v>
          </cell>
          <cell r="N223" t="str">
            <v>Diana Marcela Gomez Bernal</v>
          </cell>
          <cell r="O223" t="str">
            <v>CONTRATO DE PRESTACION DE SERVICIOS DE APOYO A LA GESTION</v>
          </cell>
          <cell r="P223">
            <v>176</v>
          </cell>
          <cell r="Q223">
            <v>43501</v>
          </cell>
          <cell r="R223" t="str">
            <v>(Cód. 41) Prestar servicios al Instituto Distrital de Patrimonio Cultural como apoyo a la gestión en la planificación y ejecución del portafolio de servicios educativos y culturales del Museo de Bogotá.</v>
          </cell>
          <cell r="S223">
            <v>7740000</v>
          </cell>
          <cell r="T223">
            <v>0</v>
          </cell>
          <cell r="U223">
            <v>0</v>
          </cell>
          <cell r="V223">
            <v>7740000</v>
          </cell>
        </row>
        <row r="224">
          <cell r="I224">
            <v>179</v>
          </cell>
          <cell r="J224">
            <v>229</v>
          </cell>
          <cell r="K224">
            <v>43501</v>
          </cell>
          <cell r="L224" t="str">
            <v>CC</v>
          </cell>
          <cell r="M224">
            <v>79655127</v>
          </cell>
          <cell r="N224" t="str">
            <v>WALTER MAURICIO MARTINEZ ROSAS</v>
          </cell>
          <cell r="O224" t="str">
            <v>CONTRATO DE PRESTACION DE SERVICIOS PROFESIONALES</v>
          </cell>
          <cell r="P224">
            <v>174</v>
          </cell>
          <cell r="Q224">
            <v>43501</v>
          </cell>
          <cell r="R224" t="str">
            <v>(Cód. 78) Prestar servicios profesionales al Instituto Distrital de Patrimonio Cultural para acompañar el diseño, programación y desarrollo de las actividades del portafolio de servicios educativos y culturales del Museo de Bogotá.</v>
          </cell>
          <cell r="S224">
            <v>16080000</v>
          </cell>
          <cell r="T224">
            <v>0</v>
          </cell>
          <cell r="U224">
            <v>0</v>
          </cell>
          <cell r="V224">
            <v>16080000</v>
          </cell>
        </row>
        <row r="225">
          <cell r="I225">
            <v>193</v>
          </cell>
          <cell r="J225">
            <v>225</v>
          </cell>
          <cell r="K225">
            <v>43501</v>
          </cell>
          <cell r="L225" t="str">
            <v>CC</v>
          </cell>
          <cell r="M225">
            <v>16933376</v>
          </cell>
          <cell r="N225" t="str">
            <v>gustavo alfredo bueno rojas</v>
          </cell>
          <cell r="O225" t="str">
            <v>CONTRATO DE PRESTACION DE SERVICIOS PROFESIONALES</v>
          </cell>
          <cell r="P225">
            <v>184</v>
          </cell>
          <cell r="Q225">
            <v>43495</v>
          </cell>
          <cell r="R225" t="str">
            <v>(Cód. 92) Prestar servicios profesionales al Instituto Distrital de Patrimonio Cultural para apoyar la gestión de prensa generada en el marco de la estrategia de comunicaciones del IDPC.</v>
          </cell>
          <cell r="S225">
            <v>55000000</v>
          </cell>
          <cell r="T225">
            <v>0</v>
          </cell>
          <cell r="U225">
            <v>0</v>
          </cell>
          <cell r="V225">
            <v>55000000</v>
          </cell>
        </row>
        <row r="226">
          <cell r="I226">
            <v>224</v>
          </cell>
          <cell r="J226">
            <v>227</v>
          </cell>
          <cell r="K226">
            <v>43501</v>
          </cell>
          <cell r="L226" t="str">
            <v>CC</v>
          </cell>
          <cell r="M226">
            <v>52810235</v>
          </cell>
          <cell r="N226" t="str">
            <v>GLORIA ISABEL CARRILLO BUITRAGO</v>
          </cell>
          <cell r="O226" t="str">
            <v>CONTRATO DE PRESTACION DE SERVICIOS DE APOYO A LA GESTION</v>
          </cell>
          <cell r="P226">
            <v>166</v>
          </cell>
          <cell r="Q226">
            <v>43501</v>
          </cell>
          <cell r="R226" t="str">
            <v>(Cód. 55) Prestar servicios de apoyo a la gestión al Instituto Distrital de Patrimonio Cultural en los trámites administrativos y operativos generados en la operación del Museo de Bogotá.</v>
          </cell>
          <cell r="S226">
            <v>10440000</v>
          </cell>
          <cell r="T226">
            <v>0</v>
          </cell>
          <cell r="U226">
            <v>0</v>
          </cell>
          <cell r="V226">
            <v>10440000</v>
          </cell>
        </row>
        <row r="227">
          <cell r="I227">
            <v>228</v>
          </cell>
          <cell r="J227">
            <v>228</v>
          </cell>
          <cell r="K227">
            <v>43501</v>
          </cell>
          <cell r="L227" t="str">
            <v>CC</v>
          </cell>
          <cell r="M227">
            <v>1015432380</v>
          </cell>
          <cell r="N227" t="str">
            <v>MARIA CLARA MENDEZ ALVAREZ</v>
          </cell>
          <cell r="O227" t="str">
            <v>CONTRATO DE PRESTACION DE SERVICIOS PROFESIONALES</v>
          </cell>
          <cell r="P227">
            <v>177</v>
          </cell>
          <cell r="Q227">
            <v>43501</v>
          </cell>
          <cell r="R227" t="str">
            <v>(Cód. 62) Prestar servicios profesionales al Instituto Distrital de Patrimonio Cultural en la ejecución de los procesos de mediación y generación de contenidos pedagógicos del portafolio de servicios educativos y culturales del Museo de Bogotá.</v>
          </cell>
          <cell r="S227">
            <v>12060000</v>
          </cell>
          <cell r="T227">
            <v>0</v>
          </cell>
          <cell r="U227">
            <v>0</v>
          </cell>
          <cell r="V227">
            <v>12060000</v>
          </cell>
        </row>
        <row r="228">
          <cell r="I228">
            <v>229</v>
          </cell>
          <cell r="J228">
            <v>231</v>
          </cell>
          <cell r="K228">
            <v>43501</v>
          </cell>
          <cell r="L228" t="str">
            <v>CC</v>
          </cell>
          <cell r="M228">
            <v>80771426</v>
          </cell>
          <cell r="N228" t="str">
            <v>JOSE LEONARDO CRISTANCHO CASTAÑO</v>
          </cell>
          <cell r="O228" t="str">
            <v>CONTRATO DE PRESTACION DE SERVICIOS PROFESIONALES</v>
          </cell>
          <cell r="P228">
            <v>179</v>
          </cell>
          <cell r="Q228">
            <v>43501</v>
          </cell>
          <cell r="R228" t="str">
            <v>(Cód. 66) Prestar servicios profesionales al Instituto Distrital de Patrimonio Cultural en la ejecución de los procesos de mediación y generación de contenidos pedagógicos del portafolio de servicios educativos y culturales del Museo de Bogotá.</v>
          </cell>
          <cell r="S228">
            <v>12060000</v>
          </cell>
          <cell r="T228">
            <v>0</v>
          </cell>
          <cell r="U228">
            <v>0</v>
          </cell>
          <cell r="V228">
            <v>12060000</v>
          </cell>
        </row>
        <row r="229">
          <cell r="I229">
            <v>231</v>
          </cell>
          <cell r="J229">
            <v>230</v>
          </cell>
          <cell r="K229">
            <v>43501</v>
          </cell>
          <cell r="L229" t="str">
            <v>CC</v>
          </cell>
          <cell r="M229">
            <v>79782966</v>
          </cell>
          <cell r="N229" t="str">
            <v>WILSON  PACHECO GUTIERREZ</v>
          </cell>
          <cell r="O229" t="str">
            <v>CONTRATO DE PRESTACION DE SERVICIOS DE APOYO A LA GESTION</v>
          </cell>
          <cell r="P229">
            <v>178</v>
          </cell>
          <cell r="Q229">
            <v>43501</v>
          </cell>
          <cell r="R229" t="str">
            <v>(Cód. 100) Prestar servicios de apoyo a la gestión al Instituto Distrital de Patrimonio Cultural como guía de los recorridos urbanos realizados en el marco de la estrategia de apropiación social del patrimonio cultural.</v>
          </cell>
          <cell r="S229">
            <v>15000000</v>
          </cell>
          <cell r="T229">
            <v>0</v>
          </cell>
          <cell r="U229">
            <v>0</v>
          </cell>
          <cell r="V229">
            <v>15000000</v>
          </cell>
        </row>
        <row r="230">
          <cell r="I230">
            <v>232</v>
          </cell>
          <cell r="J230">
            <v>226</v>
          </cell>
          <cell r="K230">
            <v>43501</v>
          </cell>
          <cell r="L230" t="str">
            <v>CC</v>
          </cell>
          <cell r="M230">
            <v>41323858</v>
          </cell>
          <cell r="N230" t="str">
            <v>SONIA ESPERANZA CUARTAS BECERRA</v>
          </cell>
          <cell r="O230" t="str">
            <v>CONTRATO DE PRESTACION DE SERVICIOS DE APOYO A LA GESTION</v>
          </cell>
          <cell r="P230">
            <v>180</v>
          </cell>
          <cell r="Q230">
            <v>43501</v>
          </cell>
          <cell r="R230" t="str">
            <v>(Cód. 108) Prestar servicios de apoyo a la gestión al Instituto Distrital de Patrimonio Cultural como guía de los recorridos urbanos realizados en el marco de la estrategia de apropiación social del patrimonio cultural.</v>
          </cell>
          <cell r="S230">
            <v>15000000</v>
          </cell>
          <cell r="T230">
            <v>0</v>
          </cell>
          <cell r="U230">
            <v>0</v>
          </cell>
          <cell r="V230">
            <v>15000000</v>
          </cell>
        </row>
        <row r="231">
          <cell r="I231">
            <v>192</v>
          </cell>
          <cell r="J231">
            <v>246</v>
          </cell>
          <cell r="K231">
            <v>43502</v>
          </cell>
          <cell r="L231" t="str">
            <v>CC</v>
          </cell>
          <cell r="M231">
            <v>52046556</v>
          </cell>
          <cell r="N231" t="str">
            <v>NUBIA NAYIBE VELASCO CALVO</v>
          </cell>
          <cell r="O231" t="str">
            <v>CONTRATO DE PRESTACION DE SERVICIOS PROFESIONALES</v>
          </cell>
          <cell r="P231">
            <v>185</v>
          </cell>
          <cell r="Q231">
            <v>43497</v>
          </cell>
          <cell r="R231" t="str">
            <v>(Cód. 91) Prestar servicios profesionales al Instituto Distrital de Patrimonio Cultural para llevar a cabo las actividades periodísticas requeridas en la estrategia de apropiación social del patrimonio cultural.</v>
          </cell>
          <cell r="S231">
            <v>66000000</v>
          </cell>
          <cell r="T231">
            <v>0</v>
          </cell>
          <cell r="U231">
            <v>0</v>
          </cell>
          <cell r="V231">
            <v>66000000</v>
          </cell>
        </row>
        <row r="232">
          <cell r="I232">
            <v>248</v>
          </cell>
          <cell r="J232">
            <v>243</v>
          </cell>
          <cell r="K232">
            <v>43502</v>
          </cell>
          <cell r="L232" t="str">
            <v>CC</v>
          </cell>
          <cell r="M232">
            <v>51832188</v>
          </cell>
          <cell r="N232" t="str">
            <v>MARCELA  TRISTANCHO MANTILLA</v>
          </cell>
          <cell r="O232" t="str">
            <v>CONTRATO DE PRESTACION DE SERVICIOS PROFESIONALES</v>
          </cell>
          <cell r="P232">
            <v>217</v>
          </cell>
          <cell r="Q232">
            <v>43502</v>
          </cell>
          <cell r="R232" t="str">
            <v>(Cód. 74) Prestar servicios profesionales al Instituto Distrital de Patrimonio Cultural para orientar la planeación e implementación de la oferta de servicios educativos y culturales del Museo de Bogotá.</v>
          </cell>
          <cell r="S232">
            <v>19860000</v>
          </cell>
          <cell r="T232">
            <v>0</v>
          </cell>
          <cell r="U232">
            <v>0</v>
          </cell>
          <cell r="V232">
            <v>19860000</v>
          </cell>
        </row>
        <row r="233">
          <cell r="I233">
            <v>249</v>
          </cell>
          <cell r="J233">
            <v>239</v>
          </cell>
          <cell r="K233">
            <v>43502</v>
          </cell>
          <cell r="L233" t="str">
            <v>CC</v>
          </cell>
          <cell r="M233">
            <v>52806863</v>
          </cell>
          <cell r="N233" t="str">
            <v>MARIA ANTONIETA GARCIA RESTREPO</v>
          </cell>
          <cell r="O233" t="str">
            <v>CONTRATO DE PRESTACION DE SERVICIOS PROFESIONALES</v>
          </cell>
          <cell r="P233">
            <v>214</v>
          </cell>
          <cell r="Q233">
            <v>43502</v>
          </cell>
          <cell r="R233" t="str">
            <v>(Cód. 75) Prestar servicios profesionales al Instituto Distrital de Patrimonio Cultural para llevar a cabo las actividades de registro y catalogación de la colección del Museo de Bogotá.</v>
          </cell>
          <cell r="S233">
            <v>16380000</v>
          </cell>
          <cell r="T233">
            <v>0</v>
          </cell>
          <cell r="U233">
            <v>0</v>
          </cell>
          <cell r="V233">
            <v>16380000</v>
          </cell>
        </row>
        <row r="234">
          <cell r="I234">
            <v>250</v>
          </cell>
          <cell r="J234">
            <v>242</v>
          </cell>
          <cell r="K234">
            <v>43502</v>
          </cell>
          <cell r="L234" t="str">
            <v>CC</v>
          </cell>
          <cell r="M234">
            <v>52452367</v>
          </cell>
          <cell r="N234" t="str">
            <v>XIMENA PAOLA BERNAL CASTILLO</v>
          </cell>
          <cell r="O234" t="str">
            <v>CONTRATO DE PRESTACION DE SERVICIOS PROFESIONALES</v>
          </cell>
          <cell r="P234">
            <v>141</v>
          </cell>
          <cell r="Q234">
            <v>43502</v>
          </cell>
          <cell r="R234" t="str">
            <v>(Cód. 109) Prestar servicios profesionales al Instituto Distrital de Patrimonio Cultural para orientar la ejecución de los proyectos editoriales y de investigación desarrollados en el marco de la estrategia de apropiación social del patrimonio cultural.</v>
          </cell>
          <cell r="S234">
            <v>85333333</v>
          </cell>
          <cell r="T234">
            <v>0</v>
          </cell>
          <cell r="U234">
            <v>0</v>
          </cell>
          <cell r="V234">
            <v>85333333</v>
          </cell>
        </row>
        <row r="235">
          <cell r="I235">
            <v>243</v>
          </cell>
          <cell r="J235">
            <v>251</v>
          </cell>
          <cell r="K235">
            <v>43503</v>
          </cell>
          <cell r="L235" t="str">
            <v>CC</v>
          </cell>
          <cell r="M235">
            <v>52258663</v>
          </cell>
          <cell r="N235" t="str">
            <v>IRENE CAROLINA CORREDOR ROJAS</v>
          </cell>
          <cell r="O235" t="str">
            <v>CONTRATO DE PRESTACION DE SERVICIOS PROFESIONALES</v>
          </cell>
          <cell r="P235">
            <v>228</v>
          </cell>
          <cell r="Q235">
            <v>43504</v>
          </cell>
          <cell r="R235" t="str">
            <v>(Cód. 60) Prestar servicios profesionales al Instituto Distrital de Patrimonio Cultural para orientar los procesos museográficos requeridos por el Museo de Bogotá.</v>
          </cell>
          <cell r="S235">
            <v>19860000</v>
          </cell>
          <cell r="T235">
            <v>0</v>
          </cell>
          <cell r="U235">
            <v>0</v>
          </cell>
          <cell r="V235">
            <v>19860000</v>
          </cell>
        </row>
        <row r="236">
          <cell r="I236">
            <v>264</v>
          </cell>
          <cell r="J236">
            <v>265</v>
          </cell>
          <cell r="K236">
            <v>43504</v>
          </cell>
          <cell r="L236" t="str">
            <v>CC</v>
          </cell>
          <cell r="M236">
            <v>53083890</v>
          </cell>
          <cell r="N236" t="str">
            <v>DIANA PAOLA GAITAN MARTINEZ</v>
          </cell>
          <cell r="O236" t="str">
            <v>CONTRATO DE PRESTACION DE SERVICIOS PROFESIONALES</v>
          </cell>
          <cell r="P236">
            <v>239</v>
          </cell>
          <cell r="Q236">
            <v>43507</v>
          </cell>
          <cell r="R236" t="str">
            <v>(Cód. 86) Prestar servicios profesionales al Instituto Distrital de Patrimonio Cultural para apoyar la formulación, actualización, seguimiento al proceso de planeación y las actividades relacionadas con el sistema integrado de gestión, de la Subdirección de Divulgación y Apropiación del Patrimonio.</v>
          </cell>
          <cell r="S236">
            <v>72800000</v>
          </cell>
          <cell r="T236">
            <v>0</v>
          </cell>
          <cell r="U236">
            <v>0</v>
          </cell>
          <cell r="V236">
            <v>72800000</v>
          </cell>
        </row>
        <row r="237">
          <cell r="I237">
            <v>244</v>
          </cell>
          <cell r="J237">
            <v>270</v>
          </cell>
          <cell r="K237">
            <v>43507</v>
          </cell>
          <cell r="L237" t="str">
            <v>CC</v>
          </cell>
          <cell r="M237">
            <v>1032385201</v>
          </cell>
          <cell r="N237" t="str">
            <v>MONICA ANGEL LASCAR</v>
          </cell>
          <cell r="O237" t="str">
            <v>CONTRATO DE PRESTACION DE SERVICIOS PROFESIONALES</v>
          </cell>
          <cell r="P237">
            <v>229</v>
          </cell>
          <cell r="Q237">
            <v>43503</v>
          </cell>
          <cell r="R237" t="str">
            <v>(Cód. 82) Prestar servicios profesionales al Instituto Distrital de Patrimonio Cultural para apoyar el desarrollo del plan de exposiciones temporales del Museo de Bogotá y los requerimientos asociados a los planes y proyectos especiales de la entidad.</v>
          </cell>
          <cell r="S237">
            <v>11460000</v>
          </cell>
          <cell r="T237">
            <v>0</v>
          </cell>
          <cell r="U237">
            <v>0</v>
          </cell>
          <cell r="V237">
            <v>11460000</v>
          </cell>
        </row>
        <row r="238">
          <cell r="I238">
            <v>259</v>
          </cell>
          <cell r="J238">
            <v>269</v>
          </cell>
          <cell r="K238">
            <v>43507</v>
          </cell>
          <cell r="L238" t="str">
            <v>CC</v>
          </cell>
          <cell r="M238">
            <v>79521473</v>
          </cell>
          <cell r="N238" t="str">
            <v>EDGARD FRANCISCO GUERRERO GIRALDO</v>
          </cell>
          <cell r="O238" t="str">
            <v>CONTRATO DE PRESTACION DE SERVICIOS PROFESIONALES</v>
          </cell>
          <cell r="P238">
            <v>243</v>
          </cell>
          <cell r="Q238">
            <v>43507</v>
          </cell>
          <cell r="R238" t="str">
            <v>(Cód. 52) Prestar servicios profesionales al Instituto Distrital de Patrimonio Cultural para apoyar la planificación y ejecución del programa de recorridos urbanos en el marco de la estrategia de apropiación social del patrimonio cultural.</v>
          </cell>
          <cell r="S238">
            <v>46000000</v>
          </cell>
          <cell r="T238">
            <v>0</v>
          </cell>
          <cell r="U238">
            <v>0</v>
          </cell>
          <cell r="V238">
            <v>46000000</v>
          </cell>
        </row>
        <row r="239">
          <cell r="I239">
            <v>262</v>
          </cell>
          <cell r="J239">
            <v>271</v>
          </cell>
          <cell r="K239">
            <v>43507</v>
          </cell>
          <cell r="L239" t="str">
            <v>CC</v>
          </cell>
          <cell r="M239">
            <v>63557963</v>
          </cell>
          <cell r="N239" t="str">
            <v>DIANA CAROLINA RUA RANGEL</v>
          </cell>
          <cell r="O239" t="str">
            <v>CONTRATO DE PRESTACION DE SERVICIOS PROFESIONALES</v>
          </cell>
          <cell r="P239">
            <v>240</v>
          </cell>
          <cell r="Q239">
            <v>43507</v>
          </cell>
          <cell r="R239" t="str">
            <v>(Cód. 24) Prestar servicios profesionales como abogado al Instituto Distrital de Patrimonio Cultural, para el acompañamiento jurídico de la Subdirección de Divulgación y Apropiación del Patrimonio acorde con la competencia funcional de la dependencia, manteniendo los  procesos y procedimientos de gestión jurídica definidos en la entidad.</v>
          </cell>
          <cell r="S239">
            <v>66880000</v>
          </cell>
          <cell r="T239">
            <v>0</v>
          </cell>
          <cell r="U239">
            <v>0</v>
          </cell>
          <cell r="V239">
            <v>66880000</v>
          </cell>
        </row>
        <row r="240">
          <cell r="I240">
            <v>263</v>
          </cell>
          <cell r="J240">
            <v>268</v>
          </cell>
          <cell r="K240">
            <v>43507</v>
          </cell>
          <cell r="L240" t="str">
            <v>CC</v>
          </cell>
          <cell r="M240">
            <v>79594094</v>
          </cell>
          <cell r="N240" t="str">
            <v>JORGE ELKIN BUITRAGO ARENAS</v>
          </cell>
          <cell r="O240" t="str">
            <v>CONTRATO DE PRESTACION DE SERVICIOS PROFESIONALES</v>
          </cell>
          <cell r="P240">
            <v>238</v>
          </cell>
          <cell r="Q240">
            <v>43507</v>
          </cell>
          <cell r="R240" t="str">
            <v>(Cód. 49) Prestar servicios profesionales al Instituto Distrital de Patrimonio Cultural para apoyar los procesos de ejecución y control presupuestal y financiera, así como las actividades relacionadas con la gestión administrativa de la Subdirección de Divulgación y Apropiación del Patrimonio.</v>
          </cell>
          <cell r="S240">
            <v>66880000</v>
          </cell>
          <cell r="T240">
            <v>0</v>
          </cell>
          <cell r="U240">
            <v>0</v>
          </cell>
          <cell r="V240">
            <v>66880000</v>
          </cell>
        </row>
        <row r="241">
          <cell r="I241">
            <v>247</v>
          </cell>
          <cell r="J241">
            <v>277</v>
          </cell>
          <cell r="K241">
            <v>43508</v>
          </cell>
          <cell r="L241" t="str">
            <v>CE</v>
          </cell>
          <cell r="M241">
            <v>439801</v>
          </cell>
          <cell r="N241" t="str">
            <v>CLEMENT GUILLAUME ROUX</v>
          </cell>
          <cell r="O241" t="str">
            <v>CONTRATO DE PRESTACION DE SERVICIOS PROFESIONALES</v>
          </cell>
          <cell r="P241">
            <v>237</v>
          </cell>
          <cell r="Q241">
            <v>43507</v>
          </cell>
          <cell r="R241" t="str">
            <v>(Cód. 33) Prestar servicios profesionales al Instituto Distrital de Patrimonio Cultural para apoyar las actividades de comunicación y generación de contenidos requeridos para el desarrollo de la estrategia de apropiación social del patrimonio cultural.</v>
          </cell>
          <cell r="S241">
            <v>16740000</v>
          </cell>
          <cell r="T241">
            <v>0</v>
          </cell>
          <cell r="U241">
            <v>0</v>
          </cell>
          <cell r="V241">
            <v>16740000</v>
          </cell>
        </row>
        <row r="242">
          <cell r="I242">
            <v>283</v>
          </cell>
          <cell r="J242">
            <v>274</v>
          </cell>
          <cell r="K242">
            <v>43508</v>
          </cell>
          <cell r="L242" t="str">
            <v>CC</v>
          </cell>
          <cell r="M242">
            <v>53016690</v>
          </cell>
          <cell r="N242" t="str">
            <v>ANGIE MILENA MORALES MAURY</v>
          </cell>
          <cell r="O242" t="str">
            <v>CONTRATO DE PRESTACION DE SERVICIOS PROFESIONALES</v>
          </cell>
          <cell r="P242">
            <v>245</v>
          </cell>
          <cell r="Q242">
            <v>43508</v>
          </cell>
          <cell r="R242" t="str">
            <v>(Cód. 433) 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v>
          </cell>
          <cell r="S242">
            <v>44800000</v>
          </cell>
          <cell r="T242">
            <v>0</v>
          </cell>
          <cell r="U242">
            <v>0</v>
          </cell>
          <cell r="V242">
            <v>44800000</v>
          </cell>
        </row>
        <row r="243">
          <cell r="I243">
            <v>288</v>
          </cell>
          <cell r="J243">
            <v>283</v>
          </cell>
          <cell r="K243">
            <v>43511</v>
          </cell>
          <cell r="L243" t="str">
            <v>CC</v>
          </cell>
          <cell r="M243">
            <v>1014245837</v>
          </cell>
          <cell r="N243" t="str">
            <v>MARIA FARIDE PARDO SHAKER</v>
          </cell>
          <cell r="O243" t="str">
            <v>CONTRATO DE PRESTACION DE SERVICIOS PROFESIONALES</v>
          </cell>
          <cell r="P243">
            <v>252</v>
          </cell>
          <cell r="Q243">
            <v>43511</v>
          </cell>
          <cell r="R243" t="str">
            <v>(Cód. 77) Prestar servicios profesionales al Instituto Distrital de Patrimonio Cultural para apoyar las actividades de comunicación interna y organización de archivo fotográfico de la Subdirección de Divulgación y Apropiación del Patrimonio.</v>
          </cell>
          <cell r="S243">
            <v>40950000</v>
          </cell>
          <cell r="T243">
            <v>0</v>
          </cell>
          <cell r="U243">
            <v>0</v>
          </cell>
          <cell r="V243">
            <v>40950000</v>
          </cell>
        </row>
        <row r="244">
          <cell r="I244">
            <v>222</v>
          </cell>
          <cell r="J244">
            <v>282</v>
          </cell>
          <cell r="K244">
            <v>43511</v>
          </cell>
          <cell r="L244" t="str">
            <v>CC</v>
          </cell>
          <cell r="M244">
            <v>1022341455</v>
          </cell>
          <cell r="N244" t="str">
            <v>FABIAN ELIECER CERVERA LINARES</v>
          </cell>
          <cell r="O244" t="str">
            <v>CONTRATO DE PRESTACION DE SERVICIOS PROFESIONALES</v>
          </cell>
          <cell r="P244">
            <v>244</v>
          </cell>
          <cell r="Q244">
            <v>43509</v>
          </cell>
          <cell r="R244" t="str">
            <v>(Cód. 47) Prestar servicios profesionales al Instituto Distrital de Patrimonio Cultural para apoyar los procesos documentales del Centro de Documentación.</v>
          </cell>
          <cell r="S244">
            <v>42000000</v>
          </cell>
          <cell r="T244">
            <v>0</v>
          </cell>
          <cell r="U244">
            <v>0</v>
          </cell>
          <cell r="V244">
            <v>42000000</v>
          </cell>
        </row>
        <row r="245">
          <cell r="I245">
            <v>285</v>
          </cell>
          <cell r="J245">
            <v>285</v>
          </cell>
          <cell r="K245">
            <v>43511</v>
          </cell>
          <cell r="L245" t="str">
            <v>CC</v>
          </cell>
          <cell r="M245">
            <v>80084539</v>
          </cell>
          <cell r="N245" t="str">
            <v>ANGEL ENRIQUE MARTINEZ RUIZ</v>
          </cell>
          <cell r="O245" t="str">
            <v>CONTRATO DE PRESTACION DE SERVICIOS PROFESIONALES</v>
          </cell>
          <cell r="P245">
            <v>247</v>
          </cell>
          <cell r="Q245">
            <v>43514</v>
          </cell>
          <cell r="R245" t="str">
            <v>(Cód. 37) Prestar servicios profesionales al Instituto Distrital de Patrimonio Cultural en las actividades relacionadas con el desarrollo del guion curatorial para la exposición temporal del Museo de Bogotá sobre el Bicentenario de la independencia en la ciudad de Bogotá.</v>
          </cell>
          <cell r="S245">
            <v>52000000</v>
          </cell>
          <cell r="T245">
            <v>0</v>
          </cell>
          <cell r="U245">
            <v>0</v>
          </cell>
          <cell r="V245">
            <v>52000000</v>
          </cell>
        </row>
        <row r="246">
          <cell r="I246">
            <v>266</v>
          </cell>
          <cell r="J246">
            <v>295</v>
          </cell>
          <cell r="K246">
            <v>43515</v>
          </cell>
          <cell r="L246" t="str">
            <v>CC</v>
          </cell>
          <cell r="M246">
            <v>79133461</v>
          </cell>
          <cell r="N246" t="str">
            <v>GIOVANY ANDRE ALFONSO FORERO</v>
          </cell>
          <cell r="O246" t="str">
            <v>CONTRATO DE PRESTACION DE SERVICIOS DE APOYO A LA GESTION</v>
          </cell>
          <cell r="P246">
            <v>253</v>
          </cell>
          <cell r="Q246">
            <v>43514</v>
          </cell>
          <cell r="R246" t="str">
            <v>(Cód. 54) Prestar servicios de apoyo a la gestión al Instituto Distrital de Patrimonio Cultural en la ejecución de recorridos naturales realizados en el marco de la estrategia de apropiación social del patrimonio cultural.</v>
          </cell>
          <cell r="S246">
            <v>10000000</v>
          </cell>
          <cell r="T246">
            <v>0</v>
          </cell>
          <cell r="U246">
            <v>0</v>
          </cell>
          <cell r="V246">
            <v>10000000</v>
          </cell>
        </row>
        <row r="247">
          <cell r="I247">
            <v>284</v>
          </cell>
          <cell r="J247">
            <v>300</v>
          </cell>
          <cell r="K247">
            <v>43516</v>
          </cell>
          <cell r="L247" t="str">
            <v>CC</v>
          </cell>
          <cell r="M247">
            <v>52439734</v>
          </cell>
          <cell r="N247" t="str">
            <v>BIBIANA  CASTRO RAMIREZ</v>
          </cell>
          <cell r="O247" t="str">
            <v>CONTRATO DE PRESTACION DE SERVICIOS PROFESIONALES</v>
          </cell>
          <cell r="P247">
            <v>249</v>
          </cell>
          <cell r="Q247">
            <v>43515</v>
          </cell>
          <cell r="R247" t="str">
            <v>(Cód. 26) Prestar servicios profesionales  al Instituto Distrital de Patrimonio Cultural para llevar a cabo los procesos de corrección de estilo de los textos y publicaciones adelantadas por la Subdirección de Divulgación y Apropiación del Patrimonio.</v>
          </cell>
          <cell r="S247">
            <v>20000000</v>
          </cell>
          <cell r="T247">
            <v>0</v>
          </cell>
          <cell r="U247">
            <v>0</v>
          </cell>
          <cell r="V247">
            <v>20000000</v>
          </cell>
        </row>
        <row r="249">
          <cell r="I249">
            <v>260</v>
          </cell>
          <cell r="J249">
            <v>263</v>
          </cell>
        </row>
        <row r="250">
          <cell r="I250">
            <v>20</v>
          </cell>
          <cell r="J250">
            <v>30</v>
          </cell>
        </row>
        <row r="251">
          <cell r="I251">
            <v>90</v>
          </cell>
          <cell r="J251">
            <v>83</v>
          </cell>
        </row>
        <row r="252">
          <cell r="I252">
            <v>91</v>
          </cell>
          <cell r="J252">
            <v>80</v>
          </cell>
        </row>
        <row r="253">
          <cell r="I253">
            <v>92</v>
          </cell>
          <cell r="J253">
            <v>84</v>
          </cell>
        </row>
        <row r="254">
          <cell r="I254">
            <v>124</v>
          </cell>
          <cell r="J254">
            <v>149</v>
          </cell>
        </row>
        <row r="255">
          <cell r="I255">
            <v>125</v>
          </cell>
          <cell r="J255">
            <v>151</v>
          </cell>
        </row>
        <row r="256">
          <cell r="I256">
            <v>166</v>
          </cell>
          <cell r="J256">
            <v>160</v>
          </cell>
        </row>
        <row r="257">
          <cell r="I257">
            <v>181</v>
          </cell>
          <cell r="J257">
            <v>178</v>
          </cell>
        </row>
        <row r="258">
          <cell r="I258">
            <v>182</v>
          </cell>
          <cell r="J258">
            <v>195</v>
          </cell>
        </row>
        <row r="259">
          <cell r="I259">
            <v>216</v>
          </cell>
          <cell r="J259">
            <v>212</v>
          </cell>
        </row>
        <row r="260">
          <cell r="I260">
            <v>226</v>
          </cell>
          <cell r="J260">
            <v>207</v>
          </cell>
        </row>
        <row r="261">
          <cell r="I261">
            <v>238</v>
          </cell>
          <cell r="J261">
            <v>205</v>
          </cell>
        </row>
        <row r="262">
          <cell r="I262">
            <v>239</v>
          </cell>
          <cell r="J262">
            <v>204</v>
          </cell>
        </row>
        <row r="263">
          <cell r="I263">
            <v>240</v>
          </cell>
          <cell r="J263">
            <v>222</v>
          </cell>
        </row>
        <row r="264">
          <cell r="I264">
            <v>245</v>
          </cell>
          <cell r="J264">
            <v>233</v>
          </cell>
        </row>
        <row r="265">
          <cell r="I265">
            <v>267</v>
          </cell>
          <cell r="J265">
            <v>267</v>
          </cell>
        </row>
        <row r="266">
          <cell r="I266">
            <v>271</v>
          </cell>
          <cell r="J266">
            <v>278</v>
          </cell>
        </row>
        <row r="267">
          <cell r="I267">
            <v>4</v>
          </cell>
          <cell r="J267">
            <v>297</v>
          </cell>
        </row>
        <row r="268">
          <cell r="I268">
            <v>4</v>
          </cell>
          <cell r="J268">
            <v>224</v>
          </cell>
        </row>
        <row r="269">
          <cell r="I269">
            <v>4</v>
          </cell>
          <cell r="J269">
            <v>255</v>
          </cell>
        </row>
        <row r="270">
          <cell r="I270">
            <v>4</v>
          </cell>
          <cell r="J270">
            <v>272</v>
          </cell>
        </row>
        <row r="271">
          <cell r="I271">
            <v>4</v>
          </cell>
          <cell r="J271">
            <v>286</v>
          </cell>
        </row>
        <row r="272">
          <cell r="I272">
            <v>4</v>
          </cell>
          <cell r="J272">
            <v>289</v>
          </cell>
        </row>
        <row r="273">
          <cell r="I273">
            <v>4</v>
          </cell>
          <cell r="J273">
            <v>291</v>
          </cell>
        </row>
        <row r="274">
          <cell r="I274">
            <v>4</v>
          </cell>
          <cell r="J274">
            <v>157</v>
          </cell>
        </row>
        <row r="275">
          <cell r="I275">
            <v>4</v>
          </cell>
          <cell r="J275">
            <v>3</v>
          </cell>
        </row>
        <row r="276">
          <cell r="I276">
            <v>4</v>
          </cell>
          <cell r="J276">
            <v>132</v>
          </cell>
        </row>
        <row r="277">
          <cell r="I277">
            <v>4</v>
          </cell>
          <cell r="J277">
            <v>57</v>
          </cell>
        </row>
        <row r="278">
          <cell r="I278">
            <v>4</v>
          </cell>
          <cell r="J278">
            <v>58</v>
          </cell>
        </row>
        <row r="279">
          <cell r="I279">
            <v>4</v>
          </cell>
          <cell r="J279">
            <v>131</v>
          </cell>
        </row>
        <row r="280">
          <cell r="I280">
            <v>21</v>
          </cell>
          <cell r="J280">
            <v>20</v>
          </cell>
        </row>
        <row r="281">
          <cell r="I281">
            <v>22</v>
          </cell>
          <cell r="J281">
            <v>11</v>
          </cell>
        </row>
        <row r="282">
          <cell r="I282">
            <v>23</v>
          </cell>
          <cell r="J282">
            <v>8</v>
          </cell>
        </row>
        <row r="283">
          <cell r="I283">
            <v>24</v>
          </cell>
          <cell r="J283">
            <v>7</v>
          </cell>
        </row>
        <row r="284">
          <cell r="I284">
            <v>25</v>
          </cell>
          <cell r="J284">
            <v>159</v>
          </cell>
        </row>
        <row r="285">
          <cell r="I285">
            <v>26</v>
          </cell>
          <cell r="J285">
            <v>10</v>
          </cell>
        </row>
        <row r="286">
          <cell r="I286">
            <v>27</v>
          </cell>
          <cell r="J286">
            <v>9</v>
          </cell>
        </row>
        <row r="287">
          <cell r="I287">
            <v>28</v>
          </cell>
          <cell r="J287">
            <v>6</v>
          </cell>
        </row>
        <row r="288">
          <cell r="I288">
            <v>54</v>
          </cell>
          <cell r="J288">
            <v>31</v>
          </cell>
        </row>
        <row r="289">
          <cell r="I289">
            <v>55</v>
          </cell>
          <cell r="J289">
            <v>32</v>
          </cell>
        </row>
        <row r="290">
          <cell r="I290">
            <v>56</v>
          </cell>
          <cell r="J290">
            <v>34</v>
          </cell>
        </row>
        <row r="291">
          <cell r="I291">
            <v>57</v>
          </cell>
          <cell r="J291">
            <v>215</v>
          </cell>
        </row>
        <row r="292">
          <cell r="I292">
            <v>60</v>
          </cell>
          <cell r="J292">
            <v>14</v>
          </cell>
        </row>
        <row r="293">
          <cell r="I293">
            <v>61</v>
          </cell>
          <cell r="J293">
            <v>15</v>
          </cell>
        </row>
        <row r="294">
          <cell r="I294">
            <v>62</v>
          </cell>
          <cell r="J294">
            <v>12</v>
          </cell>
        </row>
        <row r="295">
          <cell r="I295">
            <v>64</v>
          </cell>
          <cell r="J295">
            <v>13</v>
          </cell>
        </row>
        <row r="296">
          <cell r="I296">
            <v>66</v>
          </cell>
          <cell r="J296">
            <v>40</v>
          </cell>
        </row>
        <row r="297">
          <cell r="I297">
            <v>67</v>
          </cell>
          <cell r="J297">
            <v>82</v>
          </cell>
        </row>
        <row r="298">
          <cell r="I298">
            <v>68</v>
          </cell>
          <cell r="J298">
            <v>51</v>
          </cell>
        </row>
        <row r="299">
          <cell r="I299">
            <v>69</v>
          </cell>
          <cell r="J299">
            <v>55</v>
          </cell>
        </row>
        <row r="300">
          <cell r="I300">
            <v>70</v>
          </cell>
          <cell r="J300">
            <v>81</v>
          </cell>
        </row>
        <row r="301">
          <cell r="I301">
            <v>71</v>
          </cell>
          <cell r="J301">
            <v>103</v>
          </cell>
        </row>
        <row r="302">
          <cell r="I302">
            <v>83</v>
          </cell>
          <cell r="J302">
            <v>105</v>
          </cell>
        </row>
        <row r="303">
          <cell r="I303">
            <v>84</v>
          </cell>
          <cell r="J303">
            <v>53</v>
          </cell>
        </row>
        <row r="304">
          <cell r="I304">
            <v>85</v>
          </cell>
          <cell r="J304">
            <v>41</v>
          </cell>
        </row>
        <row r="305">
          <cell r="I305">
            <v>86</v>
          </cell>
          <cell r="J305">
            <v>33</v>
          </cell>
        </row>
        <row r="306">
          <cell r="I306">
            <v>87</v>
          </cell>
          <cell r="J306">
            <v>112</v>
          </cell>
        </row>
        <row r="307">
          <cell r="I307">
            <v>100</v>
          </cell>
          <cell r="J307">
            <v>266</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N2">
            <v>209</v>
          </cell>
          <cell r="O2">
            <v>200</v>
          </cell>
          <cell r="P2" t="str">
            <v>ANGYE CATERYNN PEÑA VARON</v>
          </cell>
          <cell r="Q2" t="str">
            <v>CONTRATO DE PRESTACION DE SERVICIOS PROFESIONALES</v>
          </cell>
          <cell r="R2">
            <v>202</v>
          </cell>
          <cell r="S2" t="str">
            <v>VIGENTE</v>
          </cell>
          <cell r="T2">
            <v>1773000</v>
          </cell>
        </row>
        <row r="3">
          <cell r="N3">
            <v>214</v>
          </cell>
          <cell r="O3">
            <v>199</v>
          </cell>
          <cell r="P3" t="str">
            <v xml:space="preserve">ROMY ERVIN GANOA </v>
          </cell>
          <cell r="Q3" t="str">
            <v>CONTRATO DE PRESTACION DE SERVICIOS DE APOYO A LA GESTION</v>
          </cell>
          <cell r="R3">
            <v>197</v>
          </cell>
          <cell r="S3" t="str">
            <v>VIGENTE</v>
          </cell>
          <cell r="T3">
            <v>2630000</v>
          </cell>
        </row>
        <row r="4">
          <cell r="N4">
            <v>113</v>
          </cell>
          <cell r="O4">
            <v>121</v>
          </cell>
          <cell r="P4" t="str">
            <v xml:space="preserve">ANDREA VIVIANA BRITO </v>
          </cell>
          <cell r="Q4" t="str">
            <v>CONTRATO DE PRESTACION DE SERVICIOS DE APOYO A LA GESTION</v>
          </cell>
          <cell r="R4">
            <v>96</v>
          </cell>
          <cell r="S4" t="str">
            <v>VIGENTE</v>
          </cell>
          <cell r="T4">
            <v>3100000</v>
          </cell>
        </row>
        <row r="5">
          <cell r="N5">
            <v>123</v>
          </cell>
          <cell r="O5">
            <v>138</v>
          </cell>
          <cell r="P5" t="str">
            <v>ARIEL RODRIGO FERNANDEZ BACA</v>
          </cell>
          <cell r="Q5" t="str">
            <v>CONTRATO DE PRESTACION DE SERVICIOS PROFESIONALES</v>
          </cell>
          <cell r="R5">
            <v>127</v>
          </cell>
          <cell r="S5" t="str">
            <v>VIGENTE</v>
          </cell>
          <cell r="T5">
            <v>6620000</v>
          </cell>
        </row>
        <row r="6">
          <cell r="N6">
            <v>125</v>
          </cell>
          <cell r="O6">
            <v>140</v>
          </cell>
          <cell r="P6" t="str">
            <v>juan sebastian robayo castillo</v>
          </cell>
          <cell r="Q6" t="str">
            <v>CONTRATO DE PRESTACION DE SERVICIOS PROFESIONALES</v>
          </cell>
          <cell r="R6">
            <v>111</v>
          </cell>
          <cell r="S6" t="str">
            <v>VIGENTE</v>
          </cell>
          <cell r="T6">
            <v>5440000</v>
          </cell>
        </row>
        <row r="7">
          <cell r="N7">
            <v>63</v>
          </cell>
          <cell r="O7">
            <v>94</v>
          </cell>
          <cell r="P7" t="str">
            <v>WINER ENRIQUE MARTINEZ CUADRADO</v>
          </cell>
          <cell r="Q7" t="str">
            <v>CONTRATO DE PRESTACION DE SERVICIOS DE APOYO A LA GESTION</v>
          </cell>
          <cell r="R7">
            <v>73</v>
          </cell>
          <cell r="S7" t="str">
            <v>VIGENTE</v>
          </cell>
          <cell r="T7">
            <v>3320000</v>
          </cell>
        </row>
        <row r="8">
          <cell r="N8">
            <v>221</v>
          </cell>
          <cell r="O8">
            <v>233</v>
          </cell>
          <cell r="P8" t="str">
            <v>DIEGO  MARTIN ACERO</v>
          </cell>
          <cell r="Q8" t="str">
            <v>CONTRATO DE PRESTACION DE SERVICIOS PROFESIONALES</v>
          </cell>
          <cell r="R8">
            <v>203</v>
          </cell>
          <cell r="S8" t="str">
            <v>VIGENTE</v>
          </cell>
          <cell r="T8">
            <v>3645000</v>
          </cell>
        </row>
        <row r="9">
          <cell r="N9">
            <v>25</v>
          </cell>
          <cell r="O9">
            <v>38</v>
          </cell>
          <cell r="P9" t="str">
            <v>ANA MARIA MONTOYA CORREA</v>
          </cell>
          <cell r="Q9" t="str">
            <v>CONTRATO DE PRESTACION DE SERVICIOS PROFESIONALES</v>
          </cell>
          <cell r="R9">
            <v>18</v>
          </cell>
          <cell r="S9" t="str">
            <v>VIGENTE</v>
          </cell>
          <cell r="T9">
            <v>8500000</v>
          </cell>
        </row>
        <row r="10">
          <cell r="N10">
            <v>16</v>
          </cell>
          <cell r="O10">
            <v>36</v>
          </cell>
          <cell r="P10" t="str">
            <v>MARILUZ  LOAIZA CANTOR</v>
          </cell>
          <cell r="Q10" t="str">
            <v>CONTRATO DE PRESTACION DE SERVICIOS PROFESIONALES</v>
          </cell>
          <cell r="R10">
            <v>21</v>
          </cell>
          <cell r="S10" t="str">
            <v>VIGENTE</v>
          </cell>
          <cell r="T10">
            <v>6600000</v>
          </cell>
        </row>
        <row r="11">
          <cell r="N11">
            <v>108</v>
          </cell>
          <cell r="O11">
            <v>98</v>
          </cell>
          <cell r="P11" t="str">
            <v>LAURA KATHERINE PEREZ ALMANZA</v>
          </cell>
          <cell r="Q11" t="str">
            <v>CONTRATO DE PRESTACION DE SERVICIOS PROFESIONALES</v>
          </cell>
          <cell r="R11">
            <v>77</v>
          </cell>
          <cell r="S11" t="str">
            <v>VIGENTE</v>
          </cell>
          <cell r="T11">
            <v>4050000</v>
          </cell>
        </row>
        <row r="12">
          <cell r="N12">
            <v>74</v>
          </cell>
          <cell r="O12">
            <v>116</v>
          </cell>
          <cell r="P12" t="str">
            <v>FRANK ADRIANO AGUIRRE SALAMANCA</v>
          </cell>
          <cell r="Q12" t="str">
            <v>CONTRATO DE PRESTACION DE SERVICIOS PROFESIONALES</v>
          </cell>
          <cell r="R12">
            <v>105</v>
          </cell>
          <cell r="S12" t="str">
            <v>VIGENTE</v>
          </cell>
          <cell r="T12">
            <v>4800000</v>
          </cell>
        </row>
        <row r="13">
          <cell r="N13">
            <v>29</v>
          </cell>
          <cell r="O13">
            <v>49</v>
          </cell>
          <cell r="P13" t="str">
            <v>Angie Lizeth Murillo Pineda</v>
          </cell>
          <cell r="Q13" t="str">
            <v>CONTRATO DE PRESTACION DE SERVICIOS PROFESIONALES</v>
          </cell>
          <cell r="R13">
            <v>26</v>
          </cell>
          <cell r="S13" t="str">
            <v>VIGENTE</v>
          </cell>
          <cell r="T13">
            <v>4120000</v>
          </cell>
        </row>
        <row r="14">
          <cell r="N14">
            <v>27</v>
          </cell>
          <cell r="O14">
            <v>35</v>
          </cell>
          <cell r="P14" t="str">
            <v>JONATHAN  OLARTE GUANA</v>
          </cell>
          <cell r="Q14" t="str">
            <v>CONTRATO DE PRESTACION DE SERVICIOS DE APOYO A LA GESTION</v>
          </cell>
          <cell r="R14">
            <v>19</v>
          </cell>
          <cell r="S14" t="str">
            <v>VIGENTE</v>
          </cell>
          <cell r="T14">
            <v>3480000</v>
          </cell>
        </row>
        <row r="15">
          <cell r="N15">
            <v>98</v>
          </cell>
          <cell r="O15">
            <v>74</v>
          </cell>
          <cell r="P15" t="str">
            <v>PAOLA RENATA BARRAGAN ZAMORA</v>
          </cell>
          <cell r="Q15" t="str">
            <v>CONTRATO DE PRESTACION DE SERVICIOS PROFESIONALES</v>
          </cell>
          <cell r="R15">
            <v>68</v>
          </cell>
          <cell r="S15" t="str">
            <v>VIGENTE</v>
          </cell>
          <cell r="T15">
            <v>8340000</v>
          </cell>
        </row>
        <row r="16">
          <cell r="N16">
            <v>114</v>
          </cell>
          <cell r="O16">
            <v>107</v>
          </cell>
          <cell r="P16" t="str">
            <v>NATALIA  ORTEGA RENGIFO</v>
          </cell>
          <cell r="Q16" t="str">
            <v>CONTRATO DE PRESTACION DE SERVICIOS PROFESIONALES</v>
          </cell>
          <cell r="R16">
            <v>102</v>
          </cell>
          <cell r="S16" t="str">
            <v>VIGENTE</v>
          </cell>
          <cell r="T16">
            <v>5380000</v>
          </cell>
        </row>
        <row r="17">
          <cell r="N17">
            <v>73</v>
          </cell>
          <cell r="O17">
            <v>117</v>
          </cell>
          <cell r="P17" t="str">
            <v>SANDRA MILENA FORERO BALLESTEROS</v>
          </cell>
          <cell r="Q17" t="str">
            <v>CONTRATO DE PRESTACION DE SERVICIOS PROFESIONALES</v>
          </cell>
          <cell r="R17">
            <v>95</v>
          </cell>
          <cell r="S17" t="str">
            <v>VIGENTE</v>
          </cell>
          <cell r="T17">
            <v>4800000</v>
          </cell>
        </row>
        <row r="18">
          <cell r="N18">
            <v>92</v>
          </cell>
          <cell r="O18">
            <v>118</v>
          </cell>
          <cell r="P18" t="str">
            <v>jhon edwin morales herrera</v>
          </cell>
          <cell r="Q18" t="str">
            <v>CONTRATO DE PRESTACION DE SERVICIOS PROFESIONALES</v>
          </cell>
          <cell r="R18">
            <v>104</v>
          </cell>
          <cell r="S18" t="str">
            <v>VIGENTE</v>
          </cell>
          <cell r="T18">
            <v>4800000</v>
          </cell>
        </row>
        <row r="19">
          <cell r="N19">
            <v>75</v>
          </cell>
          <cell r="O19">
            <v>123</v>
          </cell>
          <cell r="P19" t="str">
            <v>SANDRA PATRICIA MENDOZA VARGAS</v>
          </cell>
          <cell r="Q19" t="str">
            <v>CONTRATO DE PRESTACION DE SERVICIOS PROFESIONALES</v>
          </cell>
          <cell r="R19">
            <v>107</v>
          </cell>
          <cell r="S19" t="str">
            <v>VIGENTE</v>
          </cell>
          <cell r="T19">
            <v>6640000</v>
          </cell>
        </row>
        <row r="20">
          <cell r="N20">
            <v>17</v>
          </cell>
          <cell r="O20">
            <v>34</v>
          </cell>
          <cell r="P20" t="str">
            <v>LUZ MERY BOLIVAR RINCON</v>
          </cell>
          <cell r="Q20" t="str">
            <v>CONTRATO DE PRESTACION DE SERVICIOS PROFESIONALES</v>
          </cell>
          <cell r="R20">
            <v>20</v>
          </cell>
          <cell r="S20" t="str">
            <v>VIGENTE</v>
          </cell>
          <cell r="T20">
            <v>5200000</v>
          </cell>
        </row>
        <row r="21">
          <cell r="N21">
            <v>119</v>
          </cell>
          <cell r="O21">
            <v>139</v>
          </cell>
          <cell r="P21" t="str">
            <v>MARIBEL  CHARRY DIAZ</v>
          </cell>
          <cell r="Q21" t="str">
            <v>CONTRATO DE PRESTACION DE SERVICIOS PROFESIONALES</v>
          </cell>
          <cell r="R21">
            <v>119</v>
          </cell>
          <cell r="S21" t="str">
            <v>VIGENTE</v>
          </cell>
          <cell r="T21">
            <v>8240000</v>
          </cell>
        </row>
        <row r="22">
          <cell r="N22">
            <v>238</v>
          </cell>
          <cell r="O22">
            <v>210</v>
          </cell>
          <cell r="P22" t="str">
            <v>DIANA CAROLINA SHOOL MONTOYA</v>
          </cell>
          <cell r="Q22" t="str">
            <v>CONTRATO DE PRESTACION DE SERVICIOS PROFESIONALES</v>
          </cell>
          <cell r="R22">
            <v>224</v>
          </cell>
          <cell r="S22" t="str">
            <v>VIGENTE</v>
          </cell>
          <cell r="T22">
            <v>5500000</v>
          </cell>
        </row>
        <row r="23">
          <cell r="N23">
            <v>236</v>
          </cell>
          <cell r="O23">
            <v>196</v>
          </cell>
          <cell r="P23" t="str">
            <v xml:space="preserve">ALEXANDER  VALLEJO </v>
          </cell>
          <cell r="Q23" t="str">
            <v>CONTRATO DE PRESTACION DE SERVICIOS PROFESIONALES</v>
          </cell>
          <cell r="R23">
            <v>222</v>
          </cell>
          <cell r="S23" t="str">
            <v>VIGENTE</v>
          </cell>
          <cell r="T23">
            <v>4000000</v>
          </cell>
        </row>
        <row r="24">
          <cell r="N24">
            <v>216</v>
          </cell>
          <cell r="O24">
            <v>234</v>
          </cell>
          <cell r="P24" t="str">
            <v>MARITZA  FORERO HERNANDEZ</v>
          </cell>
          <cell r="Q24" t="str">
            <v>CONTRATO DE PRESTACION DE SERVICIOS PROFESIONALES</v>
          </cell>
          <cell r="R24">
            <v>210</v>
          </cell>
          <cell r="S24" t="str">
            <v>VIGENTE</v>
          </cell>
          <cell r="T24">
            <v>4140000</v>
          </cell>
        </row>
        <row r="25">
          <cell r="N25">
            <v>50</v>
          </cell>
          <cell r="O25">
            <v>43</v>
          </cell>
          <cell r="P25" t="str">
            <v>WILSON ORLANDO DAZA MONTAÑO</v>
          </cell>
          <cell r="Q25" t="str">
            <v>CONTRATO DE PRESTACION DE SERVICIOS DE APOYO A LA GESTION</v>
          </cell>
          <cell r="R25">
            <v>30</v>
          </cell>
          <cell r="S25" t="str">
            <v>VIGENTE</v>
          </cell>
          <cell r="T25">
            <v>2630000</v>
          </cell>
        </row>
        <row r="26">
          <cell r="N26">
            <v>48</v>
          </cell>
          <cell r="O26">
            <v>46</v>
          </cell>
          <cell r="P26" t="str">
            <v>GIOVANNY ANDRES CUBILLOS MORENO</v>
          </cell>
          <cell r="Q26" t="str">
            <v>CONTRATO DE PRESTACION DE SERVICIOS DE APOYO A LA GESTION</v>
          </cell>
          <cell r="R26">
            <v>65</v>
          </cell>
          <cell r="S26" t="str">
            <v>VIGENTE</v>
          </cell>
          <cell r="T26">
            <v>2630000</v>
          </cell>
        </row>
        <row r="27">
          <cell r="N27">
            <v>54</v>
          </cell>
          <cell r="O27">
            <v>45</v>
          </cell>
          <cell r="P27" t="str">
            <v>ANGELA MARIA RUIZ ARAQUE</v>
          </cell>
          <cell r="Q27" t="str">
            <v>CONTRATO DE PRESTACION DE SERVICIOS PROFESIONALES</v>
          </cell>
          <cell r="R27">
            <v>31</v>
          </cell>
          <cell r="S27" t="str">
            <v>VIGENTE</v>
          </cell>
          <cell r="T27">
            <v>4800000</v>
          </cell>
        </row>
        <row r="28">
          <cell r="N28">
            <v>109</v>
          </cell>
          <cell r="O28">
            <v>99</v>
          </cell>
          <cell r="P28" t="str">
            <v>LEONEL  SERRATO VASQUEZ</v>
          </cell>
          <cell r="Q28" t="str">
            <v>CONTRATO DE PRESTACION DE SERVICIOS DE APOYO A LA GESTION</v>
          </cell>
          <cell r="R28">
            <v>78</v>
          </cell>
          <cell r="S28" t="str">
            <v>VIGENTE</v>
          </cell>
          <cell r="T28">
            <v>2630000</v>
          </cell>
        </row>
        <row r="29">
          <cell r="N29">
            <v>88</v>
          </cell>
          <cell r="O29">
            <v>120</v>
          </cell>
          <cell r="P29" t="str">
            <v>RODOLFO ANTONIO PARRA RODRIGUEZ</v>
          </cell>
          <cell r="Q29" t="str">
            <v>CONTRATO DE PRESTACION DE SERVICIOS PROFESIONALES</v>
          </cell>
          <cell r="R29">
            <v>98</v>
          </cell>
          <cell r="S29" t="str">
            <v>VIGENTE</v>
          </cell>
          <cell r="T29">
            <v>6600000</v>
          </cell>
        </row>
        <row r="30">
          <cell r="N30">
            <v>196</v>
          </cell>
          <cell r="O30">
            <v>206</v>
          </cell>
          <cell r="P30" t="str">
            <v>JAIR ALEJANDRO ALVARADO SOTO</v>
          </cell>
          <cell r="Q30" t="str">
            <v>CONTRATO DE PRESTACION DE SERVICIOS PROFESIONALES</v>
          </cell>
          <cell r="R30">
            <v>208</v>
          </cell>
          <cell r="S30" t="str">
            <v>VIGENTE</v>
          </cell>
          <cell r="T30">
            <v>4500000</v>
          </cell>
        </row>
        <row r="31">
          <cell r="N31">
            <v>104</v>
          </cell>
          <cell r="O31">
            <v>93</v>
          </cell>
          <cell r="P31" t="str">
            <v>ALVARO IVAN SALAZAR DAZA</v>
          </cell>
          <cell r="Q31" t="str">
            <v>CONTRATO DE PRESTACION DE SERVICIOS PROFESIONALES</v>
          </cell>
          <cell r="R31">
            <v>64</v>
          </cell>
          <cell r="S31" t="str">
            <v>VIGENTE</v>
          </cell>
          <cell r="T31">
            <v>2950000</v>
          </cell>
        </row>
        <row r="32">
          <cell r="N32">
            <v>64</v>
          </cell>
          <cell r="O32">
            <v>48</v>
          </cell>
          <cell r="P32" t="str">
            <v>NUBIA ALEXANDRA CORTES REINA</v>
          </cell>
          <cell r="Q32" t="str">
            <v>CONTRATO DE PRESTACION DE SERVICIOS DE APOYO A LA GESTION</v>
          </cell>
          <cell r="R32">
            <v>71</v>
          </cell>
          <cell r="S32" t="str">
            <v>VIGENTE</v>
          </cell>
          <cell r="T32">
            <v>2630000</v>
          </cell>
        </row>
        <row r="33">
          <cell r="N33">
            <v>198</v>
          </cell>
          <cell r="O33">
            <v>215</v>
          </cell>
          <cell r="P33" t="str">
            <v>DIEGO ANTONIO RODRIGUEZ CARRILLO</v>
          </cell>
          <cell r="Q33" t="str">
            <v>CONTRATO DE PRESTACION DE SERVICIOS PROFESIONALES</v>
          </cell>
          <cell r="R33">
            <v>200</v>
          </cell>
          <cell r="S33" t="str">
            <v>VIGENTE</v>
          </cell>
          <cell r="T33">
            <v>4500000</v>
          </cell>
        </row>
        <row r="34">
          <cell r="N34">
            <v>208</v>
          </cell>
          <cell r="O34">
            <v>204</v>
          </cell>
          <cell r="P34" t="str">
            <v>JORGE LEONARDO TORRES ROMERO</v>
          </cell>
          <cell r="Q34" t="str">
            <v>CONTRATO DE PRESTACION DE SERVICIOS DE APOYO A LA GESTION</v>
          </cell>
          <cell r="R34">
            <v>204</v>
          </cell>
          <cell r="S34" t="str">
            <v>VIGENTE</v>
          </cell>
          <cell r="T34">
            <v>1773000</v>
          </cell>
        </row>
        <row r="35">
          <cell r="N35">
            <v>62</v>
          </cell>
          <cell r="O35">
            <v>44</v>
          </cell>
          <cell r="P35" t="str">
            <v>OSCAR JAVIER MARTINEZ REYES</v>
          </cell>
          <cell r="Q35" t="str">
            <v>CONTRATO DE PRESTACION DE SERVICIOS DE APOYO A LA GESTION</v>
          </cell>
          <cell r="R35">
            <v>66</v>
          </cell>
          <cell r="S35" t="str">
            <v>VIGENTE</v>
          </cell>
          <cell r="T35">
            <v>2630000</v>
          </cell>
        </row>
        <row r="36">
          <cell r="N36">
            <v>118</v>
          </cell>
          <cell r="O36">
            <v>127</v>
          </cell>
          <cell r="P36" t="str">
            <v>Karem Lizette Cespedes Hernandez</v>
          </cell>
          <cell r="Q36" t="str">
            <v>CONTRATO DE PRESTACION DE SERVICIOS PROFESIONALES</v>
          </cell>
          <cell r="R36">
            <v>117</v>
          </cell>
          <cell r="S36" t="str">
            <v>VIGENTE</v>
          </cell>
          <cell r="T36">
            <v>5380000</v>
          </cell>
        </row>
        <row r="37">
          <cell r="N37">
            <v>235</v>
          </cell>
          <cell r="O37">
            <v>214</v>
          </cell>
          <cell r="P37" t="str">
            <v>KATHERINE AURORA MEJIA LEAL</v>
          </cell>
          <cell r="Q37" t="str">
            <v>CONTRATO DE PRESTACION DE SERVICIOS PROFESIONALES</v>
          </cell>
          <cell r="R37">
            <v>218</v>
          </cell>
          <cell r="S37" t="str">
            <v>VIGENTE</v>
          </cell>
          <cell r="T37">
            <v>4448000</v>
          </cell>
        </row>
        <row r="38">
          <cell r="N38">
            <v>234</v>
          </cell>
          <cell r="O38">
            <v>195</v>
          </cell>
          <cell r="P38" t="str">
            <v>DAVID ERNESTO ARIAS SILVA</v>
          </cell>
          <cell r="Q38" t="str">
            <v>CONTRATO DE PRESTACION DE SERVICIOS PROFESIONALES</v>
          </cell>
          <cell r="R38">
            <v>212</v>
          </cell>
          <cell r="S38" t="str">
            <v>VIGENTE</v>
          </cell>
          <cell r="T38">
            <v>5500000</v>
          </cell>
        </row>
        <row r="39">
          <cell r="N39">
            <v>134</v>
          </cell>
          <cell r="O39">
            <v>131</v>
          </cell>
          <cell r="P39" t="str">
            <v>ALEJANDRO  MENDOZA JARAMILLO</v>
          </cell>
          <cell r="Q39" t="str">
            <v>CONTRATO DE PRESTACION DE SERVICIOS PROFESIONALES</v>
          </cell>
          <cell r="R39">
            <v>122</v>
          </cell>
          <cell r="S39" t="str">
            <v>VIGENTE</v>
          </cell>
          <cell r="T39">
            <v>4800000</v>
          </cell>
        </row>
        <row r="40">
          <cell r="N40">
            <v>90</v>
          </cell>
          <cell r="O40">
            <v>112</v>
          </cell>
          <cell r="P40" t="str">
            <v>OSCAR JAVIER BECERRA MORA</v>
          </cell>
          <cell r="Q40" t="str">
            <v>CONTRATO DE PRESTACION DE SERVICIOS DE APOYO A LA GESTION</v>
          </cell>
          <cell r="R40">
            <v>100</v>
          </cell>
          <cell r="S40" t="str">
            <v>VIGENTE</v>
          </cell>
          <cell r="T40">
            <v>5890000</v>
          </cell>
        </row>
        <row r="41">
          <cell r="N41">
            <v>127</v>
          </cell>
          <cell r="O41">
            <v>115</v>
          </cell>
          <cell r="P41" t="str">
            <v>CHALOT  GAVIRIA VELANDIA</v>
          </cell>
          <cell r="Q41" t="str">
            <v>CONTRATO DE PRESTACION DE SERVICIOS PROFESIONALES</v>
          </cell>
          <cell r="R41">
            <v>97</v>
          </cell>
          <cell r="S41" t="str">
            <v>VIGENTE</v>
          </cell>
          <cell r="T41">
            <v>4800000</v>
          </cell>
        </row>
        <row r="42">
          <cell r="N42">
            <v>206</v>
          </cell>
          <cell r="O42">
            <v>205</v>
          </cell>
          <cell r="P42" t="str">
            <v>giovanny francisco lopez perez</v>
          </cell>
          <cell r="Q42" t="str">
            <v>CONTRATO DE PRESTACION DE SERVICIOS DE APOYO A LA GESTION</v>
          </cell>
          <cell r="R42">
            <v>198</v>
          </cell>
          <cell r="S42" t="str">
            <v>VIGENTE</v>
          </cell>
          <cell r="T42">
            <v>1970000</v>
          </cell>
        </row>
        <row r="43">
          <cell r="N43">
            <v>121</v>
          </cell>
          <cell r="O43">
            <v>132</v>
          </cell>
          <cell r="P43" t="str">
            <v>JUAN SEBASTIAN ORTIZ ROJAS</v>
          </cell>
          <cell r="Q43" t="str">
            <v>CONTRATO DE PRESTACION DE SERVICIOS PROFESIONALES</v>
          </cell>
          <cell r="R43">
            <v>124</v>
          </cell>
          <cell r="S43" t="str">
            <v>VIGENTE</v>
          </cell>
          <cell r="T43">
            <v>6600000</v>
          </cell>
        </row>
        <row r="44">
          <cell r="N44">
            <v>126</v>
          </cell>
          <cell r="O44">
            <v>133</v>
          </cell>
          <cell r="P44" t="str">
            <v>KAREN ROCIO FORERO GARAVITO</v>
          </cell>
          <cell r="Q44" t="str">
            <v>CONTRATO DE PRESTACION DE SERVICIOS PROFESIONALES</v>
          </cell>
          <cell r="R44">
            <v>128</v>
          </cell>
          <cell r="S44" t="str">
            <v>VIGENTE</v>
          </cell>
          <cell r="T44">
            <v>4840000</v>
          </cell>
        </row>
        <row r="45">
          <cell r="N45">
            <v>124</v>
          </cell>
          <cell r="O45">
            <v>135</v>
          </cell>
          <cell r="P45" t="str">
            <v>MARTHA LILIANA TRIGOS PICON</v>
          </cell>
          <cell r="Q45" t="str">
            <v>CONTRATO DE PRESTACION DE SERVICIOS PROFESIONALES</v>
          </cell>
          <cell r="R45">
            <v>110</v>
          </cell>
          <cell r="S45" t="str">
            <v>VIGENTE</v>
          </cell>
          <cell r="T45">
            <v>4800000</v>
          </cell>
        </row>
        <row r="46">
          <cell r="N46">
            <v>89</v>
          </cell>
          <cell r="O46">
            <v>119</v>
          </cell>
          <cell r="P46" t="str">
            <v>HELENA MARIA FERNANDEZ SARMIENTO</v>
          </cell>
          <cell r="Q46" t="str">
            <v>CONTRATO DE PRESTACION DE SERVICIOS PROFESIONALES</v>
          </cell>
          <cell r="R46">
            <v>99</v>
          </cell>
          <cell r="S46" t="str">
            <v>VIGENTE</v>
          </cell>
          <cell r="T46">
            <v>5380000</v>
          </cell>
        </row>
        <row r="47">
          <cell r="N47">
            <v>143</v>
          </cell>
          <cell r="O47">
            <v>134</v>
          </cell>
          <cell r="P47" t="str">
            <v>FERNANDO  SANCHEZ SABOGAL</v>
          </cell>
          <cell r="Q47" t="str">
            <v>CONTRATO DE PRESTACION DE SERVICIOS DE APOYO A LA GESTION</v>
          </cell>
          <cell r="R47">
            <v>118</v>
          </cell>
          <cell r="S47" t="str">
            <v>VIGENTE</v>
          </cell>
          <cell r="T47">
            <v>2920000</v>
          </cell>
        </row>
        <row r="48">
          <cell r="N48">
            <v>201</v>
          </cell>
          <cell r="O48">
            <v>202</v>
          </cell>
          <cell r="P48" t="str">
            <v>SANTIAGO  URREGO GARAY</v>
          </cell>
          <cell r="Q48" t="str">
            <v>CONTRATO DE PRESTACION DE SERVICIOS DE APOYO A LA GESTION</v>
          </cell>
          <cell r="R48">
            <v>207</v>
          </cell>
          <cell r="S48" t="str">
            <v>VIGENTE</v>
          </cell>
          <cell r="T48">
            <v>1970000</v>
          </cell>
        </row>
        <row r="49">
          <cell r="N49">
            <v>257</v>
          </cell>
          <cell r="O49">
            <v>208</v>
          </cell>
          <cell r="P49" t="str">
            <v>SIMON ANDRES ROJAS GUTIERREZ</v>
          </cell>
          <cell r="Q49" t="str">
            <v>CONTRATO DE PRESTACION DE SERVICIOS PROFESIONALES</v>
          </cell>
          <cell r="R49">
            <v>220</v>
          </cell>
          <cell r="S49" t="str">
            <v>VIGENTE</v>
          </cell>
          <cell r="T49">
            <v>3534667</v>
          </cell>
        </row>
        <row r="50">
          <cell r="N50">
            <v>130</v>
          </cell>
          <cell r="O50">
            <v>114</v>
          </cell>
          <cell r="P50" t="str">
            <v>LIDA CONSTANZA MEDRANO RINCON</v>
          </cell>
          <cell r="Q50" t="str">
            <v>CONTRATO DE PRESTACION DE SERVICIOS PROFESIONALES</v>
          </cell>
          <cell r="R50">
            <v>126</v>
          </cell>
          <cell r="S50" t="str">
            <v>VIGENTE</v>
          </cell>
          <cell r="T50">
            <v>6606000</v>
          </cell>
        </row>
        <row r="51">
          <cell r="N51">
            <v>197</v>
          </cell>
          <cell r="O51">
            <v>198</v>
          </cell>
          <cell r="P51" t="str">
            <v>JOSE NICOLAS MARTINEZ ARENAS</v>
          </cell>
          <cell r="Q51" t="str">
            <v>CONTRATO DE PRESTACION DE SERVICIOS PROFESIONALES</v>
          </cell>
          <cell r="R51">
            <v>191</v>
          </cell>
          <cell r="S51" t="str">
            <v>VIGENTE</v>
          </cell>
          <cell r="T51">
            <v>2630000</v>
          </cell>
        </row>
        <row r="52">
          <cell r="N52">
            <v>28</v>
          </cell>
          <cell r="O52">
            <v>37</v>
          </cell>
          <cell r="P52" t="str">
            <v>INGRID JOHANA PARADA MENDIVELSO</v>
          </cell>
          <cell r="Q52" t="str">
            <v>CONTRATO DE PRESTACION DE SERVICIOS DE APOYO A LA GESTION</v>
          </cell>
          <cell r="R52">
            <v>17</v>
          </cell>
          <cell r="S52" t="str">
            <v>VIGENTE</v>
          </cell>
          <cell r="T52">
            <v>3600000</v>
          </cell>
        </row>
        <row r="53">
          <cell r="N53">
            <v>87</v>
          </cell>
          <cell r="O53">
            <v>122</v>
          </cell>
          <cell r="P53" t="str">
            <v>OSWALDO JAVIER URREGO VARGAS</v>
          </cell>
          <cell r="Q53" t="str">
            <v>CONTRATO DE PRESTACION DE SERVICIOS PROFESIONALES</v>
          </cell>
          <cell r="R53">
            <v>94</v>
          </cell>
          <cell r="S53" t="str">
            <v>VIGENTE</v>
          </cell>
          <cell r="T53">
            <v>4910000</v>
          </cell>
        </row>
        <row r="54">
          <cell r="N54">
            <v>311</v>
          </cell>
          <cell r="O54">
            <v>310</v>
          </cell>
          <cell r="P54" t="str">
            <v>NUBIA MARCELA RINCON BUENHOMBRE</v>
          </cell>
          <cell r="Q54" t="str">
            <v>CONTRATO DE PRESTACION DE SERVICIOS PROFESIONALES</v>
          </cell>
          <cell r="R54">
            <v>265</v>
          </cell>
          <cell r="S54" t="str">
            <v>VIGENTE</v>
          </cell>
          <cell r="T54">
            <v>1320000</v>
          </cell>
        </row>
        <row r="55">
          <cell r="N55">
            <v>211</v>
          </cell>
          <cell r="O55">
            <v>213</v>
          </cell>
          <cell r="P55" t="str">
            <v>DIEGO JAVIER PARRA CORTES</v>
          </cell>
          <cell r="Q55" t="str">
            <v>CONTRATO DE PRESTACION DE SERVICIOS PROFESIONALES</v>
          </cell>
          <cell r="R55">
            <v>209</v>
          </cell>
          <cell r="S55" t="str">
            <v>VIGENTE</v>
          </cell>
          <cell r="T55">
            <v>7200000</v>
          </cell>
        </row>
        <row r="56">
          <cell r="N56">
            <v>72</v>
          </cell>
          <cell r="O56">
            <v>113</v>
          </cell>
          <cell r="P56" t="str">
            <v>ANDRES JULIAN JIMENEZ DURAN</v>
          </cell>
          <cell r="Q56" t="str">
            <v>CONTRATO DE PRESTACION DE SERVICIOS PROFESIONALES</v>
          </cell>
          <cell r="R56">
            <v>101</v>
          </cell>
          <cell r="S56" t="str">
            <v>VIGENTE</v>
          </cell>
          <cell r="T56">
            <v>5890000</v>
          </cell>
        </row>
        <row r="57">
          <cell r="N57">
            <v>91</v>
          </cell>
          <cell r="O57">
            <v>108</v>
          </cell>
          <cell r="P57" t="str">
            <v>LIZETH PAOLA LOPEZ BARRERA</v>
          </cell>
          <cell r="Q57" t="str">
            <v>CONTRATO DE PRESTACION DE SERVICIOS PROFESIONALES</v>
          </cell>
          <cell r="R57">
            <v>103</v>
          </cell>
          <cell r="S57" t="str">
            <v>VIGENTE</v>
          </cell>
          <cell r="T57">
            <v>5380000</v>
          </cell>
        </row>
        <row r="58">
          <cell r="N58">
            <v>120</v>
          </cell>
          <cell r="O58">
            <v>128</v>
          </cell>
          <cell r="P58" t="str">
            <v>SANDRA JINNETH SABOGAL BERNAL</v>
          </cell>
          <cell r="Q58" t="str">
            <v>CONTRATO DE PRESTACION DE SERVICIOS PROFESIONALES</v>
          </cell>
          <cell r="R58">
            <v>123</v>
          </cell>
          <cell r="S58" t="str">
            <v>VIGENTE</v>
          </cell>
          <cell r="T58">
            <v>5380000</v>
          </cell>
        </row>
        <row r="59">
          <cell r="N59">
            <v>85</v>
          </cell>
          <cell r="O59">
            <v>111</v>
          </cell>
          <cell r="P59" t="str">
            <v>JULIETH GEORYANNA RODRIGUEZ JAIMES</v>
          </cell>
          <cell r="Q59" t="str">
            <v>CONTRATO DE PRESTACION DE SERVICIOS PROFESIONALES</v>
          </cell>
          <cell r="R59">
            <v>92</v>
          </cell>
          <cell r="S59" t="str">
            <v>VIGENTE</v>
          </cell>
          <cell r="T59">
            <v>5380000</v>
          </cell>
        </row>
        <row r="60">
          <cell r="N60">
            <v>101</v>
          </cell>
          <cell r="O60">
            <v>109</v>
          </cell>
          <cell r="P60" t="str">
            <v>PAULA ANDREA AYALA BARON</v>
          </cell>
          <cell r="Q60" t="str">
            <v>CONTRATO DE PRESTACION DE SERVICIOS PROFESIONALES</v>
          </cell>
          <cell r="R60">
            <v>93</v>
          </cell>
          <cell r="S60" t="str">
            <v>VIGENTE</v>
          </cell>
          <cell r="T60">
            <v>5380000</v>
          </cell>
        </row>
        <row r="61">
          <cell r="N61">
            <v>76</v>
          </cell>
          <cell r="O61">
            <v>110</v>
          </cell>
          <cell r="P61" t="str">
            <v>CAROLINA  ORTIZ PEDRAZA</v>
          </cell>
          <cell r="Q61" t="str">
            <v>CONTRATO DE PRESTACION DE SERVICIOS PROFESIONALES</v>
          </cell>
          <cell r="R61">
            <v>120</v>
          </cell>
          <cell r="S61" t="str">
            <v>VIGENTE</v>
          </cell>
          <cell r="T61">
            <v>5380000</v>
          </cell>
        </row>
        <row r="62">
          <cell r="N62">
            <v>250</v>
          </cell>
          <cell r="O62">
            <v>212</v>
          </cell>
          <cell r="P62" t="str">
            <v>DIANA PAOLA BEDOYA GARCIA</v>
          </cell>
          <cell r="Q62" t="str">
            <v>CONTRATO DE PRESTACION DE SERVICIOS PROFESIONALES</v>
          </cell>
          <cell r="R62">
            <v>223</v>
          </cell>
          <cell r="S62" t="str">
            <v>VIGENTE</v>
          </cell>
          <cell r="T62">
            <v>4515667</v>
          </cell>
        </row>
        <row r="63">
          <cell r="N63">
            <v>117</v>
          </cell>
          <cell r="O63">
            <v>137</v>
          </cell>
          <cell r="P63" t="str">
            <v>JAVIER ENRIQUE MOTTA MORALES</v>
          </cell>
          <cell r="Q63" t="str">
            <v>CONTRATO DE PRESTACION DE SERVICIOS DE APOYO A LA GESTION</v>
          </cell>
          <cell r="R63">
            <v>116</v>
          </cell>
          <cell r="S63" t="str">
            <v>VIGENTE</v>
          </cell>
          <cell r="T63">
            <v>3480000</v>
          </cell>
        </row>
        <row r="64">
          <cell r="N64">
            <v>210</v>
          </cell>
          <cell r="O64">
            <v>201</v>
          </cell>
          <cell r="P64" t="str">
            <v>CESAR FERSEN ANDERY PADILLA RODRIGUEZ</v>
          </cell>
          <cell r="Q64" t="str">
            <v>CONTRATO DE PRESTACION DE SERVICIOS DE APOYO A LA GESTION</v>
          </cell>
          <cell r="R64">
            <v>206</v>
          </cell>
          <cell r="S64" t="str">
            <v>VIGENTE</v>
          </cell>
          <cell r="T64">
            <v>1970000</v>
          </cell>
        </row>
        <row r="65">
          <cell r="N65">
            <v>122</v>
          </cell>
          <cell r="O65">
            <v>136</v>
          </cell>
          <cell r="P65" t="str">
            <v>HELLEN  QUIROGA MORA</v>
          </cell>
          <cell r="Q65" t="str">
            <v>CONTRATO DE PRESTACION DE SERVICIOS PROFESIONALES</v>
          </cell>
          <cell r="R65">
            <v>125</v>
          </cell>
          <cell r="S65" t="str">
            <v>VIGENTE</v>
          </cell>
          <cell r="T65">
            <v>5282044</v>
          </cell>
        </row>
        <row r="66">
          <cell r="N66">
            <v>78</v>
          </cell>
          <cell r="O66">
            <v>130</v>
          </cell>
          <cell r="P66" t="str">
            <v>ANDRES IVAN ALBARRACIN SALAMANCA</v>
          </cell>
          <cell r="Q66" t="str">
            <v>CONTRATO DE PRESTACION DE SERVICIOS PROFESIONALES</v>
          </cell>
          <cell r="R66">
            <v>115</v>
          </cell>
          <cell r="S66" t="str">
            <v>VIGENTE</v>
          </cell>
          <cell r="T66">
            <v>4800000</v>
          </cell>
        </row>
        <row r="67">
          <cell r="N67">
            <v>200</v>
          </cell>
          <cell r="O67">
            <v>203</v>
          </cell>
          <cell r="P67" t="str">
            <v>JOSE LUIS ORTIZ CARDENAS</v>
          </cell>
          <cell r="Q67" t="str">
            <v>CONTRATO DE PRESTACION DE SERVICIOS DE APOYO A LA GESTION</v>
          </cell>
          <cell r="R67">
            <v>201</v>
          </cell>
          <cell r="S67" t="str">
            <v>VIGENTE</v>
          </cell>
          <cell r="T67">
            <v>1970000</v>
          </cell>
        </row>
        <row r="68">
          <cell r="N68">
            <v>49</v>
          </cell>
          <cell r="O68">
            <v>47</v>
          </cell>
          <cell r="P68" t="str">
            <v>LAURA RENNEE DEL PINO BUSTOS</v>
          </cell>
          <cell r="Q68" t="str">
            <v>CONTRATO DE PRESTACION DE SERVICIOS PROFESIONALES</v>
          </cell>
          <cell r="R68">
            <v>70</v>
          </cell>
          <cell r="S68" t="str">
            <v>VIGENTE</v>
          </cell>
          <cell r="T68">
            <v>4820000</v>
          </cell>
        </row>
        <row r="69">
          <cell r="N69">
            <v>237</v>
          </cell>
          <cell r="O69">
            <v>207</v>
          </cell>
          <cell r="P69" t="str">
            <v xml:space="preserve">JHOAN SEBASTIAN SANCHEZ </v>
          </cell>
          <cell r="Q69" t="str">
            <v>CONTRATO DE PRESTACION DE SERVICIOS DE APOYO A LA GESTION</v>
          </cell>
          <cell r="R69">
            <v>221</v>
          </cell>
          <cell r="S69" t="str">
            <v>VIGENTE</v>
          </cell>
          <cell r="T69">
            <v>2104000</v>
          </cell>
        </row>
        <row r="70">
          <cell r="N70">
            <v>69</v>
          </cell>
          <cell r="O70">
            <v>129</v>
          </cell>
          <cell r="P70" t="str">
            <v>MELVA SAHIDY PASTRANA MORALES</v>
          </cell>
          <cell r="Q70" t="str">
            <v>CONTRATO DE PRESTACION DE SERVICIOS PROFESIONALES</v>
          </cell>
          <cell r="R70">
            <v>108</v>
          </cell>
          <cell r="S70" t="str">
            <v>VIGENTE</v>
          </cell>
          <cell r="T70">
            <v>5280000</v>
          </cell>
        </row>
        <row r="71">
          <cell r="N71">
            <v>106</v>
          </cell>
          <cell r="O71">
            <v>95</v>
          </cell>
          <cell r="P71" t="str">
            <v>JUAN PABLO LOPEZ PENAGOS</v>
          </cell>
          <cell r="Q71" t="str">
            <v>CONTRATO DE PRESTACION DE SERVICIOS PROFESIONALES</v>
          </cell>
          <cell r="R71">
            <v>74</v>
          </cell>
          <cell r="S71" t="str">
            <v>VIGENTE</v>
          </cell>
          <cell r="T71">
            <v>4800000</v>
          </cell>
        </row>
        <row r="72">
          <cell r="N72">
            <v>65</v>
          </cell>
          <cell r="O72">
            <v>97</v>
          </cell>
          <cell r="P72" t="str">
            <v>ARMANDO  LOZANO REYES</v>
          </cell>
          <cell r="Q72" t="str">
            <v>CONTRATO DE PRESTACION DE SERVICIOS PROFESIONALES</v>
          </cell>
          <cell r="R72">
            <v>72</v>
          </cell>
          <cell r="S72" t="str">
            <v>VIGENTE</v>
          </cell>
          <cell r="T72">
            <v>8750000</v>
          </cell>
        </row>
        <row r="73">
          <cell r="N73">
            <v>97</v>
          </cell>
          <cell r="O73">
            <v>52</v>
          </cell>
          <cell r="P73" t="str">
            <v>JULIANA ANDREA SANCHEZ RODRIGUEZ</v>
          </cell>
          <cell r="Q73" t="str">
            <v>CONTRATO DE PRESTACION DE SERVICIOS PROFESIONALES</v>
          </cell>
          <cell r="R73">
            <v>67</v>
          </cell>
          <cell r="S73" t="str">
            <v>VIGENTE</v>
          </cell>
          <cell r="T73">
            <v>5150000</v>
          </cell>
        </row>
        <row r="74">
          <cell r="N74">
            <v>296</v>
          </cell>
          <cell r="O74">
            <v>309</v>
          </cell>
          <cell r="P74" t="str">
            <v>ANA MARIA CADENA TOBON</v>
          </cell>
          <cell r="Q74" t="str">
            <v>OFICIO</v>
          </cell>
          <cell r="R74">
            <v>16493</v>
          </cell>
          <cell r="S74" t="str">
            <v>VIGENTE</v>
          </cell>
          <cell r="T74">
            <v>985458</v>
          </cell>
        </row>
        <row r="75">
          <cell r="N75">
            <v>248</v>
          </cell>
          <cell r="O75">
            <v>211</v>
          </cell>
          <cell r="P75" t="str">
            <v>MILDRED TATIANA MORENO CASTRO</v>
          </cell>
          <cell r="Q75" t="str">
            <v>CONTRATO DE PRESTACION DE SERVICIOS PROFESIONALES</v>
          </cell>
          <cell r="R75">
            <v>219</v>
          </cell>
          <cell r="S75" t="str">
            <v>VIGENTE</v>
          </cell>
          <cell r="T75">
            <v>5075333</v>
          </cell>
        </row>
        <row r="76">
          <cell r="N76">
            <v>199</v>
          </cell>
          <cell r="O76">
            <v>197</v>
          </cell>
          <cell r="P76" t="str">
            <v>CARLOS GUILLERMO VALENCIA MALDONADO</v>
          </cell>
          <cell r="Q76" t="str">
            <v>CONTRATO DE PRESTACION DE SERVICIOS PROFESIONALES</v>
          </cell>
          <cell r="R76">
            <v>199</v>
          </cell>
          <cell r="S76" t="str">
            <v>VIGENTE</v>
          </cell>
          <cell r="T76">
            <v>3240000</v>
          </cell>
        </row>
        <row r="77">
          <cell r="N77">
            <v>203</v>
          </cell>
          <cell r="O77">
            <v>209</v>
          </cell>
          <cell r="P77" t="str">
            <v>PABLO ANDRES ANGEL PEREZ</v>
          </cell>
          <cell r="Q77" t="str">
            <v>CONTRATO DE PRESTACION DE SERVICIOS PROFESIONALES</v>
          </cell>
          <cell r="R77">
            <v>205</v>
          </cell>
          <cell r="S77" t="str">
            <v>VIGENTE</v>
          </cell>
          <cell r="T77">
            <v>7700000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RESERVAS"/>
      <sheetName val="PASIVOS"/>
      <sheetName val="PMR (2)"/>
      <sheetName val="TABLERO"/>
    </sheetNames>
    <sheetDataSet>
      <sheetData sheetId="0"/>
      <sheetData sheetId="1"/>
      <sheetData sheetId="2">
        <row r="81">
          <cell r="A81" t="str">
            <v>10. Procesos articulados dentro del sistema integrado de gestión.</v>
          </cell>
        </row>
      </sheetData>
      <sheetData sheetId="3">
        <row r="94">
          <cell r="A94" t="str">
            <v>15. Instrumentos técnicos de gestión para la preservación del patrimonio cultural</v>
          </cell>
        </row>
      </sheetData>
      <sheetData sheetId="4">
        <row r="16">
          <cell r="A16" t="str">
            <v xml:space="preserve">Bienes de Interés Cultural de tipo inmueble intervenidos </v>
          </cell>
        </row>
        <row r="144">
          <cell r="A144" t="str">
            <v>Monumentos en espacios públicos a intervenir</v>
          </cell>
        </row>
        <row r="263">
          <cell r="A263" t="str">
            <v>4. Obras de Intervención en Bienes muebles - inmuebles y sectores que conforman el patrimonio cultural del D.C.</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J91"/>
  <sheetViews>
    <sheetView showGridLines="0" tabSelected="1" zoomScale="80" zoomScaleNormal="80" zoomScaleSheetLayoutView="84" workbookViewId="0">
      <selection activeCell="B10" sqref="B10:G10"/>
    </sheetView>
  </sheetViews>
  <sheetFormatPr baseColWidth="10" defaultRowHeight="12.75"/>
  <cols>
    <col min="1" max="1" width="28.42578125" customWidth="1"/>
    <col min="2" max="2" width="15.42578125" style="132" customWidth="1"/>
    <col min="3" max="3" width="20" customWidth="1"/>
    <col min="4" max="4" width="23.7109375" customWidth="1"/>
    <col min="5" max="5" width="30.85546875" customWidth="1"/>
    <col min="6" max="6" width="32.7109375" customWidth="1"/>
    <col min="7" max="7" width="23.7109375" customWidth="1"/>
    <col min="8" max="8" width="10.85546875" style="1298" customWidth="1"/>
    <col min="9" max="9" width="11" style="152" customWidth="1"/>
    <col min="10" max="10" width="10.85546875" style="187" customWidth="1"/>
    <col min="11" max="11" width="9" style="153" customWidth="1"/>
    <col min="12" max="12" width="15" style="132" customWidth="1"/>
    <col min="13" max="13" width="15" style="578" customWidth="1"/>
    <col min="14" max="14" width="15" style="132" customWidth="1"/>
    <col min="15" max="15" width="13.5703125" style="73" customWidth="1"/>
    <col min="16" max="17" width="11.42578125" style="134" customWidth="1"/>
    <col min="18" max="22" width="12.7109375" style="134" customWidth="1"/>
    <col min="23" max="23" width="14.28515625" style="134" customWidth="1"/>
    <col min="24" max="24" width="13.42578125" style="134" customWidth="1"/>
    <col min="25" max="25" width="11.42578125" style="134" customWidth="1"/>
    <col min="26" max="26" width="13.42578125" style="134" customWidth="1"/>
    <col min="27" max="27" width="12.140625" style="134" customWidth="1"/>
    <col min="28" max="28" width="13.85546875" style="459" customWidth="1"/>
    <col min="29" max="29" width="13.85546875" style="134" bestFit="1" customWidth="1"/>
    <col min="30" max="30" width="8.28515625" style="134" customWidth="1"/>
    <col min="31" max="31" width="28" style="148" customWidth="1"/>
    <col min="32" max="32" width="13.28515625" style="148" customWidth="1"/>
    <col min="33" max="33" width="12.140625" style="609" customWidth="1"/>
    <col min="34" max="34" width="17.28515625" style="132" customWidth="1"/>
    <col min="35" max="35" width="14.28515625" bestFit="1" customWidth="1"/>
    <col min="36" max="36" width="11.42578125" style="1261" customWidth="1"/>
  </cols>
  <sheetData>
    <row r="1" spans="1:36" ht="42.75" customHeight="1">
      <c r="A1" s="1720"/>
      <c r="B1" s="619" t="s">
        <v>0</v>
      </c>
      <c r="C1" s="1728" t="s">
        <v>1</v>
      </c>
      <c r="D1" s="1729"/>
      <c r="E1" s="1729"/>
      <c r="F1" s="1729"/>
      <c r="G1" s="1729"/>
      <c r="H1" s="1729"/>
      <c r="I1" s="1729"/>
      <c r="J1" s="700"/>
      <c r="K1" s="1270"/>
      <c r="L1" s="933"/>
      <c r="M1" s="1444"/>
      <c r="N1" s="933"/>
      <c r="O1" s="700"/>
      <c r="P1" s="700"/>
      <c r="Q1" s="700"/>
      <c r="R1" s="700"/>
      <c r="S1" s="700"/>
      <c r="T1" s="700"/>
      <c r="U1" s="700"/>
      <c r="V1" s="700"/>
      <c r="W1" s="700"/>
      <c r="X1" s="701"/>
      <c r="Y1" s="1722" t="s">
        <v>2</v>
      </c>
      <c r="Z1" s="1722"/>
      <c r="AA1" s="1722"/>
      <c r="AB1" s="1723" t="s">
        <v>3</v>
      </c>
      <c r="AC1" s="1724"/>
      <c r="AD1" s="351"/>
      <c r="AE1" s="2"/>
    </row>
    <row r="2" spans="1:36" ht="42.75" customHeight="1">
      <c r="A2" s="1721"/>
      <c r="B2" s="137" t="s">
        <v>4</v>
      </c>
      <c r="C2" s="1730" t="s">
        <v>5</v>
      </c>
      <c r="D2" s="1731"/>
      <c r="E2" s="1731"/>
      <c r="F2" s="1731"/>
      <c r="G2" s="1731"/>
      <c r="H2" s="1280"/>
      <c r="I2" s="698"/>
      <c r="J2" s="698"/>
      <c r="K2" s="1271"/>
      <c r="L2" s="1277"/>
      <c r="M2" s="1445"/>
      <c r="N2" s="1277"/>
      <c r="O2" s="698"/>
      <c r="P2" s="698"/>
      <c r="Q2" s="698"/>
      <c r="R2" s="698"/>
      <c r="S2" s="698"/>
      <c r="T2" s="698"/>
      <c r="U2" s="698"/>
      <c r="V2" s="698"/>
      <c r="W2" s="698"/>
      <c r="X2" s="699"/>
      <c r="Y2" s="1725" t="s">
        <v>6</v>
      </c>
      <c r="Z2" s="1725"/>
      <c r="AA2" s="1725"/>
      <c r="AB2" s="1726">
        <v>1</v>
      </c>
      <c r="AC2" s="1727"/>
      <c r="AD2" s="351"/>
      <c r="AE2" s="3"/>
    </row>
    <row r="3" spans="1:36" s="328" customFormat="1" ht="12" customHeight="1">
      <c r="A3" s="990" t="s">
        <v>7</v>
      </c>
      <c r="B3" s="615"/>
      <c r="C3" s="615"/>
      <c r="D3" s="615"/>
      <c r="E3" s="615"/>
      <c r="F3" s="615"/>
      <c r="G3" s="615"/>
      <c r="H3" s="1281"/>
      <c r="I3" s="334"/>
      <c r="J3" s="554"/>
      <c r="K3" s="1272"/>
      <c r="L3" s="554"/>
      <c r="M3" s="1272"/>
      <c r="N3" s="554"/>
      <c r="O3" s="327"/>
      <c r="P3" s="327"/>
      <c r="Q3" s="327"/>
      <c r="R3" s="327"/>
      <c r="S3" s="327"/>
      <c r="T3" s="327"/>
      <c r="U3" s="327"/>
      <c r="V3" s="327"/>
      <c r="W3" s="327"/>
      <c r="X3" s="327"/>
      <c r="Y3" s="327"/>
      <c r="Z3" s="327"/>
      <c r="AA3" s="327"/>
      <c r="AB3" s="327"/>
      <c r="AC3" s="620"/>
      <c r="AD3" s="41"/>
      <c r="AG3" s="1436"/>
      <c r="AH3" s="369"/>
      <c r="AJ3" s="1636"/>
    </row>
    <row r="4" spans="1:36" s="328" customFormat="1">
      <c r="A4" s="1732" t="s">
        <v>450</v>
      </c>
      <c r="B4" s="1719"/>
      <c r="C4" s="1719"/>
      <c r="D4" s="1719"/>
      <c r="E4" s="1719"/>
      <c r="F4" s="1719"/>
      <c r="G4" s="1719"/>
      <c r="H4" s="1282"/>
      <c r="I4" s="329"/>
      <c r="J4" s="555"/>
      <c r="K4" s="1273"/>
      <c r="L4" s="555"/>
      <c r="M4" s="1273"/>
      <c r="N4" s="555"/>
      <c r="O4" s="335"/>
      <c r="P4" s="335"/>
      <c r="Q4" s="335"/>
      <c r="R4" s="335"/>
      <c r="S4" s="335"/>
      <c r="T4" s="335"/>
      <c r="U4" s="335"/>
      <c r="V4" s="335"/>
      <c r="W4" s="335"/>
      <c r="X4" s="335"/>
      <c r="Y4" s="335"/>
      <c r="Z4" s="335"/>
      <c r="AA4" s="335"/>
      <c r="AB4" s="501"/>
      <c r="AC4" s="621"/>
      <c r="AD4" s="335"/>
      <c r="AG4" s="1436"/>
      <c r="AH4" s="369"/>
      <c r="AJ4" s="1636"/>
    </row>
    <row r="5" spans="1:36" s="328" customFormat="1">
      <c r="A5" s="1732" t="s">
        <v>151</v>
      </c>
      <c r="B5" s="1719"/>
      <c r="C5" s="1719"/>
      <c r="D5" s="1719"/>
      <c r="E5" s="1719"/>
      <c r="F5" s="1719"/>
      <c r="G5" s="1719"/>
      <c r="H5" s="1282"/>
      <c r="I5" s="329"/>
      <c r="J5" s="555"/>
      <c r="K5" s="1273"/>
      <c r="L5" s="555"/>
      <c r="M5" s="1273"/>
      <c r="N5" s="555"/>
      <c r="O5" s="335"/>
      <c r="P5" s="335"/>
      <c r="Q5" s="335"/>
      <c r="R5" s="335"/>
      <c r="S5" s="335"/>
      <c r="T5" s="335"/>
      <c r="U5" s="335"/>
      <c r="V5" s="335"/>
      <c r="W5" s="335"/>
      <c r="X5" s="335"/>
      <c r="Y5" s="335"/>
      <c r="Z5" s="335"/>
      <c r="AA5" s="335"/>
      <c r="AB5" s="501"/>
      <c r="AC5" s="621"/>
      <c r="AD5" s="335"/>
      <c r="AG5" s="1436"/>
      <c r="AH5" s="369"/>
      <c r="AJ5" s="1636"/>
    </row>
    <row r="6" spans="1:36" s="328" customFormat="1">
      <c r="A6" s="1732" t="s">
        <v>150</v>
      </c>
      <c r="B6" s="1719"/>
      <c r="C6" s="1719"/>
      <c r="D6" s="1719"/>
      <c r="E6" s="1719"/>
      <c r="F6" s="1719"/>
      <c r="G6" s="1719"/>
      <c r="H6" s="1282"/>
      <c r="I6" s="329"/>
      <c r="J6" s="555"/>
      <c r="K6" s="1273"/>
      <c r="L6" s="555"/>
      <c r="M6" s="1273"/>
      <c r="N6" s="555"/>
      <c r="O6" s="335"/>
      <c r="P6" s="335"/>
      <c r="Q6" s="335"/>
      <c r="R6" s="335"/>
      <c r="S6" s="335"/>
      <c r="T6" s="335"/>
      <c r="U6" s="335"/>
      <c r="V6" s="335"/>
      <c r="W6" s="335"/>
      <c r="X6" s="335"/>
      <c r="Y6" s="335"/>
      <c r="Z6" s="335"/>
      <c r="AA6" s="335"/>
      <c r="AB6" s="501"/>
      <c r="AC6" s="621"/>
      <c r="AD6" s="335"/>
      <c r="AG6" s="1436"/>
      <c r="AH6" s="369"/>
      <c r="AJ6" s="1636"/>
    </row>
    <row r="7" spans="1:36" s="328" customFormat="1">
      <c r="A7" s="1732" t="s">
        <v>149</v>
      </c>
      <c r="B7" s="1719"/>
      <c r="C7" s="1719"/>
      <c r="D7" s="1719"/>
      <c r="E7" s="1719"/>
      <c r="F7" s="1719"/>
      <c r="G7" s="1719"/>
      <c r="H7" s="1282"/>
      <c r="I7" s="329"/>
      <c r="J7" s="555"/>
      <c r="K7" s="1273"/>
      <c r="L7" s="555"/>
      <c r="M7" s="1273"/>
      <c r="N7" s="555"/>
      <c r="O7" s="335"/>
      <c r="P7" s="335"/>
      <c r="Q7" s="335"/>
      <c r="R7" s="335"/>
      <c r="S7" s="335"/>
      <c r="T7" s="335"/>
      <c r="U7" s="335"/>
      <c r="V7" s="335"/>
      <c r="W7" s="335"/>
      <c r="X7" s="335"/>
      <c r="Y7" s="335"/>
      <c r="Z7" s="335"/>
      <c r="AA7" s="335"/>
      <c r="AB7" s="501"/>
      <c r="AC7" s="621"/>
      <c r="AD7" s="335"/>
      <c r="AG7" s="1436"/>
      <c r="AH7" s="369"/>
      <c r="AJ7" s="1636"/>
    </row>
    <row r="8" spans="1:36" s="328" customFormat="1">
      <c r="A8" s="1733" t="s">
        <v>8</v>
      </c>
      <c r="B8" s="1734"/>
      <c r="C8" s="1734"/>
      <c r="D8" s="1734"/>
      <c r="E8" s="1734"/>
      <c r="F8" s="1734"/>
      <c r="G8" s="1734"/>
      <c r="H8" s="1282"/>
      <c r="I8" s="329"/>
      <c r="J8" s="555"/>
      <c r="K8" s="1273"/>
      <c r="L8" s="555"/>
      <c r="M8" s="1273"/>
      <c r="N8" s="555"/>
      <c r="O8" s="335"/>
      <c r="P8" s="335"/>
      <c r="Q8" s="335"/>
      <c r="R8" s="335"/>
      <c r="S8" s="335"/>
      <c r="T8" s="335"/>
      <c r="U8" s="335"/>
      <c r="V8" s="335"/>
      <c r="W8" s="335"/>
      <c r="X8" s="335"/>
      <c r="Y8" s="335"/>
      <c r="Z8" s="335"/>
      <c r="AA8" s="335"/>
      <c r="AB8" s="501"/>
      <c r="AC8" s="621"/>
      <c r="AD8" s="335"/>
      <c r="AG8" s="1436"/>
      <c r="AH8" s="369"/>
      <c r="AJ8" s="1636"/>
    </row>
    <row r="9" spans="1:36" s="330" customFormat="1">
      <c r="A9" s="989" t="s">
        <v>9</v>
      </c>
      <c r="B9" s="1719" t="s">
        <v>10</v>
      </c>
      <c r="C9" s="1719"/>
      <c r="D9" s="1719"/>
      <c r="E9" s="341"/>
      <c r="F9" s="341"/>
      <c r="G9" s="341"/>
      <c r="H9" s="1282"/>
      <c r="I9" s="329"/>
      <c r="J9" s="555"/>
      <c r="K9" s="1273"/>
      <c r="L9" s="555"/>
      <c r="M9" s="1273"/>
      <c r="N9" s="555"/>
      <c r="O9" s="335"/>
      <c r="P9" s="335"/>
      <c r="Q9" s="335"/>
      <c r="R9" s="335"/>
      <c r="S9" s="335"/>
      <c r="T9" s="335"/>
      <c r="U9" s="335"/>
      <c r="V9" s="335"/>
      <c r="W9" s="335"/>
      <c r="X9" s="335"/>
      <c r="Y9" s="335"/>
      <c r="Z9" s="335"/>
      <c r="AA9" s="335"/>
      <c r="AB9" s="501"/>
      <c r="AC9" s="621"/>
      <c r="AD9" s="335"/>
      <c r="AG9" s="1437"/>
      <c r="AH9" s="331"/>
      <c r="AJ9" s="1637"/>
    </row>
    <row r="10" spans="1:36" s="330" customFormat="1">
      <c r="A10" s="989" t="s">
        <v>11</v>
      </c>
      <c r="B10" s="1719" t="s">
        <v>12</v>
      </c>
      <c r="C10" s="1719"/>
      <c r="D10" s="1719"/>
      <c r="E10" s="1719"/>
      <c r="F10" s="1719"/>
      <c r="G10" s="1719"/>
      <c r="H10" s="1282"/>
      <c r="I10" s="329"/>
      <c r="J10" s="555"/>
      <c r="K10" s="1273"/>
      <c r="L10" s="555"/>
      <c r="M10" s="1273"/>
      <c r="N10" s="555"/>
      <c r="O10" s="335"/>
      <c r="P10" s="335"/>
      <c r="Q10" s="335"/>
      <c r="R10" s="335"/>
      <c r="S10" s="335"/>
      <c r="T10" s="335"/>
      <c r="U10" s="335"/>
      <c r="V10" s="335"/>
      <c r="W10" s="335"/>
      <c r="X10" s="335"/>
      <c r="Y10" s="335"/>
      <c r="Z10" s="335"/>
      <c r="AA10" s="335"/>
      <c r="AB10" s="501"/>
      <c r="AC10" s="621"/>
      <c r="AD10" s="335"/>
      <c r="AG10" s="1437"/>
      <c r="AH10" s="331"/>
      <c r="AJ10" s="1637"/>
    </row>
    <row r="11" spans="1:36" s="330" customFormat="1">
      <c r="A11" s="622" t="s">
        <v>13</v>
      </c>
      <c r="B11" s="1719" t="s">
        <v>14</v>
      </c>
      <c r="C11" s="1719"/>
      <c r="D11" s="1719"/>
      <c r="E11" s="1719"/>
      <c r="F11" s="1719"/>
      <c r="G11" s="1719"/>
      <c r="H11" s="1282"/>
      <c r="I11" s="329"/>
      <c r="J11" s="555"/>
      <c r="K11" s="1273"/>
      <c r="L11" s="555"/>
      <c r="M11" s="1273"/>
      <c r="N11" s="555"/>
      <c r="O11" s="335"/>
      <c r="P11" s="335"/>
      <c r="Q11" s="335"/>
      <c r="R11" s="335"/>
      <c r="S11" s="335"/>
      <c r="T11" s="335"/>
      <c r="U11" s="335"/>
      <c r="V11" s="335"/>
      <c r="W11" s="335"/>
      <c r="X11" s="335"/>
      <c r="Y11" s="335"/>
      <c r="Z11" s="335"/>
      <c r="AA11" s="335"/>
      <c r="AB11" s="501"/>
      <c r="AC11" s="621"/>
      <c r="AD11" s="335"/>
      <c r="AG11" s="1437"/>
      <c r="AH11" s="331"/>
      <c r="AJ11" s="1637"/>
    </row>
    <row r="12" spans="1:36" s="330" customFormat="1">
      <c r="A12" s="623" t="s">
        <v>15</v>
      </c>
      <c r="B12" s="342">
        <v>43555</v>
      </c>
      <c r="C12" s="615"/>
      <c r="D12" s="343"/>
      <c r="E12" s="343"/>
      <c r="F12" s="343"/>
      <c r="G12" s="343"/>
      <c r="H12" s="1282"/>
      <c r="I12" s="329"/>
      <c r="J12" s="555"/>
      <c r="K12" s="1273"/>
      <c r="L12" s="555"/>
      <c r="M12" s="1273"/>
      <c r="N12" s="555"/>
      <c r="O12" s="335"/>
      <c r="P12" s="335"/>
      <c r="Q12" s="335"/>
      <c r="R12" s="335"/>
      <c r="S12" s="335"/>
      <c r="T12" s="335"/>
      <c r="U12" s="335"/>
      <c r="V12" s="335"/>
      <c r="W12" s="335"/>
      <c r="X12" s="335"/>
      <c r="Y12" s="335"/>
      <c r="Z12" s="335"/>
      <c r="AA12" s="335"/>
      <c r="AB12" s="501"/>
      <c r="AC12" s="621"/>
      <c r="AD12" s="335"/>
      <c r="AG12" s="1437"/>
      <c r="AH12" s="331"/>
      <c r="AJ12" s="1637"/>
    </row>
    <row r="13" spans="1:36" s="330" customFormat="1">
      <c r="A13" s="624" t="s">
        <v>16</v>
      </c>
      <c r="B13" s="365"/>
      <c r="C13" s="366"/>
      <c r="D13" s="367"/>
      <c r="E13" s="367"/>
      <c r="F13" s="367"/>
      <c r="G13" s="367"/>
      <c r="H13" s="1283"/>
      <c r="I13" s="332"/>
      <c r="J13" s="556"/>
      <c r="K13" s="1274"/>
      <c r="L13" s="556"/>
      <c r="M13" s="1274"/>
      <c r="N13" s="556"/>
      <c r="O13" s="336"/>
      <c r="P13" s="336"/>
      <c r="Q13" s="336"/>
      <c r="R13" s="336"/>
      <c r="S13" s="336"/>
      <c r="T13" s="336"/>
      <c r="U13" s="336"/>
      <c r="V13" s="336"/>
      <c r="W13" s="336"/>
      <c r="X13" s="336"/>
      <c r="Y13" s="336"/>
      <c r="Z13" s="336"/>
      <c r="AA13" s="336"/>
      <c r="AB13" s="502"/>
      <c r="AC13" s="625"/>
      <c r="AD13" s="335"/>
      <c r="AG13" s="1437"/>
      <c r="AH13" s="331"/>
      <c r="AJ13" s="1637"/>
    </row>
    <row r="14" spans="1:36" s="330" customFormat="1" ht="13.5" thickBot="1">
      <c r="A14" s="626" t="s">
        <v>17</v>
      </c>
      <c r="B14" s="344">
        <f>(B16+B36+B43)+C13-D13</f>
        <v>740000000</v>
      </c>
      <c r="C14" s="344"/>
      <c r="D14" s="615"/>
      <c r="E14" s="615"/>
      <c r="F14" s="615"/>
      <c r="G14" s="615"/>
      <c r="H14" s="1284"/>
      <c r="I14" s="215"/>
      <c r="J14" s="546"/>
      <c r="K14" s="1275"/>
      <c r="L14" s="1278"/>
      <c r="M14" s="1275"/>
      <c r="N14" s="1279"/>
      <c r="O14" s="333"/>
      <c r="P14" s="333"/>
      <c r="Q14" s="333"/>
      <c r="R14" s="333"/>
      <c r="S14" s="333"/>
      <c r="T14" s="333"/>
      <c r="U14" s="333"/>
      <c r="V14" s="333"/>
      <c r="W14" s="333"/>
      <c r="X14" s="333"/>
      <c r="Y14" s="333"/>
      <c r="Z14" s="333"/>
      <c r="AA14" s="333"/>
      <c r="AB14" s="503"/>
      <c r="AC14" s="627"/>
      <c r="AD14" s="368"/>
      <c r="AG14" s="1437"/>
      <c r="AH14" s="331"/>
      <c r="AJ14" s="1637"/>
    </row>
    <row r="15" spans="1:36" ht="25.5">
      <c r="A15" s="628" t="s">
        <v>18</v>
      </c>
      <c r="B15" s="138" t="s">
        <v>19</v>
      </c>
      <c r="C15" s="138" t="s">
        <v>20</v>
      </c>
      <c r="D15" s="4" t="s">
        <v>21</v>
      </c>
      <c r="E15" s="4" t="s">
        <v>22</v>
      </c>
      <c r="F15" s="4" t="s">
        <v>451</v>
      </c>
      <c r="G15" s="4" t="s">
        <v>23</v>
      </c>
      <c r="H15" s="232" t="s">
        <v>549</v>
      </c>
      <c r="I15" s="5" t="s">
        <v>95</v>
      </c>
      <c r="J15" s="312" t="s">
        <v>127</v>
      </c>
      <c r="K15" s="124" t="s">
        <v>96</v>
      </c>
      <c r="L15" s="6" t="s">
        <v>24</v>
      </c>
      <c r="M15" s="115" t="s">
        <v>97</v>
      </c>
      <c r="N15" s="6" t="s">
        <v>25</v>
      </c>
      <c r="O15" s="282" t="s">
        <v>98</v>
      </c>
      <c r="P15" s="953" t="s">
        <v>99</v>
      </c>
      <c r="Q15" s="954" t="s">
        <v>100</v>
      </c>
      <c r="R15" s="954" t="s">
        <v>101</v>
      </c>
      <c r="S15" s="954" t="s">
        <v>102</v>
      </c>
      <c r="T15" s="954" t="s">
        <v>103</v>
      </c>
      <c r="U15" s="954" t="s">
        <v>104</v>
      </c>
      <c r="V15" s="954" t="s">
        <v>105</v>
      </c>
      <c r="W15" s="954" t="s">
        <v>106</v>
      </c>
      <c r="X15" s="954" t="s">
        <v>107</v>
      </c>
      <c r="Y15" s="954" t="s">
        <v>108</v>
      </c>
      <c r="Z15" s="954" t="s">
        <v>109</v>
      </c>
      <c r="AA15" s="954" t="s">
        <v>110</v>
      </c>
      <c r="AB15" s="991" t="s">
        <v>111</v>
      </c>
      <c r="AC15" s="992" t="s">
        <v>112</v>
      </c>
      <c r="AD15" s="1193" t="s">
        <v>131</v>
      </c>
      <c r="AE15" s="1196" t="s">
        <v>114</v>
      </c>
      <c r="AF15" s="1196" t="s">
        <v>115</v>
      </c>
      <c r="AG15" s="1438" t="s">
        <v>119</v>
      </c>
      <c r="AH15" s="1196" t="s">
        <v>122</v>
      </c>
      <c r="AI15" s="1197" t="s">
        <v>132</v>
      </c>
    </row>
    <row r="16" spans="1:36" s="7" customFormat="1" ht="99.75" customHeight="1">
      <c r="A16" s="965" t="s">
        <v>30</v>
      </c>
      <c r="B16" s="139">
        <f>637000000-15400000</f>
        <v>621600000</v>
      </c>
      <c r="C16" s="971" t="s">
        <v>27</v>
      </c>
      <c r="D16" s="971" t="s">
        <v>28</v>
      </c>
      <c r="E16" s="971" t="s">
        <v>139</v>
      </c>
      <c r="F16" s="971" t="s">
        <v>831</v>
      </c>
      <c r="G16" s="971" t="s">
        <v>29</v>
      </c>
      <c r="H16" s="1285"/>
      <c r="I16" s="373"/>
      <c r="J16" s="557"/>
      <c r="K16" s="374"/>
      <c r="L16" s="375"/>
      <c r="M16" s="376"/>
      <c r="N16" s="375"/>
      <c r="O16" s="377"/>
      <c r="P16" s="378"/>
      <c r="Q16" s="379"/>
      <c r="R16" s="379"/>
      <c r="S16" s="379"/>
      <c r="T16" s="379"/>
      <c r="U16" s="379"/>
      <c r="V16" s="379"/>
      <c r="W16" s="379"/>
      <c r="X16" s="379"/>
      <c r="Y16" s="379"/>
      <c r="Z16" s="379"/>
      <c r="AA16" s="379"/>
      <c r="AB16" s="504"/>
      <c r="AC16" s="497"/>
      <c r="AD16" s="1248"/>
      <c r="AE16" s="380"/>
      <c r="AF16" s="380"/>
      <c r="AG16" s="1439"/>
      <c r="AH16" s="381"/>
      <c r="AI16" s="1249"/>
      <c r="AJ16" s="1262"/>
    </row>
    <row r="17" spans="1:36" s="696" customFormat="1">
      <c r="A17" s="690" t="s">
        <v>30</v>
      </c>
      <c r="B17" s="176">
        <f>J17</f>
        <v>0</v>
      </c>
      <c r="C17" s="83" t="s">
        <v>27</v>
      </c>
      <c r="D17" s="83" t="s">
        <v>28</v>
      </c>
      <c r="E17" s="83" t="s">
        <v>139</v>
      </c>
      <c r="F17" s="83" t="s">
        <v>831</v>
      </c>
      <c r="G17" s="83" t="s">
        <v>29</v>
      </c>
      <c r="H17" s="1286">
        <v>1</v>
      </c>
      <c r="I17" s="669"/>
      <c r="J17" s="176"/>
      <c r="K17" s="691">
        <v>254</v>
      </c>
      <c r="L17" s="692">
        <v>28119000</v>
      </c>
      <c r="M17" s="693">
        <v>261</v>
      </c>
      <c r="N17" s="694">
        <v>28119000</v>
      </c>
      <c r="O17" s="283">
        <v>226</v>
      </c>
      <c r="P17" s="267"/>
      <c r="Q17" s="175"/>
      <c r="R17" s="175">
        <f>VLOOKUP(M17,[2]Hoja2!N$2:T$15,7,0)</f>
        <v>1963867</v>
      </c>
      <c r="S17" s="175"/>
      <c r="T17" s="175"/>
      <c r="U17" s="175"/>
      <c r="V17" s="175"/>
      <c r="W17" s="175"/>
      <c r="X17" s="175"/>
      <c r="Y17" s="175"/>
      <c r="Z17" s="175"/>
      <c r="AA17" s="175"/>
      <c r="AB17" s="465">
        <f>SUM(P17:AA17)</f>
        <v>1963867</v>
      </c>
      <c r="AC17" s="447">
        <f>N17-AB17</f>
        <v>26155133</v>
      </c>
      <c r="AD17" s="1250">
        <v>1</v>
      </c>
      <c r="AE17" s="362" t="s">
        <v>317</v>
      </c>
      <c r="AF17" s="370" t="s">
        <v>674</v>
      </c>
      <c r="AG17" s="1365">
        <f>O17</f>
        <v>226</v>
      </c>
      <c r="AH17" s="695">
        <v>28119000</v>
      </c>
      <c r="AI17" s="1207">
        <f t="shared" ref="AI17:AI34" si="0">AH17-N17</f>
        <v>0</v>
      </c>
      <c r="AJ17" s="1262"/>
    </row>
    <row r="18" spans="1:36" s="9" customFormat="1">
      <c r="A18" s="88" t="s">
        <v>30</v>
      </c>
      <c r="B18" s="150">
        <f t="shared" ref="B18:B34" si="1">J18</f>
        <v>0</v>
      </c>
      <c r="C18" s="83" t="s">
        <v>27</v>
      </c>
      <c r="D18" s="83" t="s">
        <v>28</v>
      </c>
      <c r="E18" s="83" t="s">
        <v>139</v>
      </c>
      <c r="F18" s="83" t="s">
        <v>831</v>
      </c>
      <c r="G18" s="83" t="s">
        <v>29</v>
      </c>
      <c r="H18" s="1287">
        <v>2</v>
      </c>
      <c r="I18" s="114"/>
      <c r="J18" s="150"/>
      <c r="K18" s="691">
        <v>237</v>
      </c>
      <c r="L18" s="126">
        <v>53460000</v>
      </c>
      <c r="M18" s="693">
        <v>213</v>
      </c>
      <c r="N18" s="694">
        <v>53460000</v>
      </c>
      <c r="O18" s="283">
        <v>196</v>
      </c>
      <c r="P18" s="267"/>
      <c r="Q18" s="175"/>
      <c r="R18" s="175">
        <f>VLOOKUP(M18,[2]Hoja2!N$2:T$15,7,0)</f>
        <v>4860000</v>
      </c>
      <c r="S18" s="175"/>
      <c r="T18" s="175"/>
      <c r="U18" s="175"/>
      <c r="V18" s="175"/>
      <c r="W18" s="175"/>
      <c r="X18" s="175"/>
      <c r="Y18" s="175"/>
      <c r="Z18" s="175"/>
      <c r="AA18" s="175"/>
      <c r="AB18" s="465">
        <f>SUM(P18:AA18)</f>
        <v>4860000</v>
      </c>
      <c r="AC18" s="447">
        <f>N18-AB18</f>
        <v>48600000</v>
      </c>
      <c r="AD18" s="1250">
        <v>2</v>
      </c>
      <c r="AE18" s="362" t="s">
        <v>318</v>
      </c>
      <c r="AF18" s="370" t="s">
        <v>675</v>
      </c>
      <c r="AG18" s="1365">
        <f t="shared" ref="AG18:AG34" si="2">O18</f>
        <v>196</v>
      </c>
      <c r="AH18" s="356">
        <v>53460000</v>
      </c>
      <c r="AI18" s="1207">
        <f t="shared" si="0"/>
        <v>0</v>
      </c>
      <c r="AJ18" s="1262"/>
    </row>
    <row r="19" spans="1:36" s="9" customFormat="1">
      <c r="A19" s="88" t="s">
        <v>30</v>
      </c>
      <c r="B19" s="150">
        <f t="shared" si="1"/>
        <v>0</v>
      </c>
      <c r="C19" s="83" t="s">
        <v>27</v>
      </c>
      <c r="D19" s="83" t="s">
        <v>28</v>
      </c>
      <c r="E19" s="83" t="s">
        <v>139</v>
      </c>
      <c r="F19" s="83" t="s">
        <v>831</v>
      </c>
      <c r="G19" s="83" t="s">
        <v>29</v>
      </c>
      <c r="H19" s="1287" t="s">
        <v>156</v>
      </c>
      <c r="I19" s="114"/>
      <c r="J19" s="150"/>
      <c r="K19" s="691" t="s">
        <v>875</v>
      </c>
      <c r="L19" s="126">
        <f>451600+1647400</f>
        <v>2099000</v>
      </c>
      <c r="M19" s="693" t="s">
        <v>876</v>
      </c>
      <c r="N19" s="126">
        <f>451600+1647400</f>
        <v>2099000</v>
      </c>
      <c r="O19" s="1604" t="s">
        <v>673</v>
      </c>
      <c r="P19" s="267"/>
      <c r="Q19" s="175">
        <v>451600</v>
      </c>
      <c r="R19" s="175">
        <v>1647400</v>
      </c>
      <c r="S19" s="175"/>
      <c r="T19" s="175"/>
      <c r="U19" s="175"/>
      <c r="V19" s="175"/>
      <c r="W19" s="175"/>
      <c r="X19" s="175"/>
      <c r="Y19" s="175"/>
      <c r="Z19" s="175"/>
      <c r="AA19" s="175"/>
      <c r="AB19" s="465">
        <f>SUM(P19:AA19)</f>
        <v>2099000</v>
      </c>
      <c r="AC19" s="447">
        <f>N19-AB19</f>
        <v>0</v>
      </c>
      <c r="AD19" s="1250" t="s">
        <v>156</v>
      </c>
      <c r="AE19" s="362" t="s">
        <v>319</v>
      </c>
      <c r="AF19" s="370" t="s">
        <v>676</v>
      </c>
      <c r="AG19" s="1365" t="str">
        <f t="shared" si="2"/>
        <v>ARL POSITIVA</v>
      </c>
      <c r="AH19" s="356">
        <v>11000000</v>
      </c>
      <c r="AI19" s="1207">
        <f t="shared" si="0"/>
        <v>8901000</v>
      </c>
      <c r="AJ19" s="1262"/>
    </row>
    <row r="20" spans="1:36" s="9" customFormat="1">
      <c r="A20" s="88" t="s">
        <v>30</v>
      </c>
      <c r="B20" s="150">
        <f t="shared" si="1"/>
        <v>0</v>
      </c>
      <c r="C20" s="83" t="s">
        <v>27</v>
      </c>
      <c r="D20" s="83" t="s">
        <v>28</v>
      </c>
      <c r="E20" s="83" t="s">
        <v>139</v>
      </c>
      <c r="F20" s="83" t="s">
        <v>831</v>
      </c>
      <c r="G20" s="83" t="s">
        <v>29</v>
      </c>
      <c r="H20" s="1287">
        <v>3</v>
      </c>
      <c r="I20" s="114"/>
      <c r="J20" s="150"/>
      <c r="K20" s="691">
        <v>246</v>
      </c>
      <c r="L20" s="126">
        <v>28119000</v>
      </c>
      <c r="M20" s="693">
        <v>241</v>
      </c>
      <c r="N20" s="694">
        <v>28119000</v>
      </c>
      <c r="O20" s="283">
        <v>213</v>
      </c>
      <c r="P20" s="267"/>
      <c r="Q20" s="175"/>
      <c r="R20" s="175">
        <f>VLOOKUP(M20,[2]Hoja2!N$2:T$15,7,0)</f>
        <v>1785333</v>
      </c>
      <c r="S20" s="175"/>
      <c r="T20" s="175"/>
      <c r="U20" s="175"/>
      <c r="V20" s="175"/>
      <c r="W20" s="175"/>
      <c r="X20" s="175"/>
      <c r="Y20" s="175"/>
      <c r="Z20" s="175"/>
      <c r="AA20" s="175"/>
      <c r="AB20" s="465">
        <f>SUM(P20:AA20)</f>
        <v>1785333</v>
      </c>
      <c r="AC20" s="447">
        <f>N20-AB20</f>
        <v>26333667</v>
      </c>
      <c r="AD20" s="1250">
        <v>3</v>
      </c>
      <c r="AE20" s="362" t="s">
        <v>317</v>
      </c>
      <c r="AF20" s="370" t="s">
        <v>677</v>
      </c>
      <c r="AG20" s="1365">
        <f t="shared" si="2"/>
        <v>213</v>
      </c>
      <c r="AH20" s="356">
        <v>28119000</v>
      </c>
      <c r="AI20" s="1207">
        <f t="shared" si="0"/>
        <v>0</v>
      </c>
      <c r="AJ20" s="1262"/>
    </row>
    <row r="21" spans="1:36" s="9" customFormat="1">
      <c r="A21" s="88" t="s">
        <v>30</v>
      </c>
      <c r="B21" s="150">
        <f t="shared" si="1"/>
        <v>0</v>
      </c>
      <c r="C21" s="83" t="s">
        <v>27</v>
      </c>
      <c r="D21" s="83" t="s">
        <v>28</v>
      </c>
      <c r="E21" s="83" t="s">
        <v>139</v>
      </c>
      <c r="F21" s="83" t="s">
        <v>831</v>
      </c>
      <c r="G21" s="83" t="s">
        <v>29</v>
      </c>
      <c r="H21" s="1287">
        <v>5</v>
      </c>
      <c r="I21" s="114"/>
      <c r="J21" s="150"/>
      <c r="K21" s="691">
        <v>370</v>
      </c>
      <c r="L21" s="126">
        <v>59400000</v>
      </c>
      <c r="M21" s="693">
        <v>388</v>
      </c>
      <c r="N21" s="694">
        <v>59400000</v>
      </c>
      <c r="O21" s="283">
        <v>305</v>
      </c>
      <c r="P21" s="267"/>
      <c r="Q21" s="175"/>
      <c r="R21" s="175"/>
      <c r="S21" s="175"/>
      <c r="T21" s="175"/>
      <c r="U21" s="175"/>
      <c r="V21" s="175"/>
      <c r="W21" s="175"/>
      <c r="X21" s="175"/>
      <c r="Y21" s="175"/>
      <c r="Z21" s="175"/>
      <c r="AA21" s="175"/>
      <c r="AB21" s="465">
        <f>SUM(P21:AA21)</f>
        <v>0</v>
      </c>
      <c r="AC21" s="447">
        <f>N21-AB21</f>
        <v>59400000</v>
      </c>
      <c r="AD21" s="1250">
        <v>5</v>
      </c>
      <c r="AE21" s="362" t="s">
        <v>320</v>
      </c>
      <c r="AF21" s="370" t="s">
        <v>894</v>
      </c>
      <c r="AG21" s="1365">
        <f t="shared" si="2"/>
        <v>305</v>
      </c>
      <c r="AH21" s="356">
        <v>59400000</v>
      </c>
      <c r="AI21" s="1207">
        <f t="shared" si="0"/>
        <v>0</v>
      </c>
      <c r="AJ21" s="1262"/>
    </row>
    <row r="22" spans="1:36" s="9" customFormat="1">
      <c r="A22" s="88" t="s">
        <v>30</v>
      </c>
      <c r="B22" s="150">
        <f t="shared" si="1"/>
        <v>0</v>
      </c>
      <c r="C22" s="83" t="s">
        <v>27</v>
      </c>
      <c r="D22" s="83" t="s">
        <v>28</v>
      </c>
      <c r="E22" s="83" t="s">
        <v>139</v>
      </c>
      <c r="F22" s="83" t="s">
        <v>831</v>
      </c>
      <c r="G22" s="83" t="s">
        <v>29</v>
      </c>
      <c r="H22" s="1287">
        <v>6</v>
      </c>
      <c r="I22" s="114"/>
      <c r="J22" s="150"/>
      <c r="K22" s="691">
        <v>167</v>
      </c>
      <c r="L22" s="126">
        <v>48280000</v>
      </c>
      <c r="M22" s="117">
        <v>161</v>
      </c>
      <c r="N22" s="126">
        <v>48280000</v>
      </c>
      <c r="O22" s="283">
        <v>142</v>
      </c>
      <c r="P22" s="267"/>
      <c r="Q22" s="175"/>
      <c r="R22" s="175">
        <v>4504000</v>
      </c>
      <c r="S22" s="175"/>
      <c r="T22" s="175"/>
      <c r="U22" s="175"/>
      <c r="V22" s="175"/>
      <c r="W22" s="175"/>
      <c r="X22" s="175"/>
      <c r="Y22" s="175"/>
      <c r="Z22" s="175"/>
      <c r="AA22" s="175"/>
      <c r="AB22" s="465">
        <f t="shared" ref="AB22:AB34" si="3">SUM(P22:AA22)</f>
        <v>4504000</v>
      </c>
      <c r="AC22" s="447">
        <f t="shared" ref="AC22:AC34" si="4">N22-AB22</f>
        <v>43776000</v>
      </c>
      <c r="AD22" s="1250">
        <v>6</v>
      </c>
      <c r="AE22" s="362" t="s">
        <v>321</v>
      </c>
      <c r="AF22" s="370" t="s">
        <v>554</v>
      </c>
      <c r="AG22" s="1365">
        <f t="shared" si="2"/>
        <v>142</v>
      </c>
      <c r="AH22" s="356">
        <v>48280000</v>
      </c>
      <c r="AI22" s="1207">
        <f t="shared" si="0"/>
        <v>0</v>
      </c>
      <c r="AJ22" s="1262"/>
    </row>
    <row r="23" spans="1:36" s="9" customFormat="1">
      <c r="A23" s="88" t="s">
        <v>30</v>
      </c>
      <c r="B23" s="150">
        <f t="shared" si="1"/>
        <v>0</v>
      </c>
      <c r="C23" s="83" t="s">
        <v>27</v>
      </c>
      <c r="D23" s="83" t="s">
        <v>28</v>
      </c>
      <c r="E23" s="83" t="s">
        <v>139</v>
      </c>
      <c r="F23" s="83" t="s">
        <v>831</v>
      </c>
      <c r="G23" s="83" t="s">
        <v>29</v>
      </c>
      <c r="H23" s="1287">
        <v>8</v>
      </c>
      <c r="I23" s="114"/>
      <c r="J23" s="150"/>
      <c r="K23" s="691"/>
      <c r="L23" s="126"/>
      <c r="M23" s="693"/>
      <c r="N23" s="694"/>
      <c r="O23" s="283"/>
      <c r="P23" s="267"/>
      <c r="Q23" s="175"/>
      <c r="R23" s="175"/>
      <c r="S23" s="175"/>
      <c r="T23" s="175"/>
      <c r="U23" s="175"/>
      <c r="V23" s="175"/>
      <c r="W23" s="175"/>
      <c r="X23" s="175"/>
      <c r="Y23" s="175"/>
      <c r="Z23" s="175"/>
      <c r="AA23" s="175"/>
      <c r="AB23" s="465">
        <f t="shared" si="3"/>
        <v>0</v>
      </c>
      <c r="AC23" s="447">
        <f t="shared" si="4"/>
        <v>0</v>
      </c>
      <c r="AD23" s="1250">
        <v>8</v>
      </c>
      <c r="AE23" s="362" t="s">
        <v>322</v>
      </c>
      <c r="AF23" s="370" t="s">
        <v>188</v>
      </c>
      <c r="AG23" s="1365">
        <f t="shared" si="2"/>
        <v>0</v>
      </c>
      <c r="AH23" s="356">
        <v>29528000</v>
      </c>
      <c r="AI23" s="1207">
        <f t="shared" si="0"/>
        <v>29528000</v>
      </c>
      <c r="AJ23" s="1262"/>
    </row>
    <row r="24" spans="1:36" s="9" customFormat="1">
      <c r="A24" s="88" t="s">
        <v>30</v>
      </c>
      <c r="B24" s="150">
        <f t="shared" si="1"/>
        <v>0</v>
      </c>
      <c r="C24" s="83" t="s">
        <v>27</v>
      </c>
      <c r="D24" s="83" t="s">
        <v>28</v>
      </c>
      <c r="E24" s="83" t="s">
        <v>139</v>
      </c>
      <c r="F24" s="83" t="s">
        <v>831</v>
      </c>
      <c r="G24" s="83" t="s">
        <v>29</v>
      </c>
      <c r="H24" s="1287">
        <v>9</v>
      </c>
      <c r="I24" s="114"/>
      <c r="J24" s="150"/>
      <c r="K24" s="691">
        <v>255</v>
      </c>
      <c r="L24" s="126">
        <v>28119000</v>
      </c>
      <c r="M24" s="693">
        <v>262</v>
      </c>
      <c r="N24" s="694">
        <v>28119000</v>
      </c>
      <c r="O24" s="283">
        <v>225</v>
      </c>
      <c r="P24" s="267"/>
      <c r="Q24" s="175"/>
      <c r="R24" s="175">
        <f>VLOOKUP(M24,[2]Hoja2!N$2:T$15,7,0)</f>
        <v>1963867</v>
      </c>
      <c r="S24" s="175"/>
      <c r="T24" s="175"/>
      <c r="U24" s="175"/>
      <c r="V24" s="175"/>
      <c r="W24" s="175"/>
      <c r="X24" s="175"/>
      <c r="Y24" s="175"/>
      <c r="Z24" s="175"/>
      <c r="AA24" s="175"/>
      <c r="AB24" s="465">
        <f t="shared" si="3"/>
        <v>1963867</v>
      </c>
      <c r="AC24" s="447">
        <f t="shared" si="4"/>
        <v>26155133</v>
      </c>
      <c r="AD24" s="1250">
        <v>9</v>
      </c>
      <c r="AE24" s="362" t="s">
        <v>317</v>
      </c>
      <c r="AF24" s="370" t="s">
        <v>678</v>
      </c>
      <c r="AG24" s="1365">
        <f t="shared" si="2"/>
        <v>225</v>
      </c>
      <c r="AH24" s="356">
        <v>28119000</v>
      </c>
      <c r="AI24" s="1207">
        <f t="shared" si="0"/>
        <v>0</v>
      </c>
      <c r="AJ24" s="1262"/>
    </row>
    <row r="25" spans="1:36" s="9" customFormat="1">
      <c r="A25" s="88" t="s">
        <v>30</v>
      </c>
      <c r="B25" s="150">
        <f t="shared" si="1"/>
        <v>0</v>
      </c>
      <c r="C25" s="83" t="s">
        <v>27</v>
      </c>
      <c r="D25" s="83" t="s">
        <v>28</v>
      </c>
      <c r="E25" s="83" t="s">
        <v>139</v>
      </c>
      <c r="F25" s="83" t="s">
        <v>831</v>
      </c>
      <c r="G25" s="83" t="s">
        <v>29</v>
      </c>
      <c r="H25" s="1287">
        <v>10</v>
      </c>
      <c r="I25" s="114"/>
      <c r="J25" s="150"/>
      <c r="K25" s="691">
        <v>256</v>
      </c>
      <c r="L25" s="126">
        <v>28119000</v>
      </c>
      <c r="M25" s="693">
        <v>252</v>
      </c>
      <c r="N25" s="694">
        <v>28119000</v>
      </c>
      <c r="O25" s="283">
        <v>227</v>
      </c>
      <c r="P25" s="267"/>
      <c r="Q25" s="175"/>
      <c r="R25" s="175">
        <f>VLOOKUP(M25,[2]Hoja2!N$2:T$15,7,0)</f>
        <v>1963867</v>
      </c>
      <c r="S25" s="175"/>
      <c r="T25" s="175"/>
      <c r="U25" s="175"/>
      <c r="V25" s="175"/>
      <c r="W25" s="175"/>
      <c r="X25" s="175"/>
      <c r="Y25" s="175"/>
      <c r="Z25" s="175"/>
      <c r="AA25" s="175"/>
      <c r="AB25" s="465">
        <f t="shared" si="3"/>
        <v>1963867</v>
      </c>
      <c r="AC25" s="447">
        <f t="shared" si="4"/>
        <v>26155133</v>
      </c>
      <c r="AD25" s="1250">
        <v>10</v>
      </c>
      <c r="AE25" s="362" t="s">
        <v>317</v>
      </c>
      <c r="AF25" s="370" t="s">
        <v>679</v>
      </c>
      <c r="AG25" s="1365">
        <f t="shared" si="2"/>
        <v>227</v>
      </c>
      <c r="AH25" s="356">
        <v>28119000</v>
      </c>
      <c r="AI25" s="1207">
        <f t="shared" si="0"/>
        <v>0</v>
      </c>
      <c r="AJ25" s="1262"/>
    </row>
    <row r="26" spans="1:36" s="9" customFormat="1">
      <c r="A26" s="88" t="s">
        <v>30</v>
      </c>
      <c r="B26" s="150">
        <f t="shared" si="1"/>
        <v>0</v>
      </c>
      <c r="C26" s="83" t="s">
        <v>27</v>
      </c>
      <c r="D26" s="83" t="s">
        <v>28</v>
      </c>
      <c r="E26" s="83" t="s">
        <v>139</v>
      </c>
      <c r="F26" s="83" t="s">
        <v>831</v>
      </c>
      <c r="G26" s="83" t="s">
        <v>29</v>
      </c>
      <c r="H26" s="1287">
        <v>11</v>
      </c>
      <c r="I26" s="114"/>
      <c r="J26" s="150"/>
      <c r="K26" s="691">
        <v>257</v>
      </c>
      <c r="L26" s="126">
        <v>28119000</v>
      </c>
      <c r="M26" s="693">
        <v>276</v>
      </c>
      <c r="N26" s="694">
        <v>28119000</v>
      </c>
      <c r="O26" s="283">
        <v>241</v>
      </c>
      <c r="P26" s="267"/>
      <c r="Q26" s="175"/>
      <c r="R26" s="175">
        <f>VLOOKUP(M26,[2]Hoja2!N$2:T$15,7,0)</f>
        <v>1606800</v>
      </c>
      <c r="S26" s="175"/>
      <c r="T26" s="175"/>
      <c r="U26" s="175"/>
      <c r="V26" s="175"/>
      <c r="W26" s="175"/>
      <c r="X26" s="175"/>
      <c r="Y26" s="175"/>
      <c r="Z26" s="175"/>
      <c r="AA26" s="175"/>
      <c r="AB26" s="465">
        <f t="shared" si="3"/>
        <v>1606800</v>
      </c>
      <c r="AC26" s="447">
        <f t="shared" si="4"/>
        <v>26512200</v>
      </c>
      <c r="AD26" s="1250">
        <v>11</v>
      </c>
      <c r="AE26" s="362" t="s">
        <v>317</v>
      </c>
      <c r="AF26" s="370" t="s">
        <v>680</v>
      </c>
      <c r="AG26" s="1365">
        <f t="shared" si="2"/>
        <v>241</v>
      </c>
      <c r="AH26" s="356">
        <v>28119000</v>
      </c>
      <c r="AI26" s="1207">
        <f t="shared" si="0"/>
        <v>0</v>
      </c>
      <c r="AJ26" s="1262"/>
    </row>
    <row r="27" spans="1:36" s="9" customFormat="1">
      <c r="A27" s="88" t="s">
        <v>30</v>
      </c>
      <c r="B27" s="150">
        <f t="shared" si="1"/>
        <v>0</v>
      </c>
      <c r="C27" s="83" t="s">
        <v>27</v>
      </c>
      <c r="D27" s="83" t="s">
        <v>28</v>
      </c>
      <c r="E27" s="83" t="s">
        <v>139</v>
      </c>
      <c r="F27" s="83" t="s">
        <v>831</v>
      </c>
      <c r="G27" s="83" t="s">
        <v>29</v>
      </c>
      <c r="H27" s="1287">
        <v>12</v>
      </c>
      <c r="I27" s="114"/>
      <c r="J27" s="150"/>
      <c r="K27" s="691">
        <v>258</v>
      </c>
      <c r="L27" s="126">
        <v>28119000</v>
      </c>
      <c r="M27" s="693">
        <v>275</v>
      </c>
      <c r="N27" s="694">
        <v>28119000</v>
      </c>
      <c r="O27" s="283">
        <v>242</v>
      </c>
      <c r="P27" s="267"/>
      <c r="Q27" s="175"/>
      <c r="R27" s="175">
        <f>VLOOKUP(M27,[2]Hoja2!N$2:T$15,7,0)</f>
        <v>1696067</v>
      </c>
      <c r="S27" s="175"/>
      <c r="T27" s="175"/>
      <c r="U27" s="175"/>
      <c r="V27" s="175"/>
      <c r="W27" s="175"/>
      <c r="X27" s="175"/>
      <c r="Y27" s="175"/>
      <c r="Z27" s="175"/>
      <c r="AA27" s="175"/>
      <c r="AB27" s="465">
        <f t="shared" si="3"/>
        <v>1696067</v>
      </c>
      <c r="AC27" s="447">
        <f t="shared" si="4"/>
        <v>26422933</v>
      </c>
      <c r="AD27" s="1250">
        <v>12</v>
      </c>
      <c r="AE27" s="362" t="s">
        <v>317</v>
      </c>
      <c r="AF27" s="370" t="s">
        <v>681</v>
      </c>
      <c r="AG27" s="1365">
        <f t="shared" si="2"/>
        <v>242</v>
      </c>
      <c r="AH27" s="356">
        <v>28119000</v>
      </c>
      <c r="AI27" s="1207">
        <f t="shared" si="0"/>
        <v>0</v>
      </c>
      <c r="AJ27" s="1262"/>
    </row>
    <row r="28" spans="1:36" s="9" customFormat="1">
      <c r="A28" s="88" t="s">
        <v>30</v>
      </c>
      <c r="B28" s="150">
        <f t="shared" si="1"/>
        <v>0</v>
      </c>
      <c r="C28" s="83" t="s">
        <v>27</v>
      </c>
      <c r="D28" s="83" t="s">
        <v>28</v>
      </c>
      <c r="E28" s="83" t="s">
        <v>139</v>
      </c>
      <c r="F28" s="83" t="s">
        <v>831</v>
      </c>
      <c r="G28" s="83" t="s">
        <v>29</v>
      </c>
      <c r="H28" s="1287">
        <v>13</v>
      </c>
      <c r="I28" s="114"/>
      <c r="J28" s="150"/>
      <c r="K28" s="691">
        <v>378</v>
      </c>
      <c r="L28" s="126">
        <v>21975166</v>
      </c>
      <c r="M28" s="693"/>
      <c r="N28" s="694"/>
      <c r="O28" s="283"/>
      <c r="P28" s="267"/>
      <c r="Q28" s="175"/>
      <c r="R28" s="175"/>
      <c r="S28" s="175"/>
      <c r="T28" s="175"/>
      <c r="U28" s="175"/>
      <c r="V28" s="175"/>
      <c r="W28" s="175"/>
      <c r="X28" s="175"/>
      <c r="Y28" s="175"/>
      <c r="Z28" s="175"/>
      <c r="AA28" s="175"/>
      <c r="AB28" s="465">
        <f t="shared" si="3"/>
        <v>0</v>
      </c>
      <c r="AC28" s="447">
        <f t="shared" si="4"/>
        <v>0</v>
      </c>
      <c r="AD28" s="1250">
        <v>13</v>
      </c>
      <c r="AE28" s="362" t="s">
        <v>323</v>
      </c>
      <c r="AF28" s="370" t="s">
        <v>188</v>
      </c>
      <c r="AG28" s="1365">
        <f t="shared" si="2"/>
        <v>0</v>
      </c>
      <c r="AH28" s="356">
        <f>30000000-8000000</f>
        <v>22000000</v>
      </c>
      <c r="AI28" s="1207">
        <f t="shared" si="0"/>
        <v>22000000</v>
      </c>
      <c r="AJ28" s="1262"/>
    </row>
    <row r="29" spans="1:36" s="9" customFormat="1">
      <c r="A29" s="88" t="s">
        <v>30</v>
      </c>
      <c r="B29" s="150">
        <f t="shared" si="1"/>
        <v>0</v>
      </c>
      <c r="C29" s="83" t="s">
        <v>27</v>
      </c>
      <c r="D29" s="83" t="s">
        <v>28</v>
      </c>
      <c r="E29" s="83" t="s">
        <v>139</v>
      </c>
      <c r="F29" s="83" t="s">
        <v>831</v>
      </c>
      <c r="G29" s="83" t="s">
        <v>29</v>
      </c>
      <c r="H29" s="1287">
        <v>14</v>
      </c>
      <c r="I29" s="114"/>
      <c r="J29" s="150"/>
      <c r="K29" s="691">
        <v>219</v>
      </c>
      <c r="L29" s="126">
        <v>53460000</v>
      </c>
      <c r="M29" s="117">
        <v>177</v>
      </c>
      <c r="N29" s="160">
        <v>53460000</v>
      </c>
      <c r="O29" s="283">
        <v>171</v>
      </c>
      <c r="P29" s="267"/>
      <c r="Q29" s="175"/>
      <c r="R29" s="175">
        <f>VLOOKUP(M29,[2]Hoja2!N$2:T$15,7,0)</f>
        <v>5022000</v>
      </c>
      <c r="S29" s="175"/>
      <c r="T29" s="175"/>
      <c r="U29" s="175"/>
      <c r="V29" s="175"/>
      <c r="W29" s="175"/>
      <c r="X29" s="175"/>
      <c r="Y29" s="175"/>
      <c r="Z29" s="175"/>
      <c r="AA29" s="175"/>
      <c r="AB29" s="465">
        <f t="shared" si="3"/>
        <v>5022000</v>
      </c>
      <c r="AC29" s="447">
        <f t="shared" si="4"/>
        <v>48438000</v>
      </c>
      <c r="AD29" s="1250">
        <v>14</v>
      </c>
      <c r="AE29" s="362" t="s">
        <v>324</v>
      </c>
      <c r="AF29" s="370" t="s">
        <v>552</v>
      </c>
      <c r="AG29" s="1365">
        <f t="shared" si="2"/>
        <v>171</v>
      </c>
      <c r="AH29" s="356">
        <v>53460000</v>
      </c>
      <c r="AI29" s="1207">
        <f t="shared" si="0"/>
        <v>0</v>
      </c>
      <c r="AJ29" s="1262"/>
    </row>
    <row r="30" spans="1:36" s="9" customFormat="1">
      <c r="A30" s="88" t="s">
        <v>30</v>
      </c>
      <c r="B30" s="150">
        <f t="shared" si="1"/>
        <v>0</v>
      </c>
      <c r="C30" s="83" t="s">
        <v>27</v>
      </c>
      <c r="D30" s="83" t="s">
        <v>28</v>
      </c>
      <c r="E30" s="83" t="s">
        <v>139</v>
      </c>
      <c r="F30" s="83" t="s">
        <v>831</v>
      </c>
      <c r="G30" s="83" t="s">
        <v>29</v>
      </c>
      <c r="H30" s="1287">
        <v>15</v>
      </c>
      <c r="I30" s="114"/>
      <c r="J30" s="150"/>
      <c r="K30" s="691"/>
      <c r="L30" s="126"/>
      <c r="M30" s="693"/>
      <c r="N30" s="694"/>
      <c r="O30" s="283"/>
      <c r="P30" s="267"/>
      <c r="Q30" s="175"/>
      <c r="R30" s="175"/>
      <c r="S30" s="175"/>
      <c r="T30" s="175"/>
      <c r="U30" s="175"/>
      <c r="V30" s="175"/>
      <c r="W30" s="175"/>
      <c r="X30" s="175"/>
      <c r="Y30" s="175"/>
      <c r="Z30" s="175"/>
      <c r="AA30" s="175"/>
      <c r="AB30" s="465">
        <f t="shared" si="3"/>
        <v>0</v>
      </c>
      <c r="AC30" s="447">
        <f t="shared" si="4"/>
        <v>0</v>
      </c>
      <c r="AD30" s="1250">
        <v>15</v>
      </c>
      <c r="AE30" s="362" t="s">
        <v>304</v>
      </c>
      <c r="AF30" s="370" t="s">
        <v>188</v>
      </c>
      <c r="AG30" s="1365">
        <f t="shared" si="2"/>
        <v>0</v>
      </c>
      <c r="AH30" s="356">
        <f>20000000-7400000</f>
        <v>12600000</v>
      </c>
      <c r="AI30" s="1207">
        <f t="shared" si="0"/>
        <v>12600000</v>
      </c>
      <c r="AJ30" s="1262"/>
    </row>
    <row r="31" spans="1:36" s="9" customFormat="1">
      <c r="A31" s="88" t="s">
        <v>30</v>
      </c>
      <c r="B31" s="150">
        <f t="shared" si="1"/>
        <v>0</v>
      </c>
      <c r="C31" s="83" t="s">
        <v>27</v>
      </c>
      <c r="D31" s="83" t="s">
        <v>28</v>
      </c>
      <c r="E31" s="83" t="s">
        <v>139</v>
      </c>
      <c r="F31" s="83" t="s">
        <v>831</v>
      </c>
      <c r="G31" s="83" t="s">
        <v>29</v>
      </c>
      <c r="H31" s="1287">
        <v>16</v>
      </c>
      <c r="I31" s="114"/>
      <c r="J31" s="150"/>
      <c r="K31" s="691">
        <v>220</v>
      </c>
      <c r="L31" s="126">
        <v>53460000</v>
      </c>
      <c r="M31" s="117">
        <v>175</v>
      </c>
      <c r="N31" s="160">
        <v>53460000</v>
      </c>
      <c r="O31" s="283">
        <v>169</v>
      </c>
      <c r="P31" s="267"/>
      <c r="Q31" s="175"/>
      <c r="R31" s="175">
        <f>VLOOKUP(M31,[2]Hoja2!N$2:T$15,7,0)</f>
        <v>5022000</v>
      </c>
      <c r="S31" s="175"/>
      <c r="T31" s="175"/>
      <c r="U31" s="175"/>
      <c r="V31" s="175"/>
      <c r="W31" s="175"/>
      <c r="X31" s="175"/>
      <c r="Y31" s="175"/>
      <c r="Z31" s="175"/>
      <c r="AA31" s="175"/>
      <c r="AB31" s="465">
        <f t="shared" si="3"/>
        <v>5022000</v>
      </c>
      <c r="AC31" s="447">
        <f t="shared" si="4"/>
        <v>48438000</v>
      </c>
      <c r="AD31" s="1250">
        <v>16</v>
      </c>
      <c r="AE31" s="362" t="s">
        <v>325</v>
      </c>
      <c r="AF31" s="370" t="s">
        <v>551</v>
      </c>
      <c r="AG31" s="1365">
        <f t="shared" si="2"/>
        <v>169</v>
      </c>
      <c r="AH31" s="356">
        <v>53460000</v>
      </c>
      <c r="AI31" s="1207">
        <f t="shared" si="0"/>
        <v>0</v>
      </c>
      <c r="AJ31" s="1262"/>
    </row>
    <row r="32" spans="1:36" s="9" customFormat="1">
      <c r="A32" s="88" t="s">
        <v>30</v>
      </c>
      <c r="B32" s="150">
        <f t="shared" si="1"/>
        <v>0</v>
      </c>
      <c r="C32" s="83" t="s">
        <v>27</v>
      </c>
      <c r="D32" s="83" t="s">
        <v>28</v>
      </c>
      <c r="E32" s="83" t="s">
        <v>139</v>
      </c>
      <c r="F32" s="83" t="s">
        <v>831</v>
      </c>
      <c r="G32" s="83" t="s">
        <v>29</v>
      </c>
      <c r="H32" s="1287">
        <v>18</v>
      </c>
      <c r="I32" s="114"/>
      <c r="J32" s="150"/>
      <c r="K32" s="691">
        <v>168</v>
      </c>
      <c r="L32" s="126">
        <v>53460000</v>
      </c>
      <c r="M32" s="117">
        <v>166</v>
      </c>
      <c r="N32" s="160">
        <v>53460000</v>
      </c>
      <c r="O32" s="283">
        <v>147</v>
      </c>
      <c r="P32" s="267"/>
      <c r="Q32" s="175"/>
      <c r="R32" s="175">
        <f>VLOOKUP(M32,[2]Hoja2!N$2:T$15,7,0)</f>
        <v>5022000</v>
      </c>
      <c r="S32" s="175"/>
      <c r="T32" s="175"/>
      <c r="U32" s="175"/>
      <c r="V32" s="175"/>
      <c r="W32" s="175"/>
      <c r="X32" s="175"/>
      <c r="Y32" s="175"/>
      <c r="Z32" s="175"/>
      <c r="AA32" s="175"/>
      <c r="AB32" s="465">
        <f t="shared" si="3"/>
        <v>5022000</v>
      </c>
      <c r="AC32" s="447">
        <f t="shared" si="4"/>
        <v>48438000</v>
      </c>
      <c r="AD32" s="1250">
        <v>18</v>
      </c>
      <c r="AE32" s="362" t="s">
        <v>326</v>
      </c>
      <c r="AF32" s="370" t="s">
        <v>553</v>
      </c>
      <c r="AG32" s="1365">
        <f t="shared" si="2"/>
        <v>147</v>
      </c>
      <c r="AH32" s="356">
        <v>53460000</v>
      </c>
      <c r="AI32" s="1207">
        <f t="shared" si="0"/>
        <v>0</v>
      </c>
      <c r="AJ32" s="1262"/>
    </row>
    <row r="33" spans="1:36" s="9" customFormat="1">
      <c r="A33" s="88" t="s">
        <v>30</v>
      </c>
      <c r="B33" s="150">
        <f t="shared" si="1"/>
        <v>0</v>
      </c>
      <c r="C33" s="83" t="s">
        <v>27</v>
      </c>
      <c r="D33" s="83" t="s">
        <v>28</v>
      </c>
      <c r="E33" s="83" t="s">
        <v>139</v>
      </c>
      <c r="F33" s="83" t="s">
        <v>831</v>
      </c>
      <c r="G33" s="83" t="s">
        <v>29</v>
      </c>
      <c r="H33" s="1287">
        <v>19</v>
      </c>
      <c r="I33" s="114"/>
      <c r="J33" s="150"/>
      <c r="K33" s="691">
        <v>241</v>
      </c>
      <c r="L33" s="126">
        <v>28119000</v>
      </c>
      <c r="M33" s="693">
        <v>258</v>
      </c>
      <c r="N33" s="694">
        <v>28119000</v>
      </c>
      <c r="O33" s="283">
        <v>232</v>
      </c>
      <c r="P33" s="267"/>
      <c r="Q33" s="175"/>
      <c r="R33" s="175">
        <f>VLOOKUP(M33,[2]Hoja2!N$2:T$15,7,0)</f>
        <v>1696067</v>
      </c>
      <c r="S33" s="175"/>
      <c r="T33" s="175"/>
      <c r="U33" s="175"/>
      <c r="V33" s="175"/>
      <c r="W33" s="175"/>
      <c r="X33" s="175"/>
      <c r="Y33" s="175"/>
      <c r="Z33" s="175"/>
      <c r="AA33" s="175"/>
      <c r="AB33" s="465">
        <f t="shared" si="3"/>
        <v>1696067</v>
      </c>
      <c r="AC33" s="447">
        <f t="shared" si="4"/>
        <v>26422933</v>
      </c>
      <c r="AD33" s="1250">
        <v>19</v>
      </c>
      <c r="AE33" s="362" t="s">
        <v>317</v>
      </c>
      <c r="AF33" s="370" t="s">
        <v>682</v>
      </c>
      <c r="AG33" s="1365">
        <f t="shared" si="2"/>
        <v>232</v>
      </c>
      <c r="AH33" s="356">
        <v>28119000</v>
      </c>
      <c r="AI33" s="1207">
        <f t="shared" si="0"/>
        <v>0</v>
      </c>
      <c r="AJ33" s="1262"/>
    </row>
    <row r="34" spans="1:36" s="9" customFormat="1">
      <c r="A34" s="88" t="s">
        <v>30</v>
      </c>
      <c r="B34" s="150">
        <f t="shared" si="1"/>
        <v>0</v>
      </c>
      <c r="C34" s="83" t="s">
        <v>27</v>
      </c>
      <c r="D34" s="83" t="s">
        <v>28</v>
      </c>
      <c r="E34" s="83" t="s">
        <v>139</v>
      </c>
      <c r="F34" s="83" t="s">
        <v>831</v>
      </c>
      <c r="G34" s="83" t="s">
        <v>29</v>
      </c>
      <c r="H34" s="1287">
        <v>20</v>
      </c>
      <c r="I34" s="114"/>
      <c r="J34" s="150"/>
      <c r="K34" s="691">
        <v>242</v>
      </c>
      <c r="L34" s="126">
        <v>28119000</v>
      </c>
      <c r="M34" s="693">
        <v>240</v>
      </c>
      <c r="N34" s="694">
        <v>28119000</v>
      </c>
      <c r="O34" s="283">
        <v>215</v>
      </c>
      <c r="P34" s="267"/>
      <c r="Q34" s="175"/>
      <c r="R34" s="175">
        <f>VLOOKUP(M34,[2]Hoja2!N$2:T$15,7,0)</f>
        <v>2053133</v>
      </c>
      <c r="S34" s="175"/>
      <c r="T34" s="175"/>
      <c r="U34" s="175"/>
      <c r="V34" s="175"/>
      <c r="W34" s="175"/>
      <c r="X34" s="175"/>
      <c r="Y34" s="175"/>
      <c r="Z34" s="175"/>
      <c r="AA34" s="175"/>
      <c r="AB34" s="465">
        <f t="shared" si="3"/>
        <v>2053133</v>
      </c>
      <c r="AC34" s="447">
        <f t="shared" si="4"/>
        <v>26065867</v>
      </c>
      <c r="AD34" s="1250">
        <v>20</v>
      </c>
      <c r="AE34" s="362" t="s">
        <v>317</v>
      </c>
      <c r="AF34" s="370" t="s">
        <v>683</v>
      </c>
      <c r="AG34" s="1365">
        <f t="shared" si="2"/>
        <v>215</v>
      </c>
      <c r="AH34" s="356">
        <v>28119000</v>
      </c>
      <c r="AI34" s="1207">
        <f t="shared" si="0"/>
        <v>0</v>
      </c>
      <c r="AJ34" s="1262"/>
    </row>
    <row r="35" spans="1:36" s="136" customFormat="1">
      <c r="A35" s="629" t="s">
        <v>31</v>
      </c>
      <c r="B35" s="140">
        <f>B16-SUM(B17:B34)</f>
        <v>621600000</v>
      </c>
      <c r="C35" s="10"/>
      <c r="D35" s="12"/>
      <c r="E35" s="12"/>
      <c r="F35" s="12"/>
      <c r="G35" s="12"/>
      <c r="H35" s="1288"/>
      <c r="I35" s="14"/>
      <c r="J35" s="140"/>
      <c r="K35" s="154"/>
      <c r="L35" s="133">
        <f>SUM(L17:L34)</f>
        <v>570546166</v>
      </c>
      <c r="M35" s="135"/>
      <c r="N35" s="133">
        <f>SUM(N17:N34)</f>
        <v>548571000</v>
      </c>
      <c r="O35" s="284"/>
      <c r="P35" s="276">
        <f>SUM(P17:P34)</f>
        <v>0</v>
      </c>
      <c r="Q35" s="133">
        <f t="shared" ref="Q35:AA35" si="5">SUM(Q17:Q34)</f>
        <v>451600</v>
      </c>
      <c r="R35" s="133">
        <f t="shared" si="5"/>
        <v>40806401</v>
      </c>
      <c r="S35" s="133">
        <f t="shared" si="5"/>
        <v>0</v>
      </c>
      <c r="T35" s="133">
        <f t="shared" si="5"/>
        <v>0</v>
      </c>
      <c r="U35" s="133">
        <f t="shared" si="5"/>
        <v>0</v>
      </c>
      <c r="V35" s="133">
        <f t="shared" si="5"/>
        <v>0</v>
      </c>
      <c r="W35" s="133">
        <f t="shared" si="5"/>
        <v>0</v>
      </c>
      <c r="X35" s="133">
        <f t="shared" si="5"/>
        <v>0</v>
      </c>
      <c r="Y35" s="133">
        <f t="shared" si="5"/>
        <v>0</v>
      </c>
      <c r="Z35" s="133">
        <f t="shared" si="5"/>
        <v>0</v>
      </c>
      <c r="AA35" s="133">
        <f t="shared" si="5"/>
        <v>0</v>
      </c>
      <c r="AB35" s="395">
        <f>SUM(AB17:AB34)</f>
        <v>41258001</v>
      </c>
      <c r="AC35" s="498">
        <f>SUM(AC17:AC34)</f>
        <v>507312999</v>
      </c>
      <c r="AD35" s="1251"/>
      <c r="AE35" s="371"/>
      <c r="AF35" s="371"/>
      <c r="AG35" s="1440"/>
      <c r="AH35" s="133">
        <f>SUM(AH17:AH34)</f>
        <v>621600000</v>
      </c>
      <c r="AI35" s="395">
        <f>SUM(AI17:AI34)</f>
        <v>73029000</v>
      </c>
      <c r="AJ35" s="1137">
        <f>B16-AH35</f>
        <v>0</v>
      </c>
    </row>
    <row r="36" spans="1:36" s="7" customFormat="1" ht="85.5">
      <c r="A36" s="630" t="s">
        <v>113</v>
      </c>
      <c r="B36" s="141">
        <f>78000000+15400000+5000000</f>
        <v>98400000</v>
      </c>
      <c r="C36" s="987" t="s">
        <v>27</v>
      </c>
      <c r="D36" s="987" t="s">
        <v>28</v>
      </c>
      <c r="E36" s="987" t="s">
        <v>32</v>
      </c>
      <c r="F36" s="987" t="s">
        <v>832</v>
      </c>
      <c r="G36" s="987" t="s">
        <v>29</v>
      </c>
      <c r="H36" s="1289"/>
      <c r="I36" s="697"/>
      <c r="J36" s="13"/>
      <c r="K36" s="1276"/>
      <c r="L36" s="13"/>
      <c r="M36" s="1446"/>
      <c r="N36" s="13"/>
      <c r="O36" s="993"/>
      <c r="P36" s="393"/>
      <c r="Q36" s="13"/>
      <c r="R36" s="13"/>
      <c r="S36" s="13"/>
      <c r="T36" s="13"/>
      <c r="U36" s="13"/>
      <c r="V36" s="13"/>
      <c r="W36" s="13"/>
      <c r="X36" s="13"/>
      <c r="Y36" s="13"/>
      <c r="Z36" s="13"/>
      <c r="AA36" s="13"/>
      <c r="AB36" s="505"/>
      <c r="AC36" s="499"/>
      <c r="AD36" s="1252"/>
      <c r="AE36" s="13"/>
      <c r="AF36" s="13"/>
      <c r="AG36" s="1276"/>
      <c r="AH36" s="13"/>
      <c r="AI36" s="1249"/>
      <c r="AJ36" s="1262"/>
    </row>
    <row r="37" spans="1:36" s="7" customFormat="1">
      <c r="A37" s="631" t="s">
        <v>33</v>
      </c>
      <c r="B37" s="142">
        <f>J37</f>
        <v>0</v>
      </c>
      <c r="C37" s="85" t="s">
        <v>27</v>
      </c>
      <c r="D37" s="85" t="s">
        <v>28</v>
      </c>
      <c r="E37" s="85" t="s">
        <v>32</v>
      </c>
      <c r="F37" s="85" t="s">
        <v>832</v>
      </c>
      <c r="G37" s="85" t="s">
        <v>29</v>
      </c>
      <c r="H37" s="1287">
        <v>6</v>
      </c>
      <c r="I37" s="114"/>
      <c r="J37" s="150"/>
      <c r="K37" s="691">
        <v>167</v>
      </c>
      <c r="L37" s="126">
        <v>5180000</v>
      </c>
      <c r="M37" s="123">
        <v>161</v>
      </c>
      <c r="N37" s="126">
        <v>5180000</v>
      </c>
      <c r="O37" s="265">
        <v>142</v>
      </c>
      <c r="P37" s="268"/>
      <c r="Q37" s="176"/>
      <c r="R37" s="175">
        <v>518000</v>
      </c>
      <c r="S37" s="176"/>
      <c r="T37" s="176"/>
      <c r="U37" s="176"/>
      <c r="V37" s="176"/>
      <c r="W37" s="176"/>
      <c r="X37" s="176"/>
      <c r="Y37" s="176"/>
      <c r="Z37" s="176"/>
      <c r="AA37" s="176"/>
      <c r="AB37" s="465">
        <f>SUM(P37:AA37)</f>
        <v>518000</v>
      </c>
      <c r="AC37" s="447">
        <f>N37-AB37</f>
        <v>4662000</v>
      </c>
      <c r="AD37" s="1250">
        <v>6</v>
      </c>
      <c r="AE37" s="370" t="s">
        <v>321</v>
      </c>
      <c r="AF37" s="370" t="s">
        <v>554</v>
      </c>
      <c r="AG37" s="1365">
        <f>O37</f>
        <v>142</v>
      </c>
      <c r="AH37" s="355">
        <v>5180000</v>
      </c>
      <c r="AI37" s="1207">
        <f>AH37-N37</f>
        <v>0</v>
      </c>
      <c r="AJ37" s="1262"/>
    </row>
    <row r="38" spans="1:36" s="7" customFormat="1">
      <c r="A38" s="631" t="s">
        <v>33</v>
      </c>
      <c r="B38" s="142">
        <f>J38</f>
        <v>0</v>
      </c>
      <c r="C38" s="85" t="s">
        <v>27</v>
      </c>
      <c r="D38" s="85" t="s">
        <v>28</v>
      </c>
      <c r="E38" s="85" t="s">
        <v>32</v>
      </c>
      <c r="F38" s="85" t="s">
        <v>832</v>
      </c>
      <c r="G38" s="85" t="s">
        <v>29</v>
      </c>
      <c r="H38" s="1287">
        <v>7</v>
      </c>
      <c r="I38" s="114"/>
      <c r="J38" s="150"/>
      <c r="K38" s="691">
        <v>174</v>
      </c>
      <c r="L38" s="126">
        <v>72820000</v>
      </c>
      <c r="M38" s="118">
        <v>172</v>
      </c>
      <c r="N38" s="126">
        <v>72820000</v>
      </c>
      <c r="O38" s="265">
        <v>159</v>
      </c>
      <c r="P38" s="268"/>
      <c r="Q38" s="176"/>
      <c r="R38" s="175">
        <f>VLOOKUP(M38,[2]Hoja2!N$2:T$15,7,0)</f>
        <v>6840667</v>
      </c>
      <c r="S38" s="176"/>
      <c r="T38" s="176"/>
      <c r="U38" s="176"/>
      <c r="V38" s="176"/>
      <c r="W38" s="176"/>
      <c r="X38" s="175"/>
      <c r="Y38" s="176"/>
      <c r="Z38" s="176"/>
      <c r="AA38" s="176"/>
      <c r="AB38" s="465">
        <f>SUM(P38:AA38)</f>
        <v>6840667</v>
      </c>
      <c r="AC38" s="447">
        <f>N38-AB38</f>
        <v>65979333</v>
      </c>
      <c r="AD38" s="1250">
        <v>7</v>
      </c>
      <c r="AE38" s="370" t="s">
        <v>327</v>
      </c>
      <c r="AF38" s="370" t="s">
        <v>555</v>
      </c>
      <c r="AG38" s="1365">
        <f>O38</f>
        <v>159</v>
      </c>
      <c r="AH38" s="355">
        <v>72820000</v>
      </c>
      <c r="AI38" s="1207">
        <f>AH38-N38</f>
        <v>0</v>
      </c>
      <c r="AJ38" s="1262"/>
    </row>
    <row r="39" spans="1:36" s="7" customFormat="1">
      <c r="A39" s="631" t="s">
        <v>33</v>
      </c>
      <c r="B39" s="142">
        <f>J39</f>
        <v>0</v>
      </c>
      <c r="C39" s="85" t="s">
        <v>27</v>
      </c>
      <c r="D39" s="85" t="s">
        <v>28</v>
      </c>
      <c r="E39" s="85" t="s">
        <v>32</v>
      </c>
      <c r="F39" s="85" t="s">
        <v>832</v>
      </c>
      <c r="G39" s="85" t="s">
        <v>29</v>
      </c>
      <c r="H39" s="1287">
        <v>0</v>
      </c>
      <c r="I39" s="114"/>
      <c r="J39" s="150"/>
      <c r="K39" s="691">
        <v>344</v>
      </c>
      <c r="L39" s="1701">
        <v>20400000</v>
      </c>
      <c r="M39" s="118">
        <v>399</v>
      </c>
      <c r="N39" s="162">
        <v>20400000</v>
      </c>
      <c r="O39" s="1653">
        <v>159</v>
      </c>
      <c r="P39" s="268"/>
      <c r="Q39" s="176"/>
      <c r="R39" s="176"/>
      <c r="S39" s="176"/>
      <c r="T39" s="176"/>
      <c r="U39" s="176"/>
      <c r="V39" s="176"/>
      <c r="W39" s="176"/>
      <c r="X39" s="176"/>
      <c r="Y39" s="176"/>
      <c r="Z39" s="176"/>
      <c r="AA39" s="176"/>
      <c r="AB39" s="465">
        <f>SUM(P39:AA39)</f>
        <v>0</v>
      </c>
      <c r="AC39" s="447">
        <f>N39-AB39</f>
        <v>20400000</v>
      </c>
      <c r="AD39" s="1250" t="s">
        <v>363</v>
      </c>
      <c r="AE39" s="370" t="s">
        <v>820</v>
      </c>
      <c r="AF39" s="370" t="s">
        <v>555</v>
      </c>
      <c r="AG39" s="1365">
        <f>O39</f>
        <v>159</v>
      </c>
      <c r="AH39" s="355">
        <v>20400000</v>
      </c>
      <c r="AI39" s="1207">
        <f>AH39-N39</f>
        <v>0</v>
      </c>
      <c r="AJ39" s="1262"/>
    </row>
    <row r="40" spans="1:36" s="7" customFormat="1">
      <c r="A40" s="631" t="s">
        <v>33</v>
      </c>
      <c r="B40" s="142">
        <f>J40</f>
        <v>0</v>
      </c>
      <c r="C40" s="85" t="s">
        <v>27</v>
      </c>
      <c r="D40" s="85" t="s">
        <v>28</v>
      </c>
      <c r="E40" s="85" t="s">
        <v>32</v>
      </c>
      <c r="F40" s="85" t="s">
        <v>832</v>
      </c>
      <c r="G40" s="85" t="s">
        <v>29</v>
      </c>
      <c r="H40" s="1287">
        <v>0</v>
      </c>
      <c r="I40" s="114"/>
      <c r="J40" s="150"/>
      <c r="K40" s="691"/>
      <c r="L40" s="127"/>
      <c r="M40" s="118"/>
      <c r="N40" s="162"/>
      <c r="O40" s="285"/>
      <c r="P40" s="268"/>
      <c r="Q40" s="176"/>
      <c r="R40" s="176"/>
      <c r="S40" s="176"/>
      <c r="T40" s="176"/>
      <c r="U40" s="176"/>
      <c r="V40" s="176"/>
      <c r="W40" s="176"/>
      <c r="X40" s="176"/>
      <c r="Y40" s="176"/>
      <c r="Z40" s="176"/>
      <c r="AA40" s="176"/>
      <c r="AB40" s="465">
        <f>SUM(P40:AA40)</f>
        <v>0</v>
      </c>
      <c r="AC40" s="447"/>
      <c r="AD40" s="1250"/>
      <c r="AE40" s="370"/>
      <c r="AF40" s="370" t="s">
        <v>188</v>
      </c>
      <c r="AG40" s="1365">
        <f>O40</f>
        <v>0</v>
      </c>
      <c r="AH40" s="355"/>
      <c r="AI40" s="1207">
        <f>AH40-N40</f>
        <v>0</v>
      </c>
      <c r="AJ40" s="1262"/>
    </row>
    <row r="41" spans="1:36" s="9" customFormat="1">
      <c r="A41" s="631" t="s">
        <v>33</v>
      </c>
      <c r="B41" s="142">
        <f>J41</f>
        <v>0</v>
      </c>
      <c r="C41" s="85" t="s">
        <v>27</v>
      </c>
      <c r="D41" s="85" t="s">
        <v>28</v>
      </c>
      <c r="E41" s="85" t="s">
        <v>32</v>
      </c>
      <c r="F41" s="85" t="s">
        <v>832</v>
      </c>
      <c r="G41" s="85" t="s">
        <v>29</v>
      </c>
      <c r="H41" s="1287">
        <v>0</v>
      </c>
      <c r="I41" s="114"/>
      <c r="J41" s="150"/>
      <c r="K41" s="691"/>
      <c r="L41" s="157"/>
      <c r="M41" s="158"/>
      <c r="N41" s="163"/>
      <c r="O41" s="286"/>
      <c r="P41" s="267"/>
      <c r="Q41" s="176"/>
      <c r="R41" s="176"/>
      <c r="S41" s="176"/>
      <c r="T41" s="176"/>
      <c r="U41" s="176"/>
      <c r="V41" s="176"/>
      <c r="W41" s="176"/>
      <c r="X41" s="176"/>
      <c r="Y41" s="176"/>
      <c r="Z41" s="176"/>
      <c r="AA41" s="176"/>
      <c r="AB41" s="465">
        <f>SUM(P41:AA41)</f>
        <v>0</v>
      </c>
      <c r="AC41" s="447">
        <f>N41-AB41</f>
        <v>0</v>
      </c>
      <c r="AD41" s="1250"/>
      <c r="AE41" s="370"/>
      <c r="AF41" s="370" t="s">
        <v>188</v>
      </c>
      <c r="AG41" s="1365">
        <f>O41</f>
        <v>0</v>
      </c>
      <c r="AH41" s="355"/>
      <c r="AI41" s="1207">
        <f>AH41-N41</f>
        <v>0</v>
      </c>
      <c r="AJ41" s="1262"/>
    </row>
    <row r="42" spans="1:36" s="136" customFormat="1">
      <c r="A42" s="632" t="s">
        <v>31</v>
      </c>
      <c r="B42" s="140">
        <f>B36-SUM(B37:B41)</f>
        <v>98400000</v>
      </c>
      <c r="C42" s="10"/>
      <c r="D42" s="12"/>
      <c r="E42" s="12"/>
      <c r="F42" s="12"/>
      <c r="G42" s="12"/>
      <c r="H42" s="1288"/>
      <c r="I42" s="14"/>
      <c r="J42" s="140"/>
      <c r="K42" s="154"/>
      <c r="L42" s="133">
        <f>SUM(L37:L41)</f>
        <v>98400000</v>
      </c>
      <c r="M42" s="135"/>
      <c r="N42" s="161">
        <f>SUM(N37:N41)</f>
        <v>98400000</v>
      </c>
      <c r="O42" s="284"/>
      <c r="P42" s="277">
        <f t="shared" ref="P42:AA42" si="6">SUM(P37:P41)</f>
        <v>0</v>
      </c>
      <c r="Q42" s="133">
        <f t="shared" si="6"/>
        <v>0</v>
      </c>
      <c r="R42" s="133">
        <f t="shared" si="6"/>
        <v>7358667</v>
      </c>
      <c r="S42" s="133">
        <f t="shared" si="6"/>
        <v>0</v>
      </c>
      <c r="T42" s="133">
        <f t="shared" si="6"/>
        <v>0</v>
      </c>
      <c r="U42" s="133">
        <f t="shared" si="6"/>
        <v>0</v>
      </c>
      <c r="V42" s="133">
        <f t="shared" si="6"/>
        <v>0</v>
      </c>
      <c r="W42" s="133">
        <f t="shared" si="6"/>
        <v>0</v>
      </c>
      <c r="X42" s="133">
        <f t="shared" si="6"/>
        <v>0</v>
      </c>
      <c r="Y42" s="133">
        <f t="shared" si="6"/>
        <v>0</v>
      </c>
      <c r="Z42" s="133">
        <f t="shared" si="6"/>
        <v>0</v>
      </c>
      <c r="AA42" s="133">
        <f t="shared" si="6"/>
        <v>0</v>
      </c>
      <c r="AB42" s="395">
        <f>SUM(AB37:AB41)</f>
        <v>7358667</v>
      </c>
      <c r="AC42" s="498">
        <f>SUM(AC37:AC41)</f>
        <v>91041333</v>
      </c>
      <c r="AD42" s="1251"/>
      <c r="AE42" s="371"/>
      <c r="AF42" s="371"/>
      <c r="AG42" s="1440"/>
      <c r="AH42" s="133">
        <f>SUM(AH37:AH41)</f>
        <v>98400000</v>
      </c>
      <c r="AI42" s="395">
        <f>SUM(AI37:AI41)</f>
        <v>0</v>
      </c>
      <c r="AJ42" s="1137">
        <f>B36-AH42</f>
        <v>0</v>
      </c>
    </row>
    <row r="43" spans="1:36" s="7" customFormat="1" ht="83.25" customHeight="1">
      <c r="A43" s="935" t="s">
        <v>36</v>
      </c>
      <c r="B43" s="141">
        <f>25000000-5000000</f>
        <v>20000000</v>
      </c>
      <c r="C43" s="988" t="s">
        <v>27</v>
      </c>
      <c r="D43" s="988" t="s">
        <v>28</v>
      </c>
      <c r="E43" s="988" t="s">
        <v>34</v>
      </c>
      <c r="F43" s="988" t="s">
        <v>35</v>
      </c>
      <c r="G43" s="988" t="s">
        <v>29</v>
      </c>
      <c r="H43" s="1290"/>
      <c r="I43" s="382"/>
      <c r="J43" s="558"/>
      <c r="K43" s="383"/>
      <c r="L43" s="384"/>
      <c r="M43" s="385"/>
      <c r="N43" s="386"/>
      <c r="O43" s="387"/>
      <c r="P43" s="388"/>
      <c r="Q43" s="389"/>
      <c r="R43" s="389"/>
      <c r="S43" s="389"/>
      <c r="T43" s="389"/>
      <c r="U43" s="389"/>
      <c r="V43" s="389"/>
      <c r="W43" s="389"/>
      <c r="X43" s="389"/>
      <c r="Y43" s="389"/>
      <c r="Z43" s="389"/>
      <c r="AA43" s="389"/>
      <c r="AB43" s="506"/>
      <c r="AC43" s="449"/>
      <c r="AD43" s="1253"/>
      <c r="AE43" s="391"/>
      <c r="AF43" s="391"/>
      <c r="AG43" s="1441"/>
      <c r="AH43" s="392"/>
      <c r="AI43" s="1249"/>
      <c r="AJ43" s="1262"/>
    </row>
    <row r="44" spans="1:36" s="9" customFormat="1">
      <c r="A44" s="654" t="s">
        <v>36</v>
      </c>
      <c r="B44" s="165">
        <f>J44</f>
        <v>0</v>
      </c>
      <c r="C44" s="86" t="s">
        <v>27</v>
      </c>
      <c r="D44" s="86" t="s">
        <v>28</v>
      </c>
      <c r="E44" s="86" t="s">
        <v>34</v>
      </c>
      <c r="F44" s="86" t="s">
        <v>35</v>
      </c>
      <c r="G44" s="86" t="s">
        <v>29</v>
      </c>
      <c r="H44" s="1291">
        <v>4</v>
      </c>
      <c r="I44" s="1250"/>
      <c r="J44" s="150"/>
      <c r="K44" s="691"/>
      <c r="L44" s="127"/>
      <c r="M44" s="118"/>
      <c r="N44" s="162"/>
      <c r="O44" s="265"/>
      <c r="P44" s="278"/>
      <c r="Q44" s="175"/>
      <c r="R44" s="175"/>
      <c r="S44" s="175"/>
      <c r="T44" s="175"/>
      <c r="U44" s="175"/>
      <c r="V44" s="175"/>
      <c r="W44" s="175"/>
      <c r="X44" s="175"/>
      <c r="Y44" s="175"/>
      <c r="Z44" s="175"/>
      <c r="AA44" s="175"/>
      <c r="AB44" s="465">
        <f>SUM(P44:AA44)</f>
        <v>0</v>
      </c>
      <c r="AC44" s="447">
        <f>N44-AB44</f>
        <v>0</v>
      </c>
      <c r="AD44" s="1250">
        <v>4</v>
      </c>
      <c r="AE44" s="370" t="s">
        <v>328</v>
      </c>
      <c r="AF44" s="370" t="s">
        <v>188</v>
      </c>
      <c r="AG44" s="1365"/>
      <c r="AH44" s="356">
        <f>10000000-5000000</f>
        <v>5000000</v>
      </c>
      <c r="AI44" s="1207">
        <f>AH44-N44</f>
        <v>5000000</v>
      </c>
      <c r="AJ44" s="1262"/>
    </row>
    <row r="45" spans="1:36" s="9" customFormat="1">
      <c r="A45" s="654" t="s">
        <v>36</v>
      </c>
      <c r="B45" s="165">
        <f>J45</f>
        <v>0</v>
      </c>
      <c r="C45" s="86" t="s">
        <v>27</v>
      </c>
      <c r="D45" s="86" t="s">
        <v>28</v>
      </c>
      <c r="E45" s="86" t="s">
        <v>34</v>
      </c>
      <c r="F45" s="86" t="s">
        <v>35</v>
      </c>
      <c r="G45" s="86" t="s">
        <v>29</v>
      </c>
      <c r="H45" s="1291">
        <v>17</v>
      </c>
      <c r="I45" s="1250"/>
      <c r="J45" s="150"/>
      <c r="K45" s="691"/>
      <c r="L45" s="127"/>
      <c r="M45" s="118"/>
      <c r="N45" s="162"/>
      <c r="O45" s="265"/>
      <c r="P45" s="278"/>
      <c r="Q45" s="175"/>
      <c r="R45" s="175"/>
      <c r="S45" s="175"/>
      <c r="T45" s="175"/>
      <c r="U45" s="175"/>
      <c r="V45" s="175"/>
      <c r="W45" s="175"/>
      <c r="X45" s="175"/>
      <c r="Y45" s="175"/>
      <c r="Z45" s="175"/>
      <c r="AA45" s="175"/>
      <c r="AB45" s="465">
        <f>SUM(P45:AA45)</f>
        <v>0</v>
      </c>
      <c r="AC45" s="447">
        <f>N45-AB45</f>
        <v>0</v>
      </c>
      <c r="AD45" s="1250">
        <v>17</v>
      </c>
      <c r="AE45" s="370" t="s">
        <v>305</v>
      </c>
      <c r="AF45" s="370" t="s">
        <v>188</v>
      </c>
      <c r="AG45" s="1365"/>
      <c r="AH45" s="356">
        <v>15000000</v>
      </c>
      <c r="AI45" s="1207">
        <f>AH45-N45</f>
        <v>15000000</v>
      </c>
      <c r="AJ45" s="1262"/>
    </row>
    <row r="46" spans="1:36" s="9" customFormat="1">
      <c r="A46" s="634" t="s">
        <v>36</v>
      </c>
      <c r="B46" s="165">
        <f>J46</f>
        <v>0</v>
      </c>
      <c r="C46" s="86" t="s">
        <v>27</v>
      </c>
      <c r="D46" s="86" t="s">
        <v>28</v>
      </c>
      <c r="E46" s="86" t="s">
        <v>34</v>
      </c>
      <c r="F46" s="86" t="s">
        <v>35</v>
      </c>
      <c r="G46" s="86" t="s">
        <v>29</v>
      </c>
      <c r="H46" s="1291">
        <v>0</v>
      </c>
      <c r="I46" s="114"/>
      <c r="J46" s="150"/>
      <c r="K46" s="125"/>
      <c r="L46" s="127"/>
      <c r="M46" s="118"/>
      <c r="N46" s="162"/>
      <c r="O46" s="265"/>
      <c r="P46" s="278"/>
      <c r="Q46" s="635"/>
      <c r="R46" s="635"/>
      <c r="S46" s="635"/>
      <c r="T46" s="635"/>
      <c r="U46" s="175"/>
      <c r="V46" s="175"/>
      <c r="W46" s="175"/>
      <c r="X46" s="175"/>
      <c r="Y46" s="175"/>
      <c r="Z46" s="175"/>
      <c r="AA46" s="175"/>
      <c r="AB46" s="465">
        <f>SUM(P46:AA46)</f>
        <v>0</v>
      </c>
      <c r="AC46" s="447">
        <f>N46-AB46</f>
        <v>0</v>
      </c>
      <c r="AD46" s="1250"/>
      <c r="AE46" s="313"/>
      <c r="AF46" s="370" t="s">
        <v>188</v>
      </c>
      <c r="AG46" s="1365"/>
      <c r="AH46" s="356"/>
      <c r="AI46" s="1207">
        <f>AH46-N46</f>
        <v>0</v>
      </c>
      <c r="AJ46" s="1262"/>
    </row>
    <row r="47" spans="1:36" s="9" customFormat="1">
      <c r="A47" s="632" t="s">
        <v>31</v>
      </c>
      <c r="B47" s="140">
        <f>B43-SUM(B44:B46)</f>
        <v>20000000</v>
      </c>
      <c r="C47" s="14"/>
      <c r="D47" s="14"/>
      <c r="E47" s="14"/>
      <c r="F47" s="14"/>
      <c r="G47" s="14"/>
      <c r="H47" s="1292"/>
      <c r="I47" s="14"/>
      <c r="J47" s="140"/>
      <c r="K47" s="154"/>
      <c r="L47" s="15">
        <f>SUM(L44:L45)</f>
        <v>0</v>
      </c>
      <c r="M47" s="119"/>
      <c r="N47" s="15">
        <f>SUM(N44:N45)</f>
        <v>0</v>
      </c>
      <c r="O47" s="572"/>
      <c r="P47" s="279">
        <f t="shared" ref="P47:AC47" si="7">SUM(P44:P46)</f>
        <v>0</v>
      </c>
      <c r="Q47" s="15">
        <f>SUM(Q44:Q45)</f>
        <v>0</v>
      </c>
      <c r="R47" s="15">
        <f>SUM(R44:R45)</f>
        <v>0</v>
      </c>
      <c r="S47" s="15">
        <f>SUM(S44:S45)</f>
        <v>0</v>
      </c>
      <c r="T47" s="15">
        <f>SUM(T44:T45)</f>
        <v>0</v>
      </c>
      <c r="U47" s="15">
        <f t="shared" si="7"/>
        <v>0</v>
      </c>
      <c r="V47" s="15">
        <f t="shared" si="7"/>
        <v>0</v>
      </c>
      <c r="W47" s="15">
        <f t="shared" si="7"/>
        <v>0</v>
      </c>
      <c r="X47" s="15">
        <f t="shared" si="7"/>
        <v>0</v>
      </c>
      <c r="Y47" s="15">
        <f t="shared" si="7"/>
        <v>0</v>
      </c>
      <c r="Z47" s="15">
        <f t="shared" si="7"/>
        <v>0</v>
      </c>
      <c r="AA47" s="15">
        <f t="shared" si="7"/>
        <v>0</v>
      </c>
      <c r="AB47" s="206">
        <f t="shared" si="7"/>
        <v>0</v>
      </c>
      <c r="AC47" s="450">
        <f t="shared" si="7"/>
        <v>0</v>
      </c>
      <c r="AD47" s="1254"/>
      <c r="AE47" s="372"/>
      <c r="AF47" s="372"/>
      <c r="AG47" s="1442"/>
      <c r="AH47" s="15">
        <f>SUM(AH44:AH46)</f>
        <v>20000000</v>
      </c>
      <c r="AI47" s="206">
        <f>SUM(AI44:AI46)</f>
        <v>20000000</v>
      </c>
      <c r="AJ47" s="1137">
        <f>B43-AH47</f>
        <v>0</v>
      </c>
    </row>
    <row r="48" spans="1:36" s="9" customFormat="1">
      <c r="A48" s="636"/>
      <c r="B48" s="166"/>
      <c r="C48" s="167"/>
      <c r="D48" s="168"/>
      <c r="E48" s="167"/>
      <c r="F48" s="167"/>
      <c r="G48" s="169"/>
      <c r="H48" s="239"/>
      <c r="I48" s="168"/>
      <c r="J48" s="550"/>
      <c r="K48" s="170"/>
      <c r="L48" s="171"/>
      <c r="M48" s="172"/>
      <c r="N48" s="173"/>
      <c r="O48" s="208"/>
      <c r="P48" s="280"/>
      <c r="Q48" s="8"/>
      <c r="R48" s="8"/>
      <c r="S48" s="8"/>
      <c r="T48" s="8"/>
      <c r="U48" s="8"/>
      <c r="V48" s="8"/>
      <c r="W48" s="8"/>
      <c r="X48" s="8"/>
      <c r="Y48" s="8"/>
      <c r="Z48" s="8"/>
      <c r="AA48" s="8"/>
      <c r="AB48" s="208"/>
      <c r="AC48" s="464"/>
      <c r="AD48" s="1231"/>
      <c r="AE48" s="362"/>
      <c r="AF48" s="362"/>
      <c r="AG48" s="1365"/>
      <c r="AH48" s="356"/>
      <c r="AI48" s="1243"/>
      <c r="AJ48" s="1262"/>
    </row>
    <row r="49" spans="1:36" s="151" customFormat="1" ht="13.5" thickBot="1">
      <c r="A49" s="637" t="s">
        <v>186</v>
      </c>
      <c r="B49" s="143">
        <f>B16+B36+B43</f>
        <v>740000000</v>
      </c>
      <c r="C49" s="16"/>
      <c r="D49" s="17"/>
      <c r="E49" s="16"/>
      <c r="F49" s="16"/>
      <c r="G49" s="18"/>
      <c r="H49" s="1293"/>
      <c r="I49" s="17"/>
      <c r="J49" s="559"/>
      <c r="K49" s="155"/>
      <c r="L49" s="128">
        <f>L35+L42+L47</f>
        <v>668946166</v>
      </c>
      <c r="M49" s="120"/>
      <c r="N49" s="128">
        <f>N35+N42+N47</f>
        <v>646971000</v>
      </c>
      <c r="O49" s="287"/>
      <c r="P49" s="281">
        <f t="shared" ref="P49:AC49" si="8">P35+P42+P47</f>
        <v>0</v>
      </c>
      <c r="Q49" s="214">
        <f t="shared" si="8"/>
        <v>451600</v>
      </c>
      <c r="R49" s="214">
        <f t="shared" si="8"/>
        <v>48165068</v>
      </c>
      <c r="S49" s="214">
        <f t="shared" si="8"/>
        <v>0</v>
      </c>
      <c r="T49" s="214">
        <f t="shared" si="8"/>
        <v>0</v>
      </c>
      <c r="U49" s="214">
        <f t="shared" si="8"/>
        <v>0</v>
      </c>
      <c r="V49" s="214">
        <f t="shared" si="8"/>
        <v>0</v>
      </c>
      <c r="W49" s="214">
        <f t="shared" si="8"/>
        <v>0</v>
      </c>
      <c r="X49" s="214">
        <f t="shared" si="8"/>
        <v>0</v>
      </c>
      <c r="Y49" s="214">
        <f t="shared" si="8"/>
        <v>0</v>
      </c>
      <c r="Z49" s="214">
        <f t="shared" si="8"/>
        <v>0</v>
      </c>
      <c r="AA49" s="214">
        <f t="shared" si="8"/>
        <v>0</v>
      </c>
      <c r="AB49" s="397">
        <f t="shared" si="8"/>
        <v>48616668</v>
      </c>
      <c r="AC49" s="500">
        <f t="shared" si="8"/>
        <v>598354332</v>
      </c>
      <c r="AD49" s="1255"/>
      <c r="AE49" s="1256"/>
      <c r="AF49" s="1256"/>
      <c r="AG49" s="1443"/>
      <c r="AH49" s="1257">
        <f>AH35+AH42+AH47</f>
        <v>740000000</v>
      </c>
      <c r="AI49" s="1258">
        <f>AI35+AI42+AI47</f>
        <v>93029000</v>
      </c>
      <c r="AJ49" s="1635">
        <f>AJ35+AJ42+AJ47</f>
        <v>0</v>
      </c>
    </row>
    <row r="50" spans="1:36">
      <c r="A50" s="20"/>
      <c r="B50" s="144"/>
      <c r="C50" s="22"/>
      <c r="D50" s="22"/>
      <c r="E50" s="22"/>
      <c r="F50" s="22"/>
      <c r="G50" s="22"/>
      <c r="H50" s="240"/>
      <c r="I50" s="22"/>
      <c r="J50" s="144"/>
      <c r="K50" s="156"/>
      <c r="L50" s="129"/>
      <c r="M50" s="121"/>
      <c r="N50" s="129"/>
      <c r="O50" s="23"/>
      <c r="P50" s="252"/>
      <c r="Q50" s="252"/>
      <c r="R50" s="252"/>
      <c r="S50" s="252"/>
      <c r="T50" s="252"/>
      <c r="U50" s="252"/>
      <c r="V50" s="252"/>
      <c r="W50" s="252"/>
      <c r="X50" s="252"/>
      <c r="Y50" s="252"/>
      <c r="Z50" s="252"/>
      <c r="AA50" s="252"/>
      <c r="AB50" s="638"/>
      <c r="AC50" s="639"/>
    </row>
    <row r="51" spans="1:36">
      <c r="A51" s="20"/>
      <c r="B51" s="144"/>
      <c r="C51" s="994"/>
      <c r="D51" s="994"/>
      <c r="E51" s="994"/>
      <c r="F51" s="994"/>
      <c r="G51" s="994"/>
      <c r="H51" s="240"/>
      <c r="I51" s="994"/>
      <c r="J51" s="144"/>
      <c r="K51" s="156"/>
      <c r="L51" s="129"/>
      <c r="M51" s="121"/>
      <c r="N51" s="129"/>
      <c r="O51" s="23"/>
      <c r="P51" s="252"/>
      <c r="Q51" s="252"/>
      <c r="R51" s="252"/>
      <c r="S51" s="252"/>
      <c r="T51" s="252"/>
      <c r="U51" s="252"/>
      <c r="V51" s="252"/>
      <c r="W51" s="252"/>
      <c r="X51" s="252"/>
      <c r="Y51" s="252"/>
      <c r="Z51" s="252"/>
      <c r="AA51" s="252"/>
      <c r="AB51" s="638"/>
      <c r="AC51" s="639"/>
    </row>
    <row r="52" spans="1:36" ht="12.75" customHeight="1">
      <c r="A52" s="20"/>
      <c r="B52" s="144"/>
      <c r="C52" s="652"/>
      <c r="D52" s="652"/>
      <c r="E52" s="652"/>
      <c r="F52" s="652"/>
      <c r="G52" s="652"/>
      <c r="H52" s="1294"/>
      <c r="I52" s="22"/>
      <c r="J52" s="144"/>
      <c r="K52" s="156"/>
      <c r="L52" s="129"/>
      <c r="M52" s="121"/>
      <c r="N52" s="129"/>
      <c r="O52" s="23"/>
      <c r="P52" s="252"/>
      <c r="Q52" s="252"/>
      <c r="R52" s="252"/>
      <c r="S52" s="252"/>
      <c r="T52" s="252"/>
      <c r="U52" s="252"/>
      <c r="V52" s="252"/>
      <c r="W52" s="252"/>
      <c r="X52" s="252"/>
      <c r="Y52" s="252"/>
      <c r="Z52" s="252"/>
      <c r="AA52" s="252"/>
      <c r="AB52" s="638"/>
      <c r="AC52" s="639"/>
    </row>
    <row r="53" spans="1:36" ht="22.5" customHeight="1">
      <c r="A53" s="24" t="s">
        <v>138</v>
      </c>
      <c r="B53" s="145" t="s">
        <v>19</v>
      </c>
      <c r="C53" s="652"/>
      <c r="D53" s="652"/>
      <c r="E53" s="652"/>
      <c r="F53" s="652"/>
      <c r="G53" s="652"/>
      <c r="H53" s="1294"/>
      <c r="I53" s="80"/>
      <c r="J53" s="544"/>
      <c r="K53" s="178"/>
      <c r="L53" s="130" t="s">
        <v>24</v>
      </c>
      <c r="M53" s="403" t="s">
        <v>25</v>
      </c>
      <c r="N53" s="288" t="s">
        <v>26</v>
      </c>
      <c r="O53" s="640" t="s">
        <v>136</v>
      </c>
      <c r="P53" s="610">
        <v>0</v>
      </c>
      <c r="Q53" s="610">
        <v>451600</v>
      </c>
      <c r="R53" s="610">
        <v>48165068</v>
      </c>
      <c r="S53" s="610"/>
      <c r="T53" s="610"/>
      <c r="U53" s="610"/>
      <c r="V53" s="610"/>
      <c r="W53" s="610"/>
      <c r="X53" s="610"/>
      <c r="Y53" s="610"/>
      <c r="Z53" s="610"/>
      <c r="AA53" s="610"/>
      <c r="AB53" s="610">
        <f>SUM(P53:AA53)</f>
        <v>48616668</v>
      </c>
      <c r="AC53" s="641">
        <f>N49-AB53</f>
        <v>598354332</v>
      </c>
    </row>
    <row r="54" spans="1:36" ht="15.75" customHeight="1">
      <c r="A54" s="27" t="s">
        <v>38</v>
      </c>
      <c r="B54" s="82">
        <f>B16+B36+B43</f>
        <v>740000000</v>
      </c>
      <c r="C54" s="1716" t="s">
        <v>140</v>
      </c>
      <c r="D54" s="1717"/>
      <c r="E54" s="1717"/>
      <c r="F54" s="1717" t="s">
        <v>141</v>
      </c>
      <c r="G54" s="1717"/>
      <c r="H54" s="1295"/>
      <c r="I54" s="179"/>
      <c r="J54" s="462"/>
      <c r="K54" s="180"/>
      <c r="L54" s="131">
        <f>L35+L42+L47</f>
        <v>668946166</v>
      </c>
      <c r="M54" s="131">
        <f>N35+N42+N47</f>
        <v>646971000</v>
      </c>
      <c r="N54" s="131">
        <f>AB35+AB42+AB47</f>
        <v>48616668</v>
      </c>
      <c r="O54" s="67"/>
      <c r="P54" s="252"/>
      <c r="Q54" s="252"/>
      <c r="R54" s="252">
        <f>R53-R49</f>
        <v>0</v>
      </c>
      <c r="S54" s="252"/>
      <c r="T54" s="252"/>
      <c r="U54" s="252"/>
      <c r="V54" s="252"/>
      <c r="W54" s="252"/>
      <c r="X54" s="252"/>
      <c r="Y54" s="252"/>
      <c r="Z54" s="252"/>
      <c r="AA54" s="252"/>
      <c r="AB54" s="638"/>
      <c r="AC54" s="639"/>
    </row>
    <row r="55" spans="1:36" ht="18.75" customHeight="1">
      <c r="A55" s="20"/>
      <c r="B55" s="144"/>
      <c r="C55" s="1718" t="s">
        <v>453</v>
      </c>
      <c r="D55" s="1718"/>
      <c r="E55" s="1718"/>
      <c r="F55" s="1718" t="s">
        <v>142</v>
      </c>
      <c r="G55" s="1718"/>
      <c r="H55" s="1296"/>
      <c r="I55" s="22"/>
      <c r="J55" s="144"/>
      <c r="K55" s="156"/>
      <c r="L55" s="129"/>
      <c r="M55" s="526" t="s">
        <v>38</v>
      </c>
      <c r="N55" s="131">
        <f>N49</f>
        <v>646971000</v>
      </c>
      <c r="O55" s="67"/>
      <c r="P55" s="131">
        <v>0</v>
      </c>
      <c r="Q55" s="131">
        <f t="shared" ref="Q55:AC55" si="9">Q35+Q42+Q47</f>
        <v>451600</v>
      </c>
      <c r="R55" s="131">
        <f t="shared" si="9"/>
        <v>48165068</v>
      </c>
      <c r="S55" s="131">
        <f t="shared" si="9"/>
        <v>0</v>
      </c>
      <c r="T55" s="131">
        <f t="shared" si="9"/>
        <v>0</v>
      </c>
      <c r="U55" s="131">
        <f t="shared" si="9"/>
        <v>0</v>
      </c>
      <c r="V55" s="131">
        <f t="shared" si="9"/>
        <v>0</v>
      </c>
      <c r="W55" s="131">
        <f t="shared" si="9"/>
        <v>0</v>
      </c>
      <c r="X55" s="131">
        <f t="shared" si="9"/>
        <v>0</v>
      </c>
      <c r="Y55" s="131">
        <f t="shared" si="9"/>
        <v>0</v>
      </c>
      <c r="Z55" s="131">
        <f t="shared" si="9"/>
        <v>0</v>
      </c>
      <c r="AA55" s="131">
        <f t="shared" si="9"/>
        <v>0</v>
      </c>
      <c r="AB55" s="131">
        <f t="shared" si="9"/>
        <v>48616668</v>
      </c>
      <c r="AC55" s="642">
        <f t="shared" si="9"/>
        <v>598354332</v>
      </c>
      <c r="AD55" s="179"/>
    </row>
    <row r="56" spans="1:36" ht="13.5" thickBot="1">
      <c r="A56" s="643" t="s">
        <v>39</v>
      </c>
      <c r="B56" s="644"/>
      <c r="C56" s="653"/>
      <c r="D56" s="653"/>
      <c r="E56" s="653"/>
      <c r="F56" s="653"/>
      <c r="G56" s="653"/>
      <c r="H56" s="1297"/>
      <c r="I56" s="645"/>
      <c r="J56" s="646"/>
      <c r="K56" s="647"/>
      <c r="L56" s="644"/>
      <c r="M56" s="723"/>
      <c r="N56" s="644"/>
      <c r="O56" s="648"/>
      <c r="P56" s="649"/>
      <c r="Q56" s="649"/>
      <c r="R56" s="649"/>
      <c r="S56" s="649"/>
      <c r="T56" s="649"/>
      <c r="U56" s="649"/>
      <c r="V56" s="649"/>
      <c r="W56" s="649"/>
      <c r="X56" s="649"/>
      <c r="Y56" s="649"/>
      <c r="Z56" s="649"/>
      <c r="AA56" s="649"/>
      <c r="AB56" s="650"/>
      <c r="AC56" s="651"/>
    </row>
    <row r="57" spans="1:36">
      <c r="L57" s="412">
        <v>668946166</v>
      </c>
      <c r="M57" s="412">
        <v>646971000</v>
      </c>
      <c r="N57" s="412">
        <f>N54</f>
        <v>48616668</v>
      </c>
    </row>
    <row r="58" spans="1:36">
      <c r="L58" s="412">
        <f>L57-L54</f>
        <v>0</v>
      </c>
      <c r="M58" s="412">
        <f>M57-M54</f>
        <v>0</v>
      </c>
      <c r="N58" s="412">
        <f>N57-N54</f>
        <v>0</v>
      </c>
    </row>
    <row r="60" spans="1:36">
      <c r="A60" s="31"/>
      <c r="B60" s="146"/>
      <c r="C60" s="33"/>
      <c r="D60" s="34"/>
    </row>
    <row r="61" spans="1:36">
      <c r="A61" s="35"/>
      <c r="B61" s="147"/>
      <c r="C61" s="37"/>
      <c r="D61" s="38"/>
    </row>
    <row r="62" spans="1:36">
      <c r="A62" s="35"/>
      <c r="B62" s="147"/>
      <c r="C62" s="37"/>
      <c r="D62" s="38"/>
    </row>
    <row r="63" spans="1:36">
      <c r="A63" s="35"/>
      <c r="B63" s="147"/>
      <c r="C63" s="37"/>
    </row>
    <row r="64" spans="1:36">
      <c r="B64" s="147"/>
    </row>
    <row r="65" spans="1:6">
      <c r="B65" s="147"/>
    </row>
    <row r="66" spans="1:6">
      <c r="B66" s="147"/>
    </row>
    <row r="67" spans="1:6">
      <c r="B67" s="147"/>
    </row>
    <row r="68" spans="1:6">
      <c r="B68" s="147"/>
    </row>
    <row r="69" spans="1:6">
      <c r="B69" s="147"/>
    </row>
    <row r="70" spans="1:6">
      <c r="A70" s="35"/>
      <c r="C70" s="147"/>
    </row>
    <row r="71" spans="1:6">
      <c r="A71" s="35"/>
      <c r="C71" s="147"/>
    </row>
    <row r="72" spans="1:6">
      <c r="A72" s="31"/>
      <c r="B72" s="147"/>
      <c r="C72" s="147"/>
    </row>
    <row r="73" spans="1:6">
      <c r="A73" s="35"/>
      <c r="B73" s="147"/>
      <c r="C73" s="147"/>
      <c r="F73" s="39"/>
    </row>
    <row r="74" spans="1:6">
      <c r="A74" s="35"/>
    </row>
    <row r="75" spans="1:6">
      <c r="B75" s="147"/>
      <c r="C75" s="147"/>
    </row>
    <row r="76" spans="1:6">
      <c r="A76" s="35"/>
    </row>
    <row r="77" spans="1:6">
      <c r="A77" s="35"/>
    </row>
    <row r="78" spans="1:6">
      <c r="A78" s="35"/>
    </row>
    <row r="79" spans="1:6">
      <c r="A79" s="35"/>
    </row>
    <row r="80" spans="1:6">
      <c r="A80" s="35"/>
    </row>
    <row r="81" spans="1:2">
      <c r="A81" s="35"/>
      <c r="B81" s="147"/>
    </row>
    <row r="82" spans="1:2">
      <c r="A82" s="35"/>
      <c r="B82" s="147"/>
    </row>
    <row r="83" spans="1:2">
      <c r="A83" s="35"/>
      <c r="B83" s="147"/>
    </row>
    <row r="84" spans="1:2">
      <c r="A84" s="35"/>
      <c r="B84" s="147"/>
    </row>
    <row r="85" spans="1:2">
      <c r="A85" s="35"/>
      <c r="B85" s="147"/>
    </row>
    <row r="86" spans="1:2">
      <c r="A86" s="35"/>
      <c r="B86" s="147"/>
    </row>
    <row r="87" spans="1:2">
      <c r="A87" s="35"/>
      <c r="B87" s="147"/>
    </row>
    <row r="88" spans="1:2">
      <c r="A88" s="35"/>
      <c r="B88" s="147"/>
    </row>
    <row r="89" spans="1:2">
      <c r="A89" s="35"/>
      <c r="B89" s="147"/>
    </row>
    <row r="90" spans="1:2">
      <c r="A90" s="35"/>
      <c r="B90" s="147"/>
    </row>
    <row r="91" spans="1:2">
      <c r="A91" s="35"/>
      <c r="B91" s="147"/>
    </row>
  </sheetData>
  <autoFilter ref="A15:AJ47"/>
  <mergeCells count="19">
    <mergeCell ref="B9:D9"/>
    <mergeCell ref="B10:G10"/>
    <mergeCell ref="A1:A2"/>
    <mergeCell ref="Y1:AA1"/>
    <mergeCell ref="AB1:AC1"/>
    <mergeCell ref="Y2:AA2"/>
    <mergeCell ref="AB2:AC2"/>
    <mergeCell ref="C1:I1"/>
    <mergeCell ref="C2:G2"/>
    <mergeCell ref="A4:G4"/>
    <mergeCell ref="A5:G5"/>
    <mergeCell ref="A6:G6"/>
    <mergeCell ref="A7:G7"/>
    <mergeCell ref="A8:G8"/>
    <mergeCell ref="C54:E54"/>
    <mergeCell ref="C55:E55"/>
    <mergeCell ref="F54:G54"/>
    <mergeCell ref="F55:G55"/>
    <mergeCell ref="B11:G11"/>
  </mergeCells>
  <conditionalFormatting sqref="M59:M1048576 M47:M53 M38:M45 M55:M56 M1:M36">
    <cfRule type="duplicateValues" dxfId="127" priority="5"/>
  </conditionalFormatting>
  <conditionalFormatting sqref="AC1:AC1048576">
    <cfRule type="cellIs" dxfId="126" priority="4" operator="lessThan">
      <formula>0</formula>
    </cfRule>
  </conditionalFormatting>
  <conditionalFormatting sqref="M46">
    <cfRule type="duplicateValues" dxfId="125" priority="3"/>
  </conditionalFormatting>
  <conditionalFormatting sqref="K1:K1048576">
    <cfRule type="duplicateValues" dxfId="124" priority="2"/>
  </conditionalFormatting>
  <conditionalFormatting sqref="M1:M53 M58:M1048576 M55:M56">
    <cfRule type="duplicateValues" dxfId="123" priority="1"/>
  </conditionalFormatting>
  <printOptions horizontalCentered="1" verticalCentered="1"/>
  <pageMargins left="0.31496062992125984" right="0.27559055118110237" top="0.31496062992125984" bottom="0" header="0" footer="0"/>
  <pageSetup scale="60" fitToWidth="2" fitToHeight="2" orientation="landscape" r:id="rId1"/>
  <headerFooter alignWithMargins="0"/>
  <rowBreaks count="1" manualBreakCount="1">
    <brk id="2" max="16383" man="1"/>
  </rowBreaks>
  <ignoredErrors>
    <ignoredError sqref="AB44:AC46 AB17:AB21" formulaRange="1"/>
    <ignoredError sqref="AB42" formula="1"/>
    <ignoredError sqref="AB37:AB38"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K216"/>
  <sheetViews>
    <sheetView zoomScale="80" zoomScaleNormal="80" zoomScaleSheetLayoutView="81" workbookViewId="0">
      <selection activeCell="G14" sqref="G14"/>
    </sheetView>
  </sheetViews>
  <sheetFormatPr baseColWidth="10" defaultRowHeight="12.75"/>
  <cols>
    <col min="1" max="1" width="26.85546875" customWidth="1"/>
    <col min="2" max="2" width="21.42578125" style="29" customWidth="1"/>
    <col min="3" max="3" width="28.140625" customWidth="1"/>
    <col min="4" max="4" width="33.5703125" customWidth="1"/>
    <col min="5" max="5" width="30.140625" customWidth="1"/>
    <col min="6" max="7" width="28.140625" customWidth="1"/>
    <col min="8" max="8" width="13.7109375" style="1298" customWidth="1"/>
    <col min="9" max="9" width="11.7109375" style="73" customWidth="1"/>
    <col min="10" max="10" width="14.42578125" style="186" customWidth="1"/>
    <col min="11" max="11" width="9.140625" style="122" customWidth="1"/>
    <col min="12" max="12" width="17.5703125" style="132" customWidth="1"/>
    <col min="13" max="13" width="17.28515625" style="122" customWidth="1"/>
    <col min="14" max="14" width="16.42578125" style="186" customWidth="1"/>
    <col min="15" max="15" width="11.42578125" style="198" customWidth="1"/>
    <col min="16" max="16" width="11.42578125" style="187" customWidth="1"/>
    <col min="17" max="17" width="13.42578125" style="187" customWidth="1"/>
    <col min="18" max="22" width="14.5703125" style="187" customWidth="1"/>
    <col min="23" max="23" width="14.28515625" style="187" customWidth="1"/>
    <col min="24" max="24" width="18.5703125" style="187" customWidth="1"/>
    <col min="25" max="25" width="11.42578125" style="187" customWidth="1"/>
    <col min="26" max="26" width="13.7109375" style="187" customWidth="1"/>
    <col min="27" max="27" width="13" style="187" customWidth="1"/>
    <col min="28" max="28" width="18" style="412" customWidth="1"/>
    <col min="29" max="29" width="16.42578125" style="605" customWidth="1"/>
    <col min="30" max="30" width="11" style="73" customWidth="1"/>
    <col min="31" max="31" width="11.42578125" customWidth="1"/>
    <col min="32" max="32" width="13.42578125" customWidth="1"/>
    <col min="33" max="33" width="6.5703125" style="578" customWidth="1"/>
    <col min="34" max="34" width="17.28515625" style="364" customWidth="1"/>
    <col min="35" max="35" width="16.42578125" customWidth="1"/>
    <col min="36" max="36" width="15.140625" style="1261" bestFit="1" customWidth="1"/>
    <col min="37" max="37" width="15.140625" bestFit="1" customWidth="1"/>
  </cols>
  <sheetData>
    <row r="1" spans="1:36" ht="42.75" customHeight="1">
      <c r="A1" s="1720"/>
      <c r="B1" s="203" t="s">
        <v>0</v>
      </c>
      <c r="C1" s="1728" t="s">
        <v>1</v>
      </c>
      <c r="D1" s="1729"/>
      <c r="E1" s="1729"/>
      <c r="F1" s="1729"/>
      <c r="G1" s="1729"/>
      <c r="H1" s="1729"/>
      <c r="I1" s="1729"/>
      <c r="J1" s="1729"/>
      <c r="K1" s="1729"/>
      <c r="L1" s="1729"/>
      <c r="M1" s="1729"/>
      <c r="N1" s="933"/>
      <c r="O1" s="700"/>
      <c r="P1" s="700"/>
      <c r="Q1" s="700"/>
      <c r="R1" s="700"/>
      <c r="S1" s="700"/>
      <c r="T1" s="700"/>
      <c r="U1" s="700"/>
      <c r="V1" s="700"/>
      <c r="W1" s="700"/>
      <c r="X1" s="700"/>
      <c r="Y1" s="701"/>
      <c r="Z1" s="1765" t="s">
        <v>2</v>
      </c>
      <c r="AA1" s="1765"/>
      <c r="AB1" s="1766" t="s">
        <v>3</v>
      </c>
      <c r="AC1" s="1767"/>
      <c r="AD1" s="351"/>
    </row>
    <row r="2" spans="1:36" ht="42.75" customHeight="1">
      <c r="A2" s="1721"/>
      <c r="B2" s="1" t="s">
        <v>4</v>
      </c>
      <c r="C2" s="1730" t="s">
        <v>5</v>
      </c>
      <c r="D2" s="1731"/>
      <c r="E2" s="1731"/>
      <c r="F2" s="1731"/>
      <c r="G2" s="1731"/>
      <c r="H2" s="1731"/>
      <c r="I2" s="1731"/>
      <c r="J2" s="1731"/>
      <c r="K2" s="1731"/>
      <c r="L2" s="1731"/>
      <c r="M2" s="1731"/>
      <c r="N2" s="1277"/>
      <c r="O2" s="698"/>
      <c r="P2" s="698"/>
      <c r="Q2" s="698"/>
      <c r="R2" s="698"/>
      <c r="S2" s="698"/>
      <c r="T2" s="698"/>
      <c r="U2" s="698"/>
      <c r="V2" s="698"/>
      <c r="W2" s="698"/>
      <c r="X2" s="698"/>
      <c r="Y2" s="699"/>
      <c r="Z2" s="1768" t="s">
        <v>6</v>
      </c>
      <c r="AA2" s="1768"/>
      <c r="AB2" s="1769">
        <v>1</v>
      </c>
      <c r="AC2" s="1770"/>
      <c r="AD2" s="351"/>
    </row>
    <row r="3" spans="1:36" ht="13.5" customHeight="1">
      <c r="A3" s="1750" t="s">
        <v>7</v>
      </c>
      <c r="B3" s="1751"/>
      <c r="C3" s="1751"/>
      <c r="D3" s="1751"/>
      <c r="E3" s="1751"/>
      <c r="F3" s="1751"/>
      <c r="G3" s="1751"/>
      <c r="H3" s="1299"/>
      <c r="I3" s="40"/>
      <c r="J3" s="545"/>
      <c r="K3" s="1322"/>
      <c r="L3" s="545"/>
      <c r="M3" s="1272"/>
      <c r="N3" s="1752"/>
      <c r="O3" s="1753"/>
      <c r="P3" s="1753"/>
      <c r="Q3" s="1753"/>
      <c r="R3" s="1753"/>
      <c r="S3" s="1753"/>
      <c r="T3" s="1753"/>
      <c r="U3" s="1753"/>
      <c r="V3" s="1753"/>
      <c r="W3" s="1753"/>
      <c r="X3" s="1753"/>
      <c r="Y3" s="1753"/>
      <c r="Z3" s="1753"/>
      <c r="AA3" s="1753"/>
      <c r="AB3" s="1753"/>
      <c r="AC3" s="1754"/>
      <c r="AD3" s="1108"/>
    </row>
    <row r="4" spans="1:36" ht="13.5" customHeight="1">
      <c r="A4" s="1761" t="s">
        <v>452</v>
      </c>
      <c r="B4" s="1762"/>
      <c r="C4" s="1762"/>
      <c r="D4" s="1762"/>
      <c r="E4" s="1762"/>
      <c r="F4" s="1762"/>
      <c r="G4" s="1762"/>
      <c r="H4" s="1299"/>
      <c r="I4" s="40"/>
      <c r="J4" s="545"/>
      <c r="K4" s="1322"/>
      <c r="L4" s="545"/>
      <c r="M4" s="1322"/>
      <c r="N4" s="1755"/>
      <c r="O4" s="1756"/>
      <c r="P4" s="1756"/>
      <c r="Q4" s="1756"/>
      <c r="R4" s="1756"/>
      <c r="S4" s="1756"/>
      <c r="T4" s="1756"/>
      <c r="U4" s="1756"/>
      <c r="V4" s="1756"/>
      <c r="W4" s="1756"/>
      <c r="X4" s="1756"/>
      <c r="Y4" s="1756"/>
      <c r="Z4" s="1756"/>
      <c r="AA4" s="1756"/>
      <c r="AB4" s="1756"/>
      <c r="AC4" s="1757"/>
      <c r="AD4" s="1108"/>
    </row>
    <row r="5" spans="1:36" ht="13.5" customHeight="1">
      <c r="A5" s="1761" t="s">
        <v>148</v>
      </c>
      <c r="B5" s="1762"/>
      <c r="C5" s="1762"/>
      <c r="D5" s="1762"/>
      <c r="E5" s="1762"/>
      <c r="F5" s="1762"/>
      <c r="G5" s="1762"/>
      <c r="H5" s="1299"/>
      <c r="I5" s="40"/>
      <c r="J5" s="545"/>
      <c r="K5" s="1322"/>
      <c r="L5" s="545"/>
      <c r="M5" s="1322"/>
      <c r="N5" s="1755"/>
      <c r="O5" s="1756"/>
      <c r="P5" s="1756"/>
      <c r="Q5" s="1756"/>
      <c r="R5" s="1756"/>
      <c r="S5" s="1756"/>
      <c r="T5" s="1756"/>
      <c r="U5" s="1756"/>
      <c r="V5" s="1756"/>
      <c r="W5" s="1756"/>
      <c r="X5" s="1756"/>
      <c r="Y5" s="1756"/>
      <c r="Z5" s="1756"/>
      <c r="AA5" s="1756"/>
      <c r="AB5" s="1756"/>
      <c r="AC5" s="1757"/>
      <c r="AD5" s="1108"/>
    </row>
    <row r="6" spans="1:36" ht="13.5" customHeight="1">
      <c r="A6" s="1761" t="s">
        <v>147</v>
      </c>
      <c r="B6" s="1762"/>
      <c r="C6" s="1762"/>
      <c r="D6" s="1762"/>
      <c r="E6" s="1762"/>
      <c r="F6" s="1762"/>
      <c r="G6" s="1762"/>
      <c r="H6" s="1299"/>
      <c r="I6" s="40"/>
      <c r="J6" s="545"/>
      <c r="K6" s="1322"/>
      <c r="L6" s="545"/>
      <c r="M6" s="1322"/>
      <c r="N6" s="1755"/>
      <c r="O6" s="1756"/>
      <c r="P6" s="1756"/>
      <c r="Q6" s="1756"/>
      <c r="R6" s="1756"/>
      <c r="S6" s="1756"/>
      <c r="T6" s="1756"/>
      <c r="U6" s="1756"/>
      <c r="V6" s="1756"/>
      <c r="W6" s="1756"/>
      <c r="X6" s="1756"/>
      <c r="Y6" s="1756"/>
      <c r="Z6" s="1756"/>
      <c r="AA6" s="1756"/>
      <c r="AB6" s="1756"/>
      <c r="AC6" s="1757"/>
      <c r="AD6" s="1108"/>
    </row>
    <row r="7" spans="1:36" ht="13.5" customHeight="1">
      <c r="A7" s="1761" t="s">
        <v>146</v>
      </c>
      <c r="B7" s="1762"/>
      <c r="C7" s="1762"/>
      <c r="D7" s="1762"/>
      <c r="E7" s="1762"/>
      <c r="F7" s="1762"/>
      <c r="G7" s="1762"/>
      <c r="H7" s="1299"/>
      <c r="I7" s="40"/>
      <c r="J7" s="545"/>
      <c r="K7" s="1322"/>
      <c r="L7" s="545"/>
      <c r="M7" s="1322"/>
      <c r="N7" s="1755"/>
      <c r="O7" s="1756"/>
      <c r="P7" s="1756"/>
      <c r="Q7" s="1756"/>
      <c r="R7" s="1756"/>
      <c r="S7" s="1756"/>
      <c r="T7" s="1756"/>
      <c r="U7" s="1756"/>
      <c r="V7" s="1756"/>
      <c r="W7" s="1756"/>
      <c r="X7" s="1756"/>
      <c r="Y7" s="1756"/>
      <c r="Z7" s="1756"/>
      <c r="AA7" s="1756"/>
      <c r="AB7" s="1756"/>
      <c r="AC7" s="1757"/>
      <c r="AD7" s="1108"/>
    </row>
    <row r="8" spans="1:36" ht="13.5" customHeight="1">
      <c r="A8" s="1763" t="s">
        <v>40</v>
      </c>
      <c r="B8" s="1764"/>
      <c r="C8" s="1764"/>
      <c r="D8" s="1764"/>
      <c r="E8" s="1764"/>
      <c r="F8" s="1764"/>
      <c r="G8" s="1764"/>
      <c r="H8" s="1299"/>
      <c r="I8" s="40"/>
      <c r="J8" s="545"/>
      <c r="K8" s="1322"/>
      <c r="L8" s="545"/>
      <c r="M8" s="1322"/>
      <c r="N8" s="1755"/>
      <c r="O8" s="1756"/>
      <c r="P8" s="1756"/>
      <c r="Q8" s="1756"/>
      <c r="R8" s="1756"/>
      <c r="S8" s="1756"/>
      <c r="T8" s="1756"/>
      <c r="U8" s="1756"/>
      <c r="V8" s="1756"/>
      <c r="W8" s="1756"/>
      <c r="X8" s="1756"/>
      <c r="Y8" s="1756"/>
      <c r="Z8" s="1756"/>
      <c r="AA8" s="1756"/>
      <c r="AB8" s="1756"/>
      <c r="AC8" s="1757"/>
      <c r="AD8" s="1108"/>
    </row>
    <row r="9" spans="1:36">
      <c r="A9" s="1110" t="s">
        <v>9</v>
      </c>
      <c r="B9" s="1762" t="s">
        <v>10</v>
      </c>
      <c r="C9" s="1762"/>
      <c r="D9" s="1762"/>
      <c r="E9" s="338"/>
      <c r="F9" s="338"/>
      <c r="G9" s="338"/>
      <c r="H9" s="229"/>
      <c r="I9" s="42"/>
      <c r="J9" s="1107"/>
      <c r="K9" s="315"/>
      <c r="L9" s="319"/>
      <c r="M9" s="315"/>
      <c r="N9" s="1755"/>
      <c r="O9" s="1756"/>
      <c r="P9" s="1756"/>
      <c r="Q9" s="1756"/>
      <c r="R9" s="1756"/>
      <c r="S9" s="1756"/>
      <c r="T9" s="1756"/>
      <c r="U9" s="1756"/>
      <c r="V9" s="1756"/>
      <c r="W9" s="1756"/>
      <c r="X9" s="1756"/>
      <c r="Y9" s="1756"/>
      <c r="Z9" s="1756"/>
      <c r="AA9" s="1756"/>
      <c r="AB9" s="1756"/>
      <c r="AC9" s="1757"/>
      <c r="AD9" s="1108"/>
    </row>
    <row r="10" spans="1:36">
      <c r="A10" s="1110" t="s">
        <v>11</v>
      </c>
      <c r="B10" s="1762" t="s">
        <v>41</v>
      </c>
      <c r="C10" s="1762"/>
      <c r="D10" s="1762"/>
      <c r="E10" s="1762"/>
      <c r="F10" s="1762"/>
      <c r="G10" s="1762"/>
      <c r="H10" s="229"/>
      <c r="I10" s="42"/>
      <c r="J10" s="1107"/>
      <c r="K10" s="315"/>
      <c r="L10" s="319"/>
      <c r="M10" s="315"/>
      <c r="N10" s="1755"/>
      <c r="O10" s="1756"/>
      <c r="P10" s="1756"/>
      <c r="Q10" s="1756"/>
      <c r="R10" s="1756"/>
      <c r="S10" s="1756"/>
      <c r="T10" s="1756"/>
      <c r="U10" s="1756"/>
      <c r="V10" s="1756"/>
      <c r="W10" s="1756"/>
      <c r="X10" s="1756"/>
      <c r="Y10" s="1756"/>
      <c r="Z10" s="1756"/>
      <c r="AA10" s="1756"/>
      <c r="AB10" s="1756"/>
      <c r="AC10" s="1757"/>
      <c r="AD10" s="1108"/>
    </row>
    <row r="11" spans="1:36">
      <c r="A11" s="970" t="s">
        <v>13</v>
      </c>
      <c r="B11" s="1762" t="s">
        <v>42</v>
      </c>
      <c r="C11" s="1762"/>
      <c r="D11" s="1762"/>
      <c r="E11" s="1762"/>
      <c r="F11" s="1762"/>
      <c r="G11" s="1762"/>
      <c r="H11" s="229"/>
      <c r="I11" s="42"/>
      <c r="J11" s="1107"/>
      <c r="K11" s="315"/>
      <c r="L11" s="319"/>
      <c r="M11" s="315"/>
      <c r="N11" s="1755"/>
      <c r="O11" s="1756"/>
      <c r="P11" s="1756"/>
      <c r="Q11" s="1756"/>
      <c r="R11" s="1756"/>
      <c r="S11" s="1756"/>
      <c r="T11" s="1756"/>
      <c r="U11" s="1756"/>
      <c r="V11" s="1756"/>
      <c r="W11" s="1756"/>
      <c r="X11" s="1756"/>
      <c r="Y11" s="1756"/>
      <c r="Z11" s="1756"/>
      <c r="AA11" s="1756"/>
      <c r="AB11" s="1756"/>
      <c r="AC11" s="1757"/>
      <c r="AD11" s="1108"/>
    </row>
    <row r="12" spans="1:36">
      <c r="A12" s="44" t="s">
        <v>15</v>
      </c>
      <c r="B12" s="349">
        <v>43555</v>
      </c>
      <c r="C12" s="45"/>
      <c r="D12" s="45"/>
      <c r="E12" s="45"/>
      <c r="F12" s="45"/>
      <c r="G12" s="45"/>
      <c r="H12" s="229"/>
      <c r="I12" s="42"/>
      <c r="J12" s="1107"/>
      <c r="K12" s="315"/>
      <c r="L12" s="319"/>
      <c r="M12" s="315"/>
      <c r="N12" s="1755"/>
      <c r="O12" s="1756"/>
      <c r="P12" s="1756"/>
      <c r="Q12" s="1756"/>
      <c r="R12" s="1756"/>
      <c r="S12" s="1756"/>
      <c r="T12" s="1756"/>
      <c r="U12" s="1756"/>
      <c r="V12" s="1756"/>
      <c r="W12" s="1756"/>
      <c r="X12" s="1756"/>
      <c r="Y12" s="1756"/>
      <c r="Z12" s="1756"/>
      <c r="AA12" s="1756"/>
      <c r="AB12" s="1756"/>
      <c r="AC12" s="1757"/>
      <c r="AD12" s="1108"/>
    </row>
    <row r="13" spans="1:36">
      <c r="A13" s="46" t="s">
        <v>16</v>
      </c>
      <c r="B13" s="358"/>
      <c r="C13" s="359"/>
      <c r="D13" s="359"/>
      <c r="E13" s="359"/>
      <c r="F13" s="359"/>
      <c r="G13" s="359"/>
      <c r="H13" s="230"/>
      <c r="I13" s="47"/>
      <c r="J13" s="1109"/>
      <c r="K13" s="316"/>
      <c r="L13" s="320"/>
      <c r="M13" s="316"/>
      <c r="N13" s="1758"/>
      <c r="O13" s="1759"/>
      <c r="P13" s="1759"/>
      <c r="Q13" s="1759"/>
      <c r="R13" s="1759"/>
      <c r="S13" s="1759"/>
      <c r="T13" s="1759"/>
      <c r="U13" s="1759"/>
      <c r="V13" s="1759"/>
      <c r="W13" s="1759"/>
      <c r="X13" s="1759"/>
      <c r="Y13" s="1759"/>
      <c r="Z13" s="1759"/>
      <c r="AA13" s="1759"/>
      <c r="AB13" s="1759"/>
      <c r="AC13" s="1760"/>
      <c r="AD13" s="1108"/>
    </row>
    <row r="14" spans="1:36" ht="13.5" thickBot="1">
      <c r="A14" s="962" t="s">
        <v>121</v>
      </c>
      <c r="B14" s="204">
        <f>(B16+B78+B98)+C13-D13</f>
        <v>6976000000</v>
      </c>
      <c r="C14" s="348"/>
      <c r="D14" s="963"/>
      <c r="E14" s="963"/>
      <c r="F14" s="963"/>
      <c r="G14" s="964"/>
      <c r="H14" s="1284"/>
      <c r="I14" s="215"/>
      <c r="J14" s="546"/>
      <c r="K14" s="1275"/>
      <c r="L14" s="601"/>
      <c r="M14" s="1332"/>
      <c r="N14" s="603"/>
      <c r="O14" s="300"/>
      <c r="P14" s="300"/>
      <c r="Q14" s="300"/>
      <c r="R14" s="300"/>
      <c r="S14" s="300"/>
      <c r="T14" s="300"/>
      <c r="U14" s="300"/>
      <c r="V14" s="300"/>
      <c r="W14" s="300"/>
      <c r="X14" s="300"/>
      <c r="Y14" s="300"/>
      <c r="Z14" s="300"/>
      <c r="AA14" s="300"/>
      <c r="AB14" s="411"/>
      <c r="AC14" s="978"/>
      <c r="AD14" s="1108"/>
    </row>
    <row r="15" spans="1:36" ht="42.75" customHeight="1">
      <c r="A15" s="628" t="s">
        <v>18</v>
      </c>
      <c r="B15" s="969" t="s">
        <v>19</v>
      </c>
      <c r="C15" s="4" t="s">
        <v>20</v>
      </c>
      <c r="D15" s="4" t="s">
        <v>21</v>
      </c>
      <c r="E15" s="4" t="s">
        <v>22</v>
      </c>
      <c r="F15" s="4" t="s">
        <v>451</v>
      </c>
      <c r="G15" s="4" t="s">
        <v>23</v>
      </c>
      <c r="H15" s="1300" t="s">
        <v>549</v>
      </c>
      <c r="I15" s="959" t="s">
        <v>95</v>
      </c>
      <c r="J15" s="954" t="s">
        <v>127</v>
      </c>
      <c r="K15" s="960" t="s">
        <v>96</v>
      </c>
      <c r="L15" s="954" t="s">
        <v>24</v>
      </c>
      <c r="M15" s="960" t="s">
        <v>97</v>
      </c>
      <c r="N15" s="954" t="s">
        <v>116</v>
      </c>
      <c r="O15" s="961" t="s">
        <v>98</v>
      </c>
      <c r="P15" s="955" t="s">
        <v>99</v>
      </c>
      <c r="Q15" s="956" t="s">
        <v>100</v>
      </c>
      <c r="R15" s="956" t="s">
        <v>101</v>
      </c>
      <c r="S15" s="956" t="s">
        <v>102</v>
      </c>
      <c r="T15" s="956" t="s">
        <v>103</v>
      </c>
      <c r="U15" s="956" t="s">
        <v>104</v>
      </c>
      <c r="V15" s="956" t="s">
        <v>105</v>
      </c>
      <c r="W15" s="956" t="s">
        <v>106</v>
      </c>
      <c r="X15" s="956" t="s">
        <v>107</v>
      </c>
      <c r="Y15" s="956" t="s">
        <v>108</v>
      </c>
      <c r="Z15" s="956" t="s">
        <v>109</v>
      </c>
      <c r="AA15" s="956" t="s">
        <v>110</v>
      </c>
      <c r="AB15" s="957" t="s">
        <v>111</v>
      </c>
      <c r="AC15" s="958" t="s">
        <v>112</v>
      </c>
      <c r="AD15" s="1193" t="s">
        <v>137</v>
      </c>
      <c r="AE15" s="1195" t="s">
        <v>114</v>
      </c>
      <c r="AF15" s="1195" t="s">
        <v>115</v>
      </c>
      <c r="AG15" s="1447" t="s">
        <v>119</v>
      </c>
      <c r="AH15" s="1196" t="s">
        <v>122</v>
      </c>
      <c r="AI15" s="1197" t="s">
        <v>126</v>
      </c>
    </row>
    <row r="16" spans="1:36" s="7" customFormat="1" ht="31.5" customHeight="1">
      <c r="A16" s="965" t="s">
        <v>43</v>
      </c>
      <c r="B16" s="966">
        <f>B17+B70+B74</f>
        <v>3506366443</v>
      </c>
      <c r="C16" s="967"/>
      <c r="D16" s="967"/>
      <c r="E16" s="967"/>
      <c r="F16" s="967"/>
      <c r="G16" s="968"/>
      <c r="H16" s="1301"/>
      <c r="I16" s="689"/>
      <c r="J16" s="547"/>
      <c r="K16" s="376"/>
      <c r="L16" s="466"/>
      <c r="M16" s="376"/>
      <c r="N16" s="467"/>
      <c r="O16" s="468"/>
      <c r="P16" s="469"/>
      <c r="Q16" s="470"/>
      <c r="R16" s="470"/>
      <c r="S16" s="470"/>
      <c r="T16" s="470"/>
      <c r="U16" s="470"/>
      <c r="V16" s="470"/>
      <c r="W16" s="470"/>
      <c r="X16" s="470"/>
      <c r="Y16" s="470"/>
      <c r="Z16" s="470"/>
      <c r="AA16" s="470"/>
      <c r="AB16" s="939"/>
      <c r="AC16" s="979"/>
      <c r="AD16" s="1225"/>
      <c r="AE16" s="471"/>
      <c r="AF16" s="471"/>
      <c r="AG16" s="1448"/>
      <c r="AH16" s="381"/>
      <c r="AI16" s="1226"/>
      <c r="AJ16" s="1262"/>
    </row>
    <row r="17" spans="1:36" s="9" customFormat="1" ht="71.25">
      <c r="A17" s="676" t="s">
        <v>43</v>
      </c>
      <c r="B17" s="193">
        <f>3385046443-20680000-88000000-150000000</f>
        <v>3126366443</v>
      </c>
      <c r="C17" s="971" t="s">
        <v>44</v>
      </c>
      <c r="D17" s="971" t="s">
        <v>906</v>
      </c>
      <c r="E17" s="971" t="s">
        <v>45</v>
      </c>
      <c r="F17" s="971" t="s">
        <v>365</v>
      </c>
      <c r="G17" s="972" t="s">
        <v>46</v>
      </c>
      <c r="H17" s="1302"/>
      <c r="I17" s="936">
        <v>0</v>
      </c>
      <c r="J17" s="475"/>
      <c r="K17" s="518"/>
      <c r="L17" s="473"/>
      <c r="M17" s="518"/>
      <c r="N17" s="473"/>
      <c r="O17" s="937"/>
      <c r="P17" s="655"/>
      <c r="Q17" s="655"/>
      <c r="R17" s="655"/>
      <c r="S17" s="655"/>
      <c r="T17" s="655"/>
      <c r="U17" s="472"/>
      <c r="V17" s="472"/>
      <c r="W17" s="472"/>
      <c r="X17" s="472"/>
      <c r="Y17" s="472"/>
      <c r="Z17" s="472"/>
      <c r="AA17" s="472"/>
      <c r="AB17" s="940"/>
      <c r="AC17" s="980"/>
      <c r="AD17" s="1227"/>
      <c r="AE17" s="418"/>
      <c r="AF17" s="418"/>
      <c r="AG17" s="518"/>
      <c r="AH17" s="473"/>
      <c r="AI17" s="937"/>
      <c r="AJ17" s="1262"/>
    </row>
    <row r="18" spans="1:36" s="9" customFormat="1">
      <c r="A18" s="88" t="s">
        <v>43</v>
      </c>
      <c r="B18" s="183">
        <f>L18</f>
        <v>14520000</v>
      </c>
      <c r="C18" s="83" t="s">
        <v>44</v>
      </c>
      <c r="D18" s="83" t="s">
        <v>906</v>
      </c>
      <c r="E18" s="83" t="s">
        <v>45</v>
      </c>
      <c r="F18" s="83" t="s">
        <v>365</v>
      </c>
      <c r="G18" s="87" t="s">
        <v>46</v>
      </c>
      <c r="H18" s="1228">
        <v>23</v>
      </c>
      <c r="I18" s="182">
        <v>0</v>
      </c>
      <c r="J18" s="535"/>
      <c r="K18" s="117">
        <v>169</v>
      </c>
      <c r="L18" s="160">
        <v>14520000</v>
      </c>
      <c r="M18" s="117">
        <v>173</v>
      </c>
      <c r="N18" s="185">
        <v>14520000</v>
      </c>
      <c r="O18" s="263">
        <v>155</v>
      </c>
      <c r="P18" s="257"/>
      <c r="Q18" s="188"/>
      <c r="R18" s="188">
        <v>4840000</v>
      </c>
      <c r="S18" s="188"/>
      <c r="T18" s="188"/>
      <c r="U18" s="188"/>
      <c r="V18" s="188"/>
      <c r="W18" s="188"/>
      <c r="X18" s="188"/>
      <c r="Y18" s="188"/>
      <c r="Z18" s="188"/>
      <c r="AA18" s="188"/>
      <c r="AB18" s="941">
        <f>SUM(P18:AA18)</f>
        <v>4840000</v>
      </c>
      <c r="AC18" s="948">
        <f>N18-AB18</f>
        <v>9680000</v>
      </c>
      <c r="AD18" s="1228">
        <v>23</v>
      </c>
      <c r="AE18" s="291" t="s">
        <v>329</v>
      </c>
      <c r="AF18" s="313" t="str">
        <f>VLOOKUP(M18,[3]Hoja2!J$141:N$168,5,0)</f>
        <v>ANA MARIA COLLAZOS SOLANO</v>
      </c>
      <c r="AG18" s="571">
        <f>O18</f>
        <v>155</v>
      </c>
      <c r="AH18" s="356">
        <v>14520000</v>
      </c>
      <c r="AI18" s="1207">
        <f>AH18-N18</f>
        <v>0</v>
      </c>
      <c r="AJ18" s="1262"/>
    </row>
    <row r="19" spans="1:36" s="9" customFormat="1">
      <c r="A19" s="88" t="s">
        <v>43</v>
      </c>
      <c r="B19" s="183">
        <f t="shared" ref="B19:B68" si="0">L19</f>
        <v>30576619</v>
      </c>
      <c r="C19" s="84" t="s">
        <v>44</v>
      </c>
      <c r="D19" s="84" t="s">
        <v>906</v>
      </c>
      <c r="E19" s="84" t="s">
        <v>45</v>
      </c>
      <c r="F19" s="84" t="s">
        <v>365</v>
      </c>
      <c r="G19" s="89" t="s">
        <v>46</v>
      </c>
      <c r="H19" s="1228">
        <v>24</v>
      </c>
      <c r="I19" s="182">
        <v>0</v>
      </c>
      <c r="J19" s="535"/>
      <c r="K19" s="117">
        <v>262</v>
      </c>
      <c r="L19" s="160">
        <v>30576619</v>
      </c>
      <c r="M19" s="117">
        <f>VLOOKUP(K19,[4]RP!I$194:J$247,2,0)</f>
        <v>271</v>
      </c>
      <c r="N19" s="160">
        <v>30576619</v>
      </c>
      <c r="O19" s="263">
        <v>240</v>
      </c>
      <c r="P19" s="257"/>
      <c r="Q19" s="188"/>
      <c r="R19" s="188">
        <v>2090000</v>
      </c>
      <c r="S19" s="188"/>
      <c r="T19" s="188"/>
      <c r="U19" s="188"/>
      <c r="V19" s="188"/>
      <c r="W19" s="188"/>
      <c r="X19" s="188"/>
      <c r="Y19" s="188"/>
      <c r="Z19" s="188"/>
      <c r="AA19" s="188"/>
      <c r="AB19" s="941">
        <f t="shared" ref="AB19:AB68" si="1">SUM(P19:AA19)</f>
        <v>2090000</v>
      </c>
      <c r="AC19" s="948">
        <f t="shared" ref="AC19:AC68" si="2">N19-AB19</f>
        <v>28486619</v>
      </c>
      <c r="AD19" s="1228">
        <v>24</v>
      </c>
      <c r="AE19" s="291" t="s">
        <v>269</v>
      </c>
      <c r="AF19" s="313" t="s">
        <v>695</v>
      </c>
      <c r="AG19" s="571">
        <f t="shared" ref="AG19:AG68" si="3">O19</f>
        <v>240</v>
      </c>
      <c r="AH19" s="356">
        <f>30576619</f>
        <v>30576619</v>
      </c>
      <c r="AI19" s="1207">
        <f>AH19-N19</f>
        <v>0</v>
      </c>
      <c r="AJ19" s="1262"/>
    </row>
    <row r="20" spans="1:36" s="9" customFormat="1">
      <c r="A20" s="88" t="s">
        <v>43</v>
      </c>
      <c r="B20" s="183">
        <f t="shared" si="0"/>
        <v>0</v>
      </c>
      <c r="C20" s="84" t="s">
        <v>44</v>
      </c>
      <c r="D20" s="84" t="s">
        <v>906</v>
      </c>
      <c r="E20" s="84" t="s">
        <v>45</v>
      </c>
      <c r="F20" s="84" t="s">
        <v>365</v>
      </c>
      <c r="G20" s="89" t="s">
        <v>46</v>
      </c>
      <c r="H20" s="1229">
        <v>25</v>
      </c>
      <c r="I20" s="182">
        <v>0</v>
      </c>
      <c r="J20" s="535"/>
      <c r="K20" s="117"/>
      <c r="L20" s="160"/>
      <c r="M20" s="117"/>
      <c r="N20" s="513"/>
      <c r="O20" s="263"/>
      <c r="P20" s="514"/>
      <c r="Q20" s="514"/>
      <c r="R20" s="188"/>
      <c r="S20" s="514"/>
      <c r="T20" s="514"/>
      <c r="U20" s="514"/>
      <c r="V20" s="514"/>
      <c r="W20" s="515"/>
      <c r="X20" s="188"/>
      <c r="Y20" s="514"/>
      <c r="Z20" s="514"/>
      <c r="AA20" s="514"/>
      <c r="AB20" s="941">
        <f t="shared" si="1"/>
        <v>0</v>
      </c>
      <c r="AC20" s="948">
        <f t="shared" si="2"/>
        <v>0</v>
      </c>
      <c r="AD20" s="1229">
        <v>25</v>
      </c>
      <c r="AE20" s="313" t="s">
        <v>330</v>
      </c>
      <c r="AF20" s="313" t="s">
        <v>188</v>
      </c>
      <c r="AG20" s="571">
        <f t="shared" si="3"/>
        <v>0</v>
      </c>
      <c r="AH20" s="356">
        <f>17000000-17000000</f>
        <v>0</v>
      </c>
      <c r="AI20" s="1207">
        <f t="shared" ref="AI20:AI68" si="4">AH20-N20</f>
        <v>0</v>
      </c>
      <c r="AJ20" s="1262"/>
    </row>
    <row r="21" spans="1:36" s="9" customFormat="1">
      <c r="A21" s="88" t="s">
        <v>43</v>
      </c>
      <c r="B21" s="183">
        <f t="shared" si="0"/>
        <v>0</v>
      </c>
      <c r="C21" s="84" t="s">
        <v>44</v>
      </c>
      <c r="D21" s="84" t="s">
        <v>906</v>
      </c>
      <c r="E21" s="84" t="s">
        <v>45</v>
      </c>
      <c r="F21" s="84" t="s">
        <v>365</v>
      </c>
      <c r="G21" s="89" t="s">
        <v>46</v>
      </c>
      <c r="H21" s="1229">
        <v>27</v>
      </c>
      <c r="I21" s="182">
        <v>0</v>
      </c>
      <c r="J21" s="535"/>
      <c r="K21" s="117"/>
      <c r="L21" s="160"/>
      <c r="M21" s="117"/>
      <c r="N21" s="513"/>
      <c r="O21" s="263"/>
      <c r="P21" s="514"/>
      <c r="Q21" s="514"/>
      <c r="R21" s="188"/>
      <c r="S21" s="514"/>
      <c r="T21" s="514"/>
      <c r="U21" s="514"/>
      <c r="V21" s="514"/>
      <c r="W21" s="515"/>
      <c r="X21" s="188"/>
      <c r="Y21" s="514"/>
      <c r="Z21" s="514"/>
      <c r="AA21" s="514"/>
      <c r="AB21" s="941">
        <f t="shared" si="1"/>
        <v>0</v>
      </c>
      <c r="AC21" s="948">
        <f t="shared" si="2"/>
        <v>0</v>
      </c>
      <c r="AD21" s="1259">
        <v>27</v>
      </c>
      <c r="AE21" s="313" t="s">
        <v>331</v>
      </c>
      <c r="AF21" s="313" t="s">
        <v>188</v>
      </c>
      <c r="AG21" s="571">
        <f t="shared" si="3"/>
        <v>0</v>
      </c>
      <c r="AH21" s="483">
        <f>8000000-8000000</f>
        <v>0</v>
      </c>
      <c r="AI21" s="1207">
        <f t="shared" si="4"/>
        <v>0</v>
      </c>
      <c r="AJ21" s="1262"/>
    </row>
    <row r="22" spans="1:36" s="9" customFormat="1">
      <c r="A22" s="88" t="s">
        <v>43</v>
      </c>
      <c r="B22" s="183">
        <f t="shared" si="0"/>
        <v>22740000</v>
      </c>
      <c r="C22" s="84" t="s">
        <v>44</v>
      </c>
      <c r="D22" s="84" t="s">
        <v>906</v>
      </c>
      <c r="E22" s="84" t="s">
        <v>45</v>
      </c>
      <c r="F22" s="84" t="s">
        <v>365</v>
      </c>
      <c r="G22" s="89" t="s">
        <v>46</v>
      </c>
      <c r="H22" s="1739">
        <v>28</v>
      </c>
      <c r="I22" s="182">
        <v>0</v>
      </c>
      <c r="J22" s="535"/>
      <c r="K22" s="1741">
        <v>352</v>
      </c>
      <c r="L22" s="1743">
        <v>22740000</v>
      </c>
      <c r="M22" s="117">
        <v>400</v>
      </c>
      <c r="N22" s="513">
        <f>2041290</f>
        <v>2041290</v>
      </c>
      <c r="O22" s="263">
        <v>297</v>
      </c>
      <c r="P22" s="514"/>
      <c r="Q22" s="514"/>
      <c r="R22" s="188"/>
      <c r="S22" s="514"/>
      <c r="T22" s="514"/>
      <c r="U22" s="514"/>
      <c r="V22" s="514"/>
      <c r="W22" s="515"/>
      <c r="X22" s="188"/>
      <c r="Y22" s="514"/>
      <c r="Z22" s="514"/>
      <c r="AA22" s="514"/>
      <c r="AB22" s="941">
        <f t="shared" si="1"/>
        <v>0</v>
      </c>
      <c r="AC22" s="948">
        <f t="shared" si="2"/>
        <v>2041290</v>
      </c>
      <c r="AD22" s="1739">
        <v>28</v>
      </c>
      <c r="AE22" s="1745" t="s">
        <v>332</v>
      </c>
      <c r="AF22" s="313" t="s">
        <v>877</v>
      </c>
      <c r="AG22" s="571">
        <f t="shared" si="3"/>
        <v>297</v>
      </c>
      <c r="AH22" s="1735">
        <f>20000000+2740000</f>
        <v>22740000</v>
      </c>
      <c r="AI22" s="1737">
        <f>AH22-N22-N23</f>
        <v>4647260</v>
      </c>
      <c r="AJ22" s="1262"/>
    </row>
    <row r="23" spans="1:36" s="9" customFormat="1">
      <c r="A23" s="88" t="s">
        <v>43</v>
      </c>
      <c r="B23" s="183">
        <f t="shared" si="0"/>
        <v>0</v>
      </c>
      <c r="C23" s="84" t="s">
        <v>44</v>
      </c>
      <c r="D23" s="84" t="s">
        <v>906</v>
      </c>
      <c r="E23" s="84" t="s">
        <v>45</v>
      </c>
      <c r="F23" s="84" t="s">
        <v>365</v>
      </c>
      <c r="G23" s="89" t="s">
        <v>46</v>
      </c>
      <c r="H23" s="1740"/>
      <c r="I23" s="182"/>
      <c r="J23" s="535"/>
      <c r="K23" s="1742"/>
      <c r="L23" s="1744"/>
      <c r="M23" s="117">
        <v>381</v>
      </c>
      <c r="N23" s="513">
        <v>16051450</v>
      </c>
      <c r="O23" s="263">
        <v>298</v>
      </c>
      <c r="P23" s="514"/>
      <c r="Q23" s="514"/>
      <c r="R23" s="188"/>
      <c r="S23" s="514"/>
      <c r="T23" s="514"/>
      <c r="U23" s="514"/>
      <c r="V23" s="514"/>
      <c r="W23" s="515"/>
      <c r="X23" s="188"/>
      <c r="Y23" s="514"/>
      <c r="Z23" s="514"/>
      <c r="AA23" s="514"/>
      <c r="AB23" s="941"/>
      <c r="AC23" s="948"/>
      <c r="AD23" s="1740"/>
      <c r="AE23" s="1746"/>
      <c r="AF23" s="313" t="s">
        <v>887</v>
      </c>
      <c r="AG23" s="571">
        <f t="shared" si="3"/>
        <v>298</v>
      </c>
      <c r="AH23" s="1736"/>
      <c r="AI23" s="1738"/>
      <c r="AJ23" s="1262"/>
    </row>
    <row r="24" spans="1:36" s="9" customFormat="1">
      <c r="A24" s="88" t="s">
        <v>43</v>
      </c>
      <c r="B24" s="183">
        <f t="shared" si="0"/>
        <v>18240000</v>
      </c>
      <c r="C24" s="84" t="s">
        <v>44</v>
      </c>
      <c r="D24" s="84" t="s">
        <v>906</v>
      </c>
      <c r="E24" s="84" t="s">
        <v>45</v>
      </c>
      <c r="F24" s="84" t="s">
        <v>365</v>
      </c>
      <c r="G24" s="89" t="s">
        <v>46</v>
      </c>
      <c r="H24" s="1229">
        <v>29</v>
      </c>
      <c r="I24" s="182">
        <v>0</v>
      </c>
      <c r="J24" s="535"/>
      <c r="K24" s="117">
        <v>175</v>
      </c>
      <c r="L24" s="160">
        <v>18240000</v>
      </c>
      <c r="M24" s="117">
        <v>174</v>
      </c>
      <c r="N24" s="185">
        <v>18240000</v>
      </c>
      <c r="O24" s="263">
        <v>157</v>
      </c>
      <c r="P24" s="514"/>
      <c r="Q24" s="188"/>
      <c r="R24" s="188">
        <v>4661333</v>
      </c>
      <c r="S24" s="514"/>
      <c r="T24" s="514"/>
      <c r="U24" s="514"/>
      <c r="V24" s="514"/>
      <c r="W24" s="515"/>
      <c r="X24" s="188"/>
      <c r="Y24" s="514"/>
      <c r="Z24" s="514"/>
      <c r="AA24" s="514"/>
      <c r="AB24" s="941">
        <f t="shared" si="1"/>
        <v>4661333</v>
      </c>
      <c r="AC24" s="948">
        <f t="shared" si="2"/>
        <v>13578667</v>
      </c>
      <c r="AD24" s="1229">
        <v>29</v>
      </c>
      <c r="AE24" s="313" t="s">
        <v>333</v>
      </c>
      <c r="AF24" s="313" t="str">
        <f>VLOOKUP(M24,[3]Hoja2!J$141:N$168,5,0)</f>
        <v>CARLOS ARTURO ROJAS PEREZ</v>
      </c>
      <c r="AG24" s="571">
        <f t="shared" si="3"/>
        <v>157</v>
      </c>
      <c r="AH24" s="356">
        <v>18240000</v>
      </c>
      <c r="AI24" s="1207">
        <f t="shared" si="4"/>
        <v>0</v>
      </c>
      <c r="AJ24" s="1262"/>
    </row>
    <row r="25" spans="1:36" s="9" customFormat="1">
      <c r="A25" s="88" t="s">
        <v>43</v>
      </c>
      <c r="B25" s="183">
        <f t="shared" si="0"/>
        <v>380964824</v>
      </c>
      <c r="C25" s="84" t="s">
        <v>44</v>
      </c>
      <c r="D25" s="84" t="s">
        <v>906</v>
      </c>
      <c r="E25" s="84" t="s">
        <v>45</v>
      </c>
      <c r="F25" s="84" t="s">
        <v>365</v>
      </c>
      <c r="G25" s="89" t="s">
        <v>46</v>
      </c>
      <c r="H25" s="1229">
        <v>36</v>
      </c>
      <c r="I25" s="182">
        <v>0</v>
      </c>
      <c r="J25" s="535"/>
      <c r="K25" s="117">
        <v>374</v>
      </c>
      <c r="L25" s="160">
        <v>380964824</v>
      </c>
      <c r="M25" s="117">
        <v>386</v>
      </c>
      <c r="N25" s="513">
        <v>380964824</v>
      </c>
      <c r="O25" s="263"/>
      <c r="P25" s="514"/>
      <c r="Q25" s="514"/>
      <c r="R25" s="188"/>
      <c r="S25" s="514"/>
      <c r="T25" s="514"/>
      <c r="U25" s="514"/>
      <c r="V25" s="514"/>
      <c r="W25" s="515"/>
      <c r="X25" s="188"/>
      <c r="Y25" s="514"/>
      <c r="Z25" s="514"/>
      <c r="AA25" s="514"/>
      <c r="AB25" s="941">
        <f t="shared" si="1"/>
        <v>0</v>
      </c>
      <c r="AC25" s="948">
        <f t="shared" si="2"/>
        <v>380964824</v>
      </c>
      <c r="AD25" s="1229">
        <v>36</v>
      </c>
      <c r="AE25" s="313" t="s">
        <v>320</v>
      </c>
      <c r="AF25" s="313" t="e">
        <f>-SOCIEDAD HOTELERA TEQUENDAMA S A</f>
        <v>#NAME?</v>
      </c>
      <c r="AG25" s="571">
        <f t="shared" si="3"/>
        <v>0</v>
      </c>
      <c r="AH25" s="356">
        <f>268964824+112000000</f>
        <v>380964824</v>
      </c>
      <c r="AI25" s="1207">
        <f t="shared" si="4"/>
        <v>0</v>
      </c>
      <c r="AJ25" s="1262"/>
    </row>
    <row r="26" spans="1:36" s="9" customFormat="1">
      <c r="A26" s="88" t="s">
        <v>43</v>
      </c>
      <c r="B26" s="183">
        <f t="shared" si="0"/>
        <v>52000000</v>
      </c>
      <c r="C26" s="84" t="s">
        <v>44</v>
      </c>
      <c r="D26" s="84" t="s">
        <v>906</v>
      </c>
      <c r="E26" s="84" t="s">
        <v>45</v>
      </c>
      <c r="F26" s="84" t="s">
        <v>365</v>
      </c>
      <c r="G26" s="89" t="s">
        <v>46</v>
      </c>
      <c r="H26" s="1229">
        <v>37</v>
      </c>
      <c r="I26" s="182">
        <v>0</v>
      </c>
      <c r="J26" s="535"/>
      <c r="K26" s="117">
        <v>285</v>
      </c>
      <c r="L26" s="160">
        <v>52000000</v>
      </c>
      <c r="M26" s="117">
        <v>285</v>
      </c>
      <c r="N26" s="513">
        <v>52000000</v>
      </c>
      <c r="O26" s="263">
        <v>247</v>
      </c>
      <c r="P26" s="514"/>
      <c r="Q26" s="514"/>
      <c r="R26" s="188">
        <v>2600000</v>
      </c>
      <c r="S26" s="514"/>
      <c r="T26" s="514"/>
      <c r="U26" s="514"/>
      <c r="V26" s="514"/>
      <c r="W26" s="515"/>
      <c r="X26" s="188"/>
      <c r="Y26" s="514"/>
      <c r="Z26" s="514"/>
      <c r="AA26" s="514"/>
      <c r="AB26" s="941">
        <f t="shared" si="1"/>
        <v>2600000</v>
      </c>
      <c r="AC26" s="948">
        <f t="shared" si="2"/>
        <v>49400000</v>
      </c>
      <c r="AD26" s="1229">
        <v>37</v>
      </c>
      <c r="AE26" s="313" t="s">
        <v>334</v>
      </c>
      <c r="AF26" s="313" t="s">
        <v>718</v>
      </c>
      <c r="AG26" s="571">
        <f t="shared" si="3"/>
        <v>247</v>
      </c>
      <c r="AH26" s="356">
        <v>52000000</v>
      </c>
      <c r="AI26" s="1207">
        <f t="shared" si="4"/>
        <v>0</v>
      </c>
      <c r="AJ26" s="1262"/>
    </row>
    <row r="27" spans="1:36" s="9" customFormat="1">
      <c r="A27" s="88" t="s">
        <v>43</v>
      </c>
      <c r="B27" s="183">
        <f t="shared" si="0"/>
        <v>0</v>
      </c>
      <c r="C27" s="84" t="s">
        <v>44</v>
      </c>
      <c r="D27" s="84" t="s">
        <v>906</v>
      </c>
      <c r="E27" s="84" t="s">
        <v>45</v>
      </c>
      <c r="F27" s="84" t="s">
        <v>365</v>
      </c>
      <c r="G27" s="89" t="s">
        <v>46</v>
      </c>
      <c r="H27" s="1229">
        <v>38</v>
      </c>
      <c r="I27" s="182">
        <v>0</v>
      </c>
      <c r="J27" s="535"/>
      <c r="K27" s="117"/>
      <c r="L27" s="160"/>
      <c r="M27" s="117"/>
      <c r="N27" s="513"/>
      <c r="O27" s="263"/>
      <c r="P27" s="514"/>
      <c r="Q27" s="514"/>
      <c r="R27" s="188"/>
      <c r="S27" s="514"/>
      <c r="T27" s="514"/>
      <c r="U27" s="514"/>
      <c r="V27" s="514"/>
      <c r="W27" s="515"/>
      <c r="X27" s="188"/>
      <c r="Y27" s="514"/>
      <c r="Z27" s="514"/>
      <c r="AA27" s="514"/>
      <c r="AB27" s="941">
        <f t="shared" si="1"/>
        <v>0</v>
      </c>
      <c r="AC27" s="948">
        <f t="shared" si="2"/>
        <v>0</v>
      </c>
      <c r="AD27" s="1229">
        <v>38</v>
      </c>
      <c r="AE27" s="313" t="s">
        <v>335</v>
      </c>
      <c r="AF27" s="313" t="s">
        <v>188</v>
      </c>
      <c r="AG27" s="571">
        <f t="shared" si="3"/>
        <v>0</v>
      </c>
      <c r="AH27" s="356">
        <v>30000000</v>
      </c>
      <c r="AI27" s="1207">
        <f t="shared" si="4"/>
        <v>30000000</v>
      </c>
      <c r="AJ27" s="1262"/>
    </row>
    <row r="28" spans="1:36" s="9" customFormat="1">
      <c r="A28" s="88" t="s">
        <v>43</v>
      </c>
      <c r="B28" s="183">
        <f t="shared" si="0"/>
        <v>0</v>
      </c>
      <c r="C28" s="84" t="s">
        <v>44</v>
      </c>
      <c r="D28" s="84" t="s">
        <v>906</v>
      </c>
      <c r="E28" s="84" t="s">
        <v>45</v>
      </c>
      <c r="F28" s="84" t="s">
        <v>365</v>
      </c>
      <c r="G28" s="89" t="s">
        <v>46</v>
      </c>
      <c r="H28" s="1229">
        <v>39</v>
      </c>
      <c r="I28" s="182">
        <v>0</v>
      </c>
      <c r="J28" s="535"/>
      <c r="K28" s="117"/>
      <c r="L28" s="160"/>
      <c r="M28" s="117"/>
      <c r="N28" s="513"/>
      <c r="O28" s="263"/>
      <c r="P28" s="514"/>
      <c r="Q28" s="514"/>
      <c r="R28" s="188"/>
      <c r="S28" s="514"/>
      <c r="T28" s="514"/>
      <c r="U28" s="514"/>
      <c r="V28" s="514"/>
      <c r="W28" s="515"/>
      <c r="X28" s="188"/>
      <c r="Y28" s="514"/>
      <c r="Z28" s="514"/>
      <c r="AA28" s="514"/>
      <c r="AB28" s="941">
        <f t="shared" si="1"/>
        <v>0</v>
      </c>
      <c r="AC28" s="948">
        <f t="shared" si="2"/>
        <v>0</v>
      </c>
      <c r="AD28" s="1229">
        <v>39</v>
      </c>
      <c r="AE28" s="313" t="s">
        <v>336</v>
      </c>
      <c r="AF28" s="313" t="s">
        <v>188</v>
      </c>
      <c r="AG28" s="571">
        <f t="shared" si="3"/>
        <v>0</v>
      </c>
      <c r="AH28" s="356">
        <v>20000000</v>
      </c>
      <c r="AI28" s="1207">
        <f t="shared" si="4"/>
        <v>20000000</v>
      </c>
      <c r="AJ28" s="1262"/>
    </row>
    <row r="29" spans="1:36" s="9" customFormat="1">
      <c r="A29" s="88" t="s">
        <v>43</v>
      </c>
      <c r="B29" s="183">
        <f t="shared" si="0"/>
        <v>0</v>
      </c>
      <c r="C29" s="84" t="s">
        <v>44</v>
      </c>
      <c r="D29" s="84" t="s">
        <v>906</v>
      </c>
      <c r="E29" s="84" t="s">
        <v>45</v>
      </c>
      <c r="F29" s="84" t="s">
        <v>365</v>
      </c>
      <c r="G29" s="89" t="s">
        <v>46</v>
      </c>
      <c r="H29" s="1229">
        <v>40</v>
      </c>
      <c r="I29" s="182">
        <v>0</v>
      </c>
      <c r="J29" s="535"/>
      <c r="K29" s="117"/>
      <c r="L29" s="160"/>
      <c r="M29" s="117"/>
      <c r="N29" s="513"/>
      <c r="O29" s="263"/>
      <c r="P29" s="514"/>
      <c r="Q29" s="514"/>
      <c r="R29" s="188"/>
      <c r="S29" s="514"/>
      <c r="T29" s="514"/>
      <c r="U29" s="514"/>
      <c r="V29" s="514"/>
      <c r="W29" s="515"/>
      <c r="X29" s="188"/>
      <c r="Y29" s="514"/>
      <c r="Z29" s="514"/>
      <c r="AA29" s="514"/>
      <c r="AB29" s="941">
        <f t="shared" si="1"/>
        <v>0</v>
      </c>
      <c r="AC29" s="948">
        <f t="shared" si="2"/>
        <v>0</v>
      </c>
      <c r="AD29" s="1229">
        <v>40</v>
      </c>
      <c r="AE29" s="313" t="s">
        <v>337</v>
      </c>
      <c r="AF29" s="313" t="s">
        <v>188</v>
      </c>
      <c r="AG29" s="571">
        <f t="shared" si="3"/>
        <v>0</v>
      </c>
      <c r="AH29" s="356">
        <f>7000000-7000000</f>
        <v>0</v>
      </c>
      <c r="AI29" s="1207">
        <f t="shared" si="4"/>
        <v>0</v>
      </c>
      <c r="AJ29" s="1262"/>
    </row>
    <row r="30" spans="1:36" s="9" customFormat="1">
      <c r="A30" s="88" t="s">
        <v>43</v>
      </c>
      <c r="B30" s="183">
        <f t="shared" si="0"/>
        <v>7740000</v>
      </c>
      <c r="C30" s="84" t="s">
        <v>44</v>
      </c>
      <c r="D30" s="84" t="s">
        <v>906</v>
      </c>
      <c r="E30" s="84" t="s">
        <v>45</v>
      </c>
      <c r="F30" s="84" t="s">
        <v>365</v>
      </c>
      <c r="G30" s="89" t="s">
        <v>46</v>
      </c>
      <c r="H30" s="1229">
        <v>41</v>
      </c>
      <c r="I30" s="182">
        <v>0</v>
      </c>
      <c r="J30" s="535"/>
      <c r="K30" s="117">
        <v>176</v>
      </c>
      <c r="L30" s="160">
        <v>7740000</v>
      </c>
      <c r="M30" s="117">
        <f>VLOOKUP(K30,[4]RP!I$194:J$247,2,0)</f>
        <v>232</v>
      </c>
      <c r="N30" s="185">
        <f>VLOOKUP(M30,[4]RP!J$194:V$247,13,0)</f>
        <v>7740000</v>
      </c>
      <c r="O30" s="263">
        <v>176</v>
      </c>
      <c r="P30" s="514"/>
      <c r="Q30" s="514"/>
      <c r="R30" s="188">
        <v>2150000</v>
      </c>
      <c r="S30" s="514"/>
      <c r="T30" s="514"/>
      <c r="U30" s="514"/>
      <c r="V30" s="514"/>
      <c r="W30" s="515"/>
      <c r="X30" s="188"/>
      <c r="Y30" s="514"/>
      <c r="Z30" s="514"/>
      <c r="AA30" s="514"/>
      <c r="AB30" s="941">
        <f t="shared" si="1"/>
        <v>2150000</v>
      </c>
      <c r="AC30" s="948">
        <f t="shared" si="2"/>
        <v>5590000</v>
      </c>
      <c r="AD30" s="1229">
        <v>41</v>
      </c>
      <c r="AE30" s="313" t="s">
        <v>338</v>
      </c>
      <c r="AF30" s="313" t="s">
        <v>717</v>
      </c>
      <c r="AG30" s="571">
        <f t="shared" si="3"/>
        <v>176</v>
      </c>
      <c r="AH30" s="356">
        <v>7740000</v>
      </c>
      <c r="AI30" s="1207">
        <f t="shared" si="4"/>
        <v>0</v>
      </c>
      <c r="AJ30" s="1262"/>
    </row>
    <row r="31" spans="1:36" s="9" customFormat="1">
      <c r="A31" s="88" t="s">
        <v>43</v>
      </c>
      <c r="B31" s="183">
        <f t="shared" si="0"/>
        <v>19860000</v>
      </c>
      <c r="C31" s="84" t="s">
        <v>44</v>
      </c>
      <c r="D31" s="84" t="s">
        <v>906</v>
      </c>
      <c r="E31" s="84" t="s">
        <v>45</v>
      </c>
      <c r="F31" s="84" t="s">
        <v>365</v>
      </c>
      <c r="G31" s="89" t="s">
        <v>46</v>
      </c>
      <c r="H31" s="1229">
        <v>42</v>
      </c>
      <c r="I31" s="182">
        <v>0</v>
      </c>
      <c r="J31" s="535"/>
      <c r="K31" s="117">
        <v>59</v>
      </c>
      <c r="L31" s="160">
        <v>19860000</v>
      </c>
      <c r="M31" s="117">
        <v>110</v>
      </c>
      <c r="N31" s="185">
        <v>19860000</v>
      </c>
      <c r="O31" s="263">
        <v>81</v>
      </c>
      <c r="P31" s="514"/>
      <c r="Q31" s="188">
        <v>1765333</v>
      </c>
      <c r="R31" s="188">
        <v>6620000</v>
      </c>
      <c r="S31" s="514"/>
      <c r="T31" s="514"/>
      <c r="U31" s="514"/>
      <c r="V31" s="514"/>
      <c r="W31" s="515"/>
      <c r="X31" s="188"/>
      <c r="Y31" s="514"/>
      <c r="Z31" s="514"/>
      <c r="AA31" s="514"/>
      <c r="AB31" s="941">
        <f t="shared" si="1"/>
        <v>8385333</v>
      </c>
      <c r="AC31" s="948">
        <f t="shared" si="2"/>
        <v>11474667</v>
      </c>
      <c r="AD31" s="1229">
        <v>42</v>
      </c>
      <c r="AE31" s="313" t="s">
        <v>339</v>
      </c>
      <c r="AF31" s="313" t="str">
        <f>VLOOKUP(M31,[3]Hoja2!J$141:N$168,5,0)</f>
        <v>DIANA MARCELA GARCIA SIERRA</v>
      </c>
      <c r="AG31" s="571">
        <f t="shared" si="3"/>
        <v>81</v>
      </c>
      <c r="AH31" s="356">
        <v>72820000</v>
      </c>
      <c r="AI31" s="1207">
        <f t="shared" si="4"/>
        <v>52960000</v>
      </c>
      <c r="AJ31" s="1262"/>
    </row>
    <row r="32" spans="1:36" s="9" customFormat="1">
      <c r="A32" s="88" t="s">
        <v>43</v>
      </c>
      <c r="B32" s="183">
        <f t="shared" si="0"/>
        <v>3935000</v>
      </c>
      <c r="C32" s="84" t="s">
        <v>44</v>
      </c>
      <c r="D32" s="84" t="s">
        <v>906</v>
      </c>
      <c r="E32" s="84" t="s">
        <v>45</v>
      </c>
      <c r="F32" s="84" t="s">
        <v>365</v>
      </c>
      <c r="G32" s="89" t="s">
        <v>46</v>
      </c>
      <c r="H32" s="1229">
        <v>46</v>
      </c>
      <c r="I32" s="182">
        <v>0</v>
      </c>
      <c r="J32" s="535"/>
      <c r="K32" s="117">
        <v>286</v>
      </c>
      <c r="L32" s="160">
        <v>3935000</v>
      </c>
      <c r="M32" s="117">
        <v>299</v>
      </c>
      <c r="N32" s="513">
        <v>3935000</v>
      </c>
      <c r="O32" s="263">
        <v>250</v>
      </c>
      <c r="P32" s="514"/>
      <c r="Q32" s="514"/>
      <c r="R32" s="188"/>
      <c r="S32" s="514"/>
      <c r="T32" s="514"/>
      <c r="U32" s="514"/>
      <c r="V32" s="514"/>
      <c r="W32" s="515"/>
      <c r="X32" s="188"/>
      <c r="Y32" s="514"/>
      <c r="Z32" s="514"/>
      <c r="AA32" s="514"/>
      <c r="AB32" s="941">
        <f t="shared" si="1"/>
        <v>0</v>
      </c>
      <c r="AC32" s="948">
        <f t="shared" si="2"/>
        <v>3935000</v>
      </c>
      <c r="AD32" s="1229">
        <v>46</v>
      </c>
      <c r="AE32" s="313" t="s">
        <v>333</v>
      </c>
      <c r="AF32" s="313" t="s">
        <v>719</v>
      </c>
      <c r="AG32" s="571">
        <f t="shared" si="3"/>
        <v>250</v>
      </c>
      <c r="AH32" s="356">
        <v>40000000</v>
      </c>
      <c r="AI32" s="1207">
        <f t="shared" si="4"/>
        <v>36065000</v>
      </c>
      <c r="AJ32" s="1262"/>
    </row>
    <row r="33" spans="1:36" s="9" customFormat="1">
      <c r="A33" s="88" t="s">
        <v>43</v>
      </c>
      <c r="B33" s="183">
        <f t="shared" si="0"/>
        <v>20945000</v>
      </c>
      <c r="C33" s="84" t="s">
        <v>44</v>
      </c>
      <c r="D33" s="84" t="s">
        <v>906</v>
      </c>
      <c r="E33" s="84" t="s">
        <v>45</v>
      </c>
      <c r="F33" s="84" t="s">
        <v>365</v>
      </c>
      <c r="G33" s="89" t="s">
        <v>46</v>
      </c>
      <c r="H33" s="1229">
        <v>49</v>
      </c>
      <c r="I33" s="182">
        <v>0</v>
      </c>
      <c r="J33" s="535"/>
      <c r="K33" s="117">
        <v>263</v>
      </c>
      <c r="L33" s="160">
        <v>20945000</v>
      </c>
      <c r="M33" s="117">
        <f>VLOOKUP(K33,[4]RP!I$194:J$247,2,0)</f>
        <v>268</v>
      </c>
      <c r="N33" s="160">
        <v>20945000</v>
      </c>
      <c r="O33" s="263">
        <v>238</v>
      </c>
      <c r="P33" s="514"/>
      <c r="Q33" s="514"/>
      <c r="R33" s="188">
        <v>2090000</v>
      </c>
      <c r="S33" s="514"/>
      <c r="T33" s="514"/>
      <c r="U33" s="514"/>
      <c r="V33" s="514"/>
      <c r="W33" s="515"/>
      <c r="X33" s="188"/>
      <c r="Y33" s="514"/>
      <c r="Z33" s="514"/>
      <c r="AA33" s="514"/>
      <c r="AB33" s="941">
        <f t="shared" si="1"/>
        <v>2090000</v>
      </c>
      <c r="AC33" s="948">
        <f t="shared" si="2"/>
        <v>18855000</v>
      </c>
      <c r="AD33" s="1229">
        <v>49</v>
      </c>
      <c r="AE33" s="313" t="s">
        <v>282</v>
      </c>
      <c r="AF33" s="313" t="s">
        <v>696</v>
      </c>
      <c r="AG33" s="571">
        <f t="shared" si="3"/>
        <v>238</v>
      </c>
      <c r="AH33" s="356">
        <f>20945000</f>
        <v>20945000</v>
      </c>
      <c r="AI33" s="1207">
        <f t="shared" si="4"/>
        <v>0</v>
      </c>
      <c r="AJ33" s="1262"/>
    </row>
    <row r="34" spans="1:36" s="9" customFormat="1">
      <c r="A34" s="88" t="s">
        <v>43</v>
      </c>
      <c r="B34" s="183">
        <f t="shared" si="0"/>
        <v>0</v>
      </c>
      <c r="C34" s="84" t="s">
        <v>44</v>
      </c>
      <c r="D34" s="84" t="s">
        <v>906</v>
      </c>
      <c r="E34" s="84" t="s">
        <v>45</v>
      </c>
      <c r="F34" s="84" t="s">
        <v>365</v>
      </c>
      <c r="G34" s="89" t="s">
        <v>46</v>
      </c>
      <c r="H34" s="1229">
        <v>51</v>
      </c>
      <c r="I34" s="182">
        <v>0</v>
      </c>
      <c r="J34" s="535"/>
      <c r="K34" s="117"/>
      <c r="L34" s="160"/>
      <c r="M34" s="117"/>
      <c r="N34" s="513"/>
      <c r="O34" s="263"/>
      <c r="P34" s="514"/>
      <c r="Q34" s="514"/>
      <c r="R34" s="188"/>
      <c r="S34" s="514"/>
      <c r="T34" s="514"/>
      <c r="U34" s="514"/>
      <c r="V34" s="514"/>
      <c r="W34" s="515"/>
      <c r="X34" s="188"/>
      <c r="Y34" s="514"/>
      <c r="Z34" s="514"/>
      <c r="AA34" s="514"/>
      <c r="AB34" s="941">
        <f t="shared" si="1"/>
        <v>0</v>
      </c>
      <c r="AC34" s="948">
        <f t="shared" si="2"/>
        <v>0</v>
      </c>
      <c r="AD34" s="1229">
        <v>51</v>
      </c>
      <c r="AE34" s="313" t="s">
        <v>255</v>
      </c>
      <c r="AF34" s="313" t="s">
        <v>188</v>
      </c>
      <c r="AG34" s="571">
        <f t="shared" si="3"/>
        <v>0</v>
      </c>
      <c r="AH34" s="356">
        <v>10000000</v>
      </c>
      <c r="AI34" s="1207">
        <f t="shared" si="4"/>
        <v>10000000</v>
      </c>
      <c r="AJ34" s="1262"/>
    </row>
    <row r="35" spans="1:36" s="9" customFormat="1">
      <c r="A35" s="88" t="s">
        <v>43</v>
      </c>
      <c r="B35" s="183">
        <f t="shared" si="0"/>
        <v>17880000</v>
      </c>
      <c r="C35" s="84" t="s">
        <v>44</v>
      </c>
      <c r="D35" s="84" t="s">
        <v>906</v>
      </c>
      <c r="E35" s="84" t="s">
        <v>45</v>
      </c>
      <c r="F35" s="84" t="s">
        <v>365</v>
      </c>
      <c r="G35" s="89" t="s">
        <v>46</v>
      </c>
      <c r="H35" s="1229">
        <v>53</v>
      </c>
      <c r="I35" s="182">
        <v>0</v>
      </c>
      <c r="J35" s="535"/>
      <c r="K35" s="117">
        <v>177</v>
      </c>
      <c r="L35" s="160">
        <v>17880000</v>
      </c>
      <c r="M35" s="117">
        <v>163</v>
      </c>
      <c r="N35" s="185">
        <v>17880000</v>
      </c>
      <c r="O35" s="263">
        <v>158</v>
      </c>
      <c r="P35" s="514"/>
      <c r="Q35" s="188"/>
      <c r="R35" s="188">
        <v>6158667</v>
      </c>
      <c r="S35" s="514"/>
      <c r="T35" s="514"/>
      <c r="U35" s="514"/>
      <c r="V35" s="514"/>
      <c r="W35" s="515"/>
      <c r="X35" s="188"/>
      <c r="Y35" s="514"/>
      <c r="Z35" s="514"/>
      <c r="AA35" s="514"/>
      <c r="AB35" s="941">
        <f t="shared" si="1"/>
        <v>6158667</v>
      </c>
      <c r="AC35" s="948">
        <f t="shared" si="2"/>
        <v>11721333</v>
      </c>
      <c r="AD35" s="1229">
        <v>53</v>
      </c>
      <c r="AE35" s="313" t="s">
        <v>340</v>
      </c>
      <c r="AF35" s="313" t="str">
        <f>VLOOKUP(M35,[3]Hoja2!J$141:N$168,5,0)</f>
        <v>GINA CATHERINE LEON CABRERA</v>
      </c>
      <c r="AG35" s="571">
        <f t="shared" si="3"/>
        <v>158</v>
      </c>
      <c r="AH35" s="356">
        <v>17880000</v>
      </c>
      <c r="AI35" s="1207">
        <f t="shared" si="4"/>
        <v>0</v>
      </c>
      <c r="AJ35" s="1262"/>
    </row>
    <row r="36" spans="1:36" s="9" customFormat="1">
      <c r="A36" s="88" t="s">
        <v>43</v>
      </c>
      <c r="B36" s="183">
        <f t="shared" si="0"/>
        <v>10440000</v>
      </c>
      <c r="C36" s="84" t="s">
        <v>44</v>
      </c>
      <c r="D36" s="84" t="s">
        <v>906</v>
      </c>
      <c r="E36" s="84" t="s">
        <v>45</v>
      </c>
      <c r="F36" s="84" t="s">
        <v>365</v>
      </c>
      <c r="G36" s="89" t="s">
        <v>46</v>
      </c>
      <c r="H36" s="1229">
        <v>55</v>
      </c>
      <c r="I36" s="182">
        <v>0</v>
      </c>
      <c r="J36" s="535"/>
      <c r="K36" s="117">
        <v>224</v>
      </c>
      <c r="L36" s="160">
        <v>10440000</v>
      </c>
      <c r="M36" s="117">
        <f>VLOOKUP(K36,[4]RP!I$194:J$247,2,0)</f>
        <v>227</v>
      </c>
      <c r="N36" s="185">
        <f>VLOOKUP(M36,[4]RP!J$194:V$247,13,0)</f>
        <v>10440000</v>
      </c>
      <c r="O36" s="263">
        <v>166</v>
      </c>
      <c r="P36" s="514"/>
      <c r="Q36" s="514"/>
      <c r="R36" s="188">
        <v>2900000</v>
      </c>
      <c r="S36" s="514"/>
      <c r="T36" s="514"/>
      <c r="U36" s="514"/>
      <c r="V36" s="514"/>
      <c r="W36" s="515"/>
      <c r="X36" s="188"/>
      <c r="Y36" s="514"/>
      <c r="Z36" s="514"/>
      <c r="AA36" s="514"/>
      <c r="AB36" s="941">
        <f t="shared" si="1"/>
        <v>2900000</v>
      </c>
      <c r="AC36" s="948">
        <f t="shared" si="2"/>
        <v>7540000</v>
      </c>
      <c r="AD36" s="1229">
        <v>55</v>
      </c>
      <c r="AE36" s="313" t="s">
        <v>341</v>
      </c>
      <c r="AF36" s="313" t="s">
        <v>716</v>
      </c>
      <c r="AG36" s="571">
        <f t="shared" si="3"/>
        <v>166</v>
      </c>
      <c r="AH36" s="356">
        <v>38280000</v>
      </c>
      <c r="AI36" s="1207">
        <f t="shared" si="4"/>
        <v>27840000</v>
      </c>
      <c r="AJ36" s="1262"/>
    </row>
    <row r="37" spans="1:36" s="9" customFormat="1">
      <c r="A37" s="88" t="s">
        <v>43</v>
      </c>
      <c r="B37" s="183">
        <f t="shared" si="0"/>
        <v>0</v>
      </c>
      <c r="C37" s="84" t="s">
        <v>44</v>
      </c>
      <c r="D37" s="84" t="s">
        <v>906</v>
      </c>
      <c r="E37" s="84" t="s">
        <v>45</v>
      </c>
      <c r="F37" s="84" t="s">
        <v>365</v>
      </c>
      <c r="G37" s="89" t="s">
        <v>46</v>
      </c>
      <c r="H37" s="1229">
        <v>58</v>
      </c>
      <c r="I37" s="182">
        <v>0</v>
      </c>
      <c r="J37" s="535"/>
      <c r="K37" s="117"/>
      <c r="L37" s="160"/>
      <c r="M37" s="117"/>
      <c r="N37" s="513"/>
      <c r="O37" s="263"/>
      <c r="P37" s="514"/>
      <c r="Q37" s="514"/>
      <c r="R37" s="188"/>
      <c r="S37" s="514"/>
      <c r="T37" s="514"/>
      <c r="U37" s="514"/>
      <c r="V37" s="514"/>
      <c r="W37" s="515"/>
      <c r="X37" s="188"/>
      <c r="Y37" s="514"/>
      <c r="Z37" s="514"/>
      <c r="AA37" s="514"/>
      <c r="AB37" s="941">
        <f t="shared" si="1"/>
        <v>0</v>
      </c>
      <c r="AC37" s="948">
        <f t="shared" si="2"/>
        <v>0</v>
      </c>
      <c r="AD37" s="1229">
        <v>58</v>
      </c>
      <c r="AE37" s="313" t="s">
        <v>342</v>
      </c>
      <c r="AF37" s="313" t="s">
        <v>188</v>
      </c>
      <c r="AG37" s="571">
        <f t="shared" si="3"/>
        <v>0</v>
      </c>
      <c r="AH37" s="356">
        <v>17000000</v>
      </c>
      <c r="AI37" s="1207">
        <f t="shared" si="4"/>
        <v>17000000</v>
      </c>
      <c r="AJ37" s="1262"/>
    </row>
    <row r="38" spans="1:36" s="9" customFormat="1">
      <c r="A38" s="88" t="s">
        <v>43</v>
      </c>
      <c r="B38" s="183">
        <f t="shared" si="0"/>
        <v>19860000</v>
      </c>
      <c r="C38" s="84" t="s">
        <v>44</v>
      </c>
      <c r="D38" s="84" t="s">
        <v>906</v>
      </c>
      <c r="E38" s="84" t="s">
        <v>45</v>
      </c>
      <c r="F38" s="84" t="s">
        <v>365</v>
      </c>
      <c r="G38" s="89" t="s">
        <v>46</v>
      </c>
      <c r="H38" s="1229">
        <v>60</v>
      </c>
      <c r="I38" s="182">
        <v>0</v>
      </c>
      <c r="J38" s="535"/>
      <c r="K38" s="117">
        <v>243</v>
      </c>
      <c r="L38" s="160">
        <v>19860000</v>
      </c>
      <c r="M38" s="117">
        <v>251</v>
      </c>
      <c r="N38" s="513">
        <v>19860000</v>
      </c>
      <c r="O38" s="263">
        <v>228</v>
      </c>
      <c r="P38" s="514"/>
      <c r="Q38" s="514"/>
      <c r="R38" s="188">
        <v>4854667</v>
      </c>
      <c r="S38" s="514"/>
      <c r="T38" s="514"/>
      <c r="U38" s="514"/>
      <c r="V38" s="514"/>
      <c r="W38" s="515"/>
      <c r="X38" s="188"/>
      <c r="Y38" s="514"/>
      <c r="Z38" s="514"/>
      <c r="AA38" s="514"/>
      <c r="AB38" s="941">
        <f t="shared" si="1"/>
        <v>4854667</v>
      </c>
      <c r="AC38" s="948">
        <f t="shared" si="2"/>
        <v>15005333</v>
      </c>
      <c r="AD38" s="1229">
        <v>60</v>
      </c>
      <c r="AE38" s="313" t="s">
        <v>343</v>
      </c>
      <c r="AF38" s="313" t="s">
        <v>713</v>
      </c>
      <c r="AG38" s="571">
        <f t="shared" si="3"/>
        <v>228</v>
      </c>
      <c r="AH38" s="356">
        <v>72820000</v>
      </c>
      <c r="AI38" s="1207">
        <f t="shared" si="4"/>
        <v>52960000</v>
      </c>
      <c r="AJ38" s="1262"/>
    </row>
    <row r="39" spans="1:36" s="9" customFormat="1">
      <c r="A39" s="88" t="s">
        <v>43</v>
      </c>
      <c r="B39" s="183">
        <f t="shared" si="0"/>
        <v>16080000</v>
      </c>
      <c r="C39" s="84" t="s">
        <v>44</v>
      </c>
      <c r="D39" s="84" t="s">
        <v>906</v>
      </c>
      <c r="E39" s="84" t="s">
        <v>45</v>
      </c>
      <c r="F39" s="84" t="s">
        <v>365</v>
      </c>
      <c r="G39" s="89" t="s">
        <v>46</v>
      </c>
      <c r="H39" s="1229">
        <v>61</v>
      </c>
      <c r="I39" s="182">
        <v>0</v>
      </c>
      <c r="J39" s="535"/>
      <c r="K39" s="117">
        <v>170</v>
      </c>
      <c r="L39" s="160">
        <v>16080000</v>
      </c>
      <c r="M39" s="117">
        <v>162</v>
      </c>
      <c r="N39" s="185">
        <v>16080000</v>
      </c>
      <c r="O39" s="263">
        <v>152</v>
      </c>
      <c r="P39" s="514"/>
      <c r="Q39" s="188"/>
      <c r="R39" s="188">
        <v>5538667</v>
      </c>
      <c r="S39" s="514"/>
      <c r="T39" s="514"/>
      <c r="U39" s="514"/>
      <c r="V39" s="514"/>
      <c r="W39" s="515"/>
      <c r="X39" s="188"/>
      <c r="Y39" s="514"/>
      <c r="Z39" s="514"/>
      <c r="AA39" s="514"/>
      <c r="AB39" s="941">
        <f t="shared" si="1"/>
        <v>5538667</v>
      </c>
      <c r="AC39" s="948">
        <f t="shared" si="2"/>
        <v>10541333</v>
      </c>
      <c r="AD39" s="1229">
        <v>61</v>
      </c>
      <c r="AE39" s="313" t="s">
        <v>344</v>
      </c>
      <c r="AF39" s="313" t="str">
        <f>VLOOKUP(M39,[3]Hoja2!J$141:N$168,5,0)</f>
        <v>JOHANNA MARCELA GALINDO URREGO</v>
      </c>
      <c r="AG39" s="571">
        <f t="shared" si="3"/>
        <v>152</v>
      </c>
      <c r="AH39" s="356">
        <v>16080000</v>
      </c>
      <c r="AI39" s="1207">
        <f t="shared" si="4"/>
        <v>0</v>
      </c>
      <c r="AJ39" s="1262"/>
    </row>
    <row r="40" spans="1:36" s="9" customFormat="1">
      <c r="A40" s="88" t="s">
        <v>43</v>
      </c>
      <c r="B40" s="183">
        <f t="shared" si="0"/>
        <v>12060000</v>
      </c>
      <c r="C40" s="84" t="s">
        <v>44</v>
      </c>
      <c r="D40" s="84" t="s">
        <v>906</v>
      </c>
      <c r="E40" s="84" t="s">
        <v>45</v>
      </c>
      <c r="F40" s="84" t="s">
        <v>365</v>
      </c>
      <c r="G40" s="89" t="s">
        <v>46</v>
      </c>
      <c r="H40" s="1229">
        <v>62</v>
      </c>
      <c r="I40" s="182">
        <v>0</v>
      </c>
      <c r="J40" s="535"/>
      <c r="K40" s="117">
        <v>228</v>
      </c>
      <c r="L40" s="160">
        <v>12060000</v>
      </c>
      <c r="M40" s="117">
        <v>228</v>
      </c>
      <c r="N40" s="185">
        <f>VLOOKUP(M40,[4]RP!J$194:V$247,13,0)</f>
        <v>12060000</v>
      </c>
      <c r="O40" s="263">
        <v>177</v>
      </c>
      <c r="P40" s="514"/>
      <c r="Q40" s="514"/>
      <c r="R40" s="188">
        <v>3350000</v>
      </c>
      <c r="S40" s="514"/>
      <c r="T40" s="514"/>
      <c r="U40" s="514"/>
      <c r="V40" s="514"/>
      <c r="W40" s="515"/>
      <c r="X40" s="188"/>
      <c r="Y40" s="514"/>
      <c r="Z40" s="514"/>
      <c r="AA40" s="514"/>
      <c r="AB40" s="941">
        <f t="shared" si="1"/>
        <v>3350000</v>
      </c>
      <c r="AC40" s="948">
        <f t="shared" si="2"/>
        <v>8710000</v>
      </c>
      <c r="AD40" s="1229">
        <v>62</v>
      </c>
      <c r="AE40" s="313" t="s">
        <v>345</v>
      </c>
      <c r="AF40" s="313" t="s">
        <v>715</v>
      </c>
      <c r="AG40" s="571">
        <f t="shared" si="3"/>
        <v>177</v>
      </c>
      <c r="AH40" s="356">
        <v>12060000</v>
      </c>
      <c r="AI40" s="1207">
        <f t="shared" si="4"/>
        <v>0</v>
      </c>
      <c r="AJ40" s="1262"/>
    </row>
    <row r="41" spans="1:36" s="9" customFormat="1">
      <c r="A41" s="88" t="s">
        <v>43</v>
      </c>
      <c r="B41" s="183">
        <f t="shared" si="0"/>
        <v>13320000</v>
      </c>
      <c r="C41" s="84" t="s">
        <v>44</v>
      </c>
      <c r="D41" s="84" t="s">
        <v>906</v>
      </c>
      <c r="E41" s="84" t="s">
        <v>45</v>
      </c>
      <c r="F41" s="84" t="s">
        <v>365</v>
      </c>
      <c r="G41" s="89" t="s">
        <v>46</v>
      </c>
      <c r="H41" s="1229">
        <v>63</v>
      </c>
      <c r="I41" s="182">
        <v>0</v>
      </c>
      <c r="J41" s="535"/>
      <c r="K41" s="117">
        <v>171</v>
      </c>
      <c r="L41" s="160">
        <v>13320000</v>
      </c>
      <c r="M41" s="117">
        <v>184</v>
      </c>
      <c r="N41" s="185">
        <v>13320000</v>
      </c>
      <c r="O41" s="263">
        <v>150</v>
      </c>
      <c r="P41" s="514"/>
      <c r="Q41" s="188"/>
      <c r="R41" s="188">
        <v>4440000</v>
      </c>
      <c r="S41" s="514"/>
      <c r="T41" s="514"/>
      <c r="U41" s="514"/>
      <c r="V41" s="514"/>
      <c r="W41" s="515"/>
      <c r="X41" s="188"/>
      <c r="Y41" s="514"/>
      <c r="Z41" s="514"/>
      <c r="AA41" s="514"/>
      <c r="AB41" s="941">
        <f t="shared" si="1"/>
        <v>4440000</v>
      </c>
      <c r="AC41" s="948">
        <f t="shared" si="2"/>
        <v>8880000</v>
      </c>
      <c r="AD41" s="1229">
        <v>63</v>
      </c>
      <c r="AE41" s="313" t="s">
        <v>346</v>
      </c>
      <c r="AF41" s="313" t="str">
        <f>VLOOKUP(M41,[3]Hoja2!J$141:N$168,5,0)</f>
        <v>JUAN FELIPE ESPINOSA DE LOS MONTEROS</v>
      </c>
      <c r="AG41" s="571">
        <f t="shared" si="3"/>
        <v>150</v>
      </c>
      <c r="AH41" s="356">
        <v>13320000</v>
      </c>
      <c r="AI41" s="1207">
        <f t="shared" si="4"/>
        <v>0</v>
      </c>
      <c r="AJ41" s="1262"/>
    </row>
    <row r="42" spans="1:36" s="9" customFormat="1">
      <c r="A42" s="88" t="s">
        <v>43</v>
      </c>
      <c r="B42" s="183">
        <f t="shared" si="0"/>
        <v>12060000</v>
      </c>
      <c r="C42" s="84" t="s">
        <v>44</v>
      </c>
      <c r="D42" s="84" t="s">
        <v>906</v>
      </c>
      <c r="E42" s="84" t="s">
        <v>45</v>
      </c>
      <c r="F42" s="84" t="s">
        <v>365</v>
      </c>
      <c r="G42" s="89" t="s">
        <v>46</v>
      </c>
      <c r="H42" s="1229">
        <v>66</v>
      </c>
      <c r="I42" s="182">
        <v>0</v>
      </c>
      <c r="J42" s="535"/>
      <c r="K42" s="117">
        <v>229</v>
      </c>
      <c r="L42" s="160">
        <v>12060000</v>
      </c>
      <c r="M42" s="117">
        <v>231</v>
      </c>
      <c r="N42" s="185">
        <f>VLOOKUP(M42,[4]RP!J$194:V$247,13,0)</f>
        <v>12060000</v>
      </c>
      <c r="O42" s="263">
        <v>179</v>
      </c>
      <c r="P42" s="514"/>
      <c r="Q42" s="514"/>
      <c r="R42" s="188">
        <v>3350000</v>
      </c>
      <c r="S42" s="514"/>
      <c r="T42" s="514"/>
      <c r="U42" s="514"/>
      <c r="V42" s="514"/>
      <c r="W42" s="515"/>
      <c r="X42" s="188"/>
      <c r="Y42" s="514"/>
      <c r="Z42" s="514"/>
      <c r="AA42" s="514"/>
      <c r="AB42" s="941">
        <f t="shared" si="1"/>
        <v>3350000</v>
      </c>
      <c r="AC42" s="948">
        <f t="shared" si="2"/>
        <v>8710000</v>
      </c>
      <c r="AD42" s="1229">
        <v>66</v>
      </c>
      <c r="AE42" s="313" t="s">
        <v>345</v>
      </c>
      <c r="AF42" s="313" t="s">
        <v>714</v>
      </c>
      <c r="AG42" s="571">
        <f t="shared" si="3"/>
        <v>179</v>
      </c>
      <c r="AH42" s="356">
        <v>12060000</v>
      </c>
      <c r="AI42" s="1207">
        <f t="shared" si="4"/>
        <v>0</v>
      </c>
      <c r="AJ42" s="1262"/>
    </row>
    <row r="43" spans="1:36" s="9" customFormat="1">
      <c r="A43" s="88" t="s">
        <v>43</v>
      </c>
      <c r="B43" s="183">
        <f t="shared" si="0"/>
        <v>0</v>
      </c>
      <c r="C43" s="84" t="s">
        <v>44</v>
      </c>
      <c r="D43" s="84" t="s">
        <v>906</v>
      </c>
      <c r="E43" s="84" t="s">
        <v>45</v>
      </c>
      <c r="F43" s="84" t="s">
        <v>365</v>
      </c>
      <c r="G43" s="89" t="s">
        <v>46</v>
      </c>
      <c r="H43" s="1229">
        <v>70</v>
      </c>
      <c r="I43" s="182">
        <v>0</v>
      </c>
      <c r="J43" s="535"/>
      <c r="K43" s="117"/>
      <c r="L43" s="160"/>
      <c r="M43" s="117"/>
      <c r="N43" s="513"/>
      <c r="O43" s="263"/>
      <c r="P43" s="514"/>
      <c r="Q43" s="514"/>
      <c r="R43" s="188"/>
      <c r="S43" s="514"/>
      <c r="T43" s="514"/>
      <c r="U43" s="514"/>
      <c r="V43" s="514"/>
      <c r="W43" s="515"/>
      <c r="X43" s="188"/>
      <c r="Y43" s="514"/>
      <c r="Z43" s="514"/>
      <c r="AA43" s="514"/>
      <c r="AB43" s="941">
        <f t="shared" si="1"/>
        <v>0</v>
      </c>
      <c r="AC43" s="948">
        <f t="shared" si="2"/>
        <v>0</v>
      </c>
      <c r="AD43" s="1229">
        <v>70</v>
      </c>
      <c r="AE43" s="313" t="s">
        <v>347</v>
      </c>
      <c r="AF43" s="313" t="s">
        <v>188</v>
      </c>
      <c r="AG43" s="571">
        <f t="shared" si="3"/>
        <v>0</v>
      </c>
      <c r="AH43" s="356">
        <v>40000000</v>
      </c>
      <c r="AI43" s="1207">
        <f t="shared" si="4"/>
        <v>40000000</v>
      </c>
      <c r="AJ43" s="1262"/>
    </row>
    <row r="44" spans="1:36" s="9" customFormat="1">
      <c r="A44" s="88" t="s">
        <v>43</v>
      </c>
      <c r="B44" s="183">
        <f t="shared" si="0"/>
        <v>19860000</v>
      </c>
      <c r="C44" s="84" t="s">
        <v>44</v>
      </c>
      <c r="D44" s="84" t="s">
        <v>906</v>
      </c>
      <c r="E44" s="84" t="s">
        <v>45</v>
      </c>
      <c r="F44" s="84" t="s">
        <v>365</v>
      </c>
      <c r="G44" s="89" t="s">
        <v>46</v>
      </c>
      <c r="H44" s="1229">
        <v>74</v>
      </c>
      <c r="I44" s="182">
        <v>0</v>
      </c>
      <c r="J44" s="535"/>
      <c r="K44" s="117">
        <v>248</v>
      </c>
      <c r="L44" s="160">
        <v>19860000</v>
      </c>
      <c r="M44" s="117">
        <v>243</v>
      </c>
      <c r="N44" s="185">
        <f>VLOOKUP(M44,[4]RP!J$194:V$247,13,0)</f>
        <v>19860000</v>
      </c>
      <c r="O44" s="263">
        <v>228</v>
      </c>
      <c r="P44" s="514"/>
      <c r="Q44" s="514"/>
      <c r="R44" s="188">
        <v>5516667</v>
      </c>
      <c r="S44" s="514"/>
      <c r="T44" s="514"/>
      <c r="U44" s="514"/>
      <c r="V44" s="514"/>
      <c r="W44" s="515"/>
      <c r="X44" s="188"/>
      <c r="Y44" s="514"/>
      <c r="Z44" s="514"/>
      <c r="AA44" s="514"/>
      <c r="AB44" s="941">
        <f t="shared" si="1"/>
        <v>5516667</v>
      </c>
      <c r="AC44" s="948">
        <f t="shared" si="2"/>
        <v>14343333</v>
      </c>
      <c r="AD44" s="1229">
        <v>74</v>
      </c>
      <c r="AE44" s="313" t="s">
        <v>348</v>
      </c>
      <c r="AF44" s="313" t="s">
        <v>713</v>
      </c>
      <c r="AG44" s="571">
        <f t="shared" si="3"/>
        <v>228</v>
      </c>
      <c r="AH44" s="356">
        <v>72820000</v>
      </c>
      <c r="AI44" s="1207">
        <f t="shared" si="4"/>
        <v>52960000</v>
      </c>
      <c r="AJ44" s="1262"/>
    </row>
    <row r="45" spans="1:36" s="9" customFormat="1">
      <c r="A45" s="88" t="s">
        <v>43</v>
      </c>
      <c r="B45" s="183">
        <f t="shared" si="0"/>
        <v>16380000</v>
      </c>
      <c r="C45" s="84" t="s">
        <v>44</v>
      </c>
      <c r="D45" s="84" t="s">
        <v>906</v>
      </c>
      <c r="E45" s="84" t="s">
        <v>45</v>
      </c>
      <c r="F45" s="84" t="s">
        <v>365</v>
      </c>
      <c r="G45" s="89" t="s">
        <v>46</v>
      </c>
      <c r="H45" s="1229">
        <v>75</v>
      </c>
      <c r="I45" s="182">
        <v>0</v>
      </c>
      <c r="J45" s="535"/>
      <c r="K45" s="117">
        <v>249</v>
      </c>
      <c r="L45" s="160">
        <v>16380000</v>
      </c>
      <c r="M45" s="117">
        <v>239</v>
      </c>
      <c r="N45" s="185">
        <f>VLOOKUP(M45,[4]RP!J$194:V$247,13,0)</f>
        <v>16380000</v>
      </c>
      <c r="O45" s="263">
        <v>214</v>
      </c>
      <c r="P45" s="514"/>
      <c r="Q45" s="514"/>
      <c r="R45" s="188">
        <v>4550000</v>
      </c>
      <c r="S45" s="514"/>
      <c r="T45" s="514"/>
      <c r="U45" s="514"/>
      <c r="V45" s="514"/>
      <c r="W45" s="515"/>
      <c r="X45" s="188"/>
      <c r="Y45" s="514"/>
      <c r="Z45" s="514"/>
      <c r="AA45" s="514"/>
      <c r="AB45" s="941">
        <f t="shared" si="1"/>
        <v>4550000</v>
      </c>
      <c r="AC45" s="948">
        <f t="shared" si="2"/>
        <v>11830000</v>
      </c>
      <c r="AD45" s="1229">
        <v>75</v>
      </c>
      <c r="AE45" s="313" t="s">
        <v>349</v>
      </c>
      <c r="AF45" s="313" t="s">
        <v>712</v>
      </c>
      <c r="AG45" s="571">
        <f t="shared" si="3"/>
        <v>214</v>
      </c>
      <c r="AH45" s="356">
        <v>60060000</v>
      </c>
      <c r="AI45" s="1207">
        <f t="shared" si="4"/>
        <v>43680000</v>
      </c>
      <c r="AJ45" s="1262"/>
    </row>
    <row r="46" spans="1:36" s="9" customFormat="1">
      <c r="A46" s="88" t="s">
        <v>43</v>
      </c>
      <c r="B46" s="183">
        <f t="shared" si="0"/>
        <v>0</v>
      </c>
      <c r="C46" s="84" t="s">
        <v>44</v>
      </c>
      <c r="D46" s="84" t="s">
        <v>906</v>
      </c>
      <c r="E46" s="84" t="s">
        <v>45</v>
      </c>
      <c r="F46" s="84" t="s">
        <v>365</v>
      </c>
      <c r="G46" s="89" t="s">
        <v>46</v>
      </c>
      <c r="H46" s="1229">
        <v>76</v>
      </c>
      <c r="I46" s="182">
        <v>0</v>
      </c>
      <c r="J46" s="535"/>
      <c r="K46" s="117"/>
      <c r="L46" s="160"/>
      <c r="M46" s="117"/>
      <c r="N46" s="513"/>
      <c r="O46" s="263"/>
      <c r="P46" s="514"/>
      <c r="Q46" s="514"/>
      <c r="R46" s="188"/>
      <c r="S46" s="514"/>
      <c r="T46" s="514"/>
      <c r="U46" s="514"/>
      <c r="V46" s="514"/>
      <c r="W46" s="515"/>
      <c r="X46" s="188"/>
      <c r="Y46" s="514"/>
      <c r="Z46" s="514"/>
      <c r="AA46" s="514"/>
      <c r="AB46" s="941">
        <f t="shared" si="1"/>
        <v>0</v>
      </c>
      <c r="AC46" s="948">
        <f t="shared" si="2"/>
        <v>0</v>
      </c>
      <c r="AD46" s="1229">
        <v>76</v>
      </c>
      <c r="AE46" s="313" t="s">
        <v>345</v>
      </c>
      <c r="AF46" s="313" t="s">
        <v>188</v>
      </c>
      <c r="AG46" s="571">
        <f t="shared" si="3"/>
        <v>0</v>
      </c>
      <c r="AH46" s="356">
        <f>6420000-6420000</f>
        <v>0</v>
      </c>
      <c r="AI46" s="1207">
        <f t="shared" si="4"/>
        <v>0</v>
      </c>
      <c r="AJ46" s="1262"/>
    </row>
    <row r="47" spans="1:36" s="9" customFormat="1">
      <c r="A47" s="88" t="s">
        <v>43</v>
      </c>
      <c r="B47" s="183">
        <f t="shared" si="0"/>
        <v>16080000</v>
      </c>
      <c r="C47" s="84" t="s">
        <v>44</v>
      </c>
      <c r="D47" s="84" t="s">
        <v>906</v>
      </c>
      <c r="E47" s="84" t="s">
        <v>45</v>
      </c>
      <c r="F47" s="84" t="s">
        <v>365</v>
      </c>
      <c r="G47" s="89" t="s">
        <v>46</v>
      </c>
      <c r="H47" s="1229">
        <v>78</v>
      </c>
      <c r="I47" s="182">
        <v>0</v>
      </c>
      <c r="J47" s="535"/>
      <c r="K47" s="117">
        <v>179</v>
      </c>
      <c r="L47" s="160">
        <v>16080000</v>
      </c>
      <c r="M47" s="117">
        <v>229</v>
      </c>
      <c r="N47" s="185">
        <f>VLOOKUP(M47,[4]RP!J$194:V$247,13,0)</f>
        <v>16080000</v>
      </c>
      <c r="O47" s="263">
        <v>174</v>
      </c>
      <c r="P47" s="514"/>
      <c r="Q47" s="514"/>
      <c r="R47" s="188">
        <v>4466667</v>
      </c>
      <c r="S47" s="514"/>
      <c r="T47" s="514"/>
      <c r="U47" s="514"/>
      <c r="V47" s="514"/>
      <c r="W47" s="515"/>
      <c r="X47" s="188"/>
      <c r="Y47" s="514"/>
      <c r="Z47" s="514"/>
      <c r="AA47" s="514"/>
      <c r="AB47" s="941">
        <f t="shared" si="1"/>
        <v>4466667</v>
      </c>
      <c r="AC47" s="948">
        <f t="shared" si="2"/>
        <v>11613333</v>
      </c>
      <c r="AD47" s="1229">
        <v>78</v>
      </c>
      <c r="AE47" s="313" t="s">
        <v>350</v>
      </c>
      <c r="AF47" s="313" t="s">
        <v>711</v>
      </c>
      <c r="AG47" s="571">
        <f t="shared" si="3"/>
        <v>174</v>
      </c>
      <c r="AH47" s="356">
        <v>16080000</v>
      </c>
      <c r="AI47" s="1207">
        <f t="shared" si="4"/>
        <v>0</v>
      </c>
      <c r="AJ47" s="1262"/>
    </row>
    <row r="48" spans="1:36" s="9" customFormat="1">
      <c r="A48" s="88" t="s">
        <v>43</v>
      </c>
      <c r="B48" s="183">
        <f t="shared" si="0"/>
        <v>0</v>
      </c>
      <c r="C48" s="84" t="s">
        <v>44</v>
      </c>
      <c r="D48" s="84" t="s">
        <v>906</v>
      </c>
      <c r="E48" s="84" t="s">
        <v>45</v>
      </c>
      <c r="F48" s="84" t="s">
        <v>365</v>
      </c>
      <c r="G48" s="89" t="s">
        <v>46</v>
      </c>
      <c r="H48" s="1229">
        <v>79</v>
      </c>
      <c r="I48" s="182">
        <v>0</v>
      </c>
      <c r="J48" s="535"/>
      <c r="K48" s="117"/>
      <c r="L48" s="160"/>
      <c r="M48" s="117"/>
      <c r="N48" s="513"/>
      <c r="O48" s="263"/>
      <c r="P48" s="514"/>
      <c r="Q48" s="514"/>
      <c r="R48" s="188"/>
      <c r="S48" s="514"/>
      <c r="T48" s="514"/>
      <c r="U48" s="514"/>
      <c r="V48" s="514"/>
      <c r="W48" s="515"/>
      <c r="X48" s="188"/>
      <c r="Y48" s="514"/>
      <c r="Z48" s="514"/>
      <c r="AA48" s="514"/>
      <c r="AB48" s="941">
        <f t="shared" si="1"/>
        <v>0</v>
      </c>
      <c r="AC48" s="948">
        <f t="shared" si="2"/>
        <v>0</v>
      </c>
      <c r="AD48" s="1229">
        <v>79</v>
      </c>
      <c r="AE48" s="313" t="s">
        <v>351</v>
      </c>
      <c r="AF48" s="313" t="s">
        <v>188</v>
      </c>
      <c r="AG48" s="571">
        <f t="shared" si="3"/>
        <v>0</v>
      </c>
      <c r="AH48" s="356">
        <f>7000000-2810000</f>
        <v>4190000</v>
      </c>
      <c r="AI48" s="1207">
        <f t="shared" si="4"/>
        <v>4190000</v>
      </c>
      <c r="AJ48" s="1262"/>
    </row>
    <row r="49" spans="1:36" s="9" customFormat="1">
      <c r="A49" s="88" t="s">
        <v>43</v>
      </c>
      <c r="B49" s="183">
        <f t="shared" si="0"/>
        <v>17880000</v>
      </c>
      <c r="C49" s="84" t="s">
        <v>44</v>
      </c>
      <c r="D49" s="84" t="s">
        <v>906</v>
      </c>
      <c r="E49" s="84" t="s">
        <v>45</v>
      </c>
      <c r="F49" s="84" t="s">
        <v>365</v>
      </c>
      <c r="G49" s="89" t="s">
        <v>46</v>
      </c>
      <c r="H49" s="1229">
        <v>80</v>
      </c>
      <c r="I49" s="182">
        <v>0</v>
      </c>
      <c r="J49" s="535"/>
      <c r="K49" s="117">
        <v>89</v>
      </c>
      <c r="L49" s="160">
        <v>17880000</v>
      </c>
      <c r="M49" s="117">
        <v>111</v>
      </c>
      <c r="N49" s="185">
        <v>17880000</v>
      </c>
      <c r="O49" s="263">
        <v>84</v>
      </c>
      <c r="P49" s="514"/>
      <c r="Q49" s="188">
        <v>1192000</v>
      </c>
      <c r="R49" s="188">
        <v>5960000</v>
      </c>
      <c r="S49" s="514"/>
      <c r="T49" s="514"/>
      <c r="U49" s="514"/>
      <c r="V49" s="514"/>
      <c r="W49" s="515"/>
      <c r="X49" s="188"/>
      <c r="Y49" s="514"/>
      <c r="Z49" s="514"/>
      <c r="AA49" s="514"/>
      <c r="AB49" s="941">
        <f t="shared" si="1"/>
        <v>7152000</v>
      </c>
      <c r="AC49" s="948">
        <f t="shared" si="2"/>
        <v>10728000</v>
      </c>
      <c r="AD49" s="1229">
        <v>80</v>
      </c>
      <c r="AE49" s="313" t="s">
        <v>352</v>
      </c>
      <c r="AF49" s="313" t="s">
        <v>709</v>
      </c>
      <c r="AG49" s="571">
        <f t="shared" si="3"/>
        <v>84</v>
      </c>
      <c r="AH49" s="356">
        <v>65560000</v>
      </c>
      <c r="AI49" s="1207">
        <f t="shared" si="4"/>
        <v>47680000</v>
      </c>
      <c r="AJ49" s="1262"/>
    </row>
    <row r="50" spans="1:36" s="9" customFormat="1">
      <c r="A50" s="88" t="s">
        <v>43</v>
      </c>
      <c r="B50" s="183">
        <f t="shared" si="0"/>
        <v>7500000</v>
      </c>
      <c r="C50" s="84" t="s">
        <v>44</v>
      </c>
      <c r="D50" s="84" t="s">
        <v>906</v>
      </c>
      <c r="E50" s="84" t="s">
        <v>45</v>
      </c>
      <c r="F50" s="84" t="s">
        <v>365</v>
      </c>
      <c r="G50" s="89" t="s">
        <v>46</v>
      </c>
      <c r="H50" s="1229">
        <v>81</v>
      </c>
      <c r="I50" s="182">
        <v>0</v>
      </c>
      <c r="J50" s="535"/>
      <c r="K50" s="117">
        <v>180</v>
      </c>
      <c r="L50" s="160">
        <v>7500000</v>
      </c>
      <c r="M50" s="117">
        <v>179</v>
      </c>
      <c r="N50" s="185">
        <v>7500000</v>
      </c>
      <c r="O50" s="263">
        <v>156</v>
      </c>
      <c r="P50" s="514"/>
      <c r="Q50" s="188"/>
      <c r="R50" s="188">
        <v>2583333</v>
      </c>
      <c r="S50" s="514"/>
      <c r="T50" s="514"/>
      <c r="U50" s="514"/>
      <c r="V50" s="514"/>
      <c r="W50" s="515"/>
      <c r="X50" s="188"/>
      <c r="Y50" s="514"/>
      <c r="Z50" s="514"/>
      <c r="AA50" s="514"/>
      <c r="AB50" s="941">
        <f t="shared" si="1"/>
        <v>2583333</v>
      </c>
      <c r="AC50" s="948">
        <f t="shared" si="2"/>
        <v>4916667</v>
      </c>
      <c r="AD50" s="1229">
        <v>81</v>
      </c>
      <c r="AE50" s="313" t="s">
        <v>353</v>
      </c>
      <c r="AF50" s="313" t="s">
        <v>710</v>
      </c>
      <c r="AG50" s="571">
        <f t="shared" si="3"/>
        <v>156</v>
      </c>
      <c r="AH50" s="356">
        <v>27500000</v>
      </c>
      <c r="AI50" s="1207">
        <f t="shared" si="4"/>
        <v>20000000</v>
      </c>
      <c r="AJ50" s="1262"/>
    </row>
    <row r="51" spans="1:36" s="9" customFormat="1">
      <c r="A51" s="88" t="s">
        <v>43</v>
      </c>
      <c r="B51" s="183">
        <f t="shared" si="0"/>
        <v>11460000</v>
      </c>
      <c r="C51" s="84" t="s">
        <v>44</v>
      </c>
      <c r="D51" s="84" t="s">
        <v>906</v>
      </c>
      <c r="E51" s="84" t="s">
        <v>45</v>
      </c>
      <c r="F51" s="84" t="s">
        <v>365</v>
      </c>
      <c r="G51" s="89" t="s">
        <v>46</v>
      </c>
      <c r="H51" s="1229">
        <v>82</v>
      </c>
      <c r="I51" s="182">
        <v>0</v>
      </c>
      <c r="J51" s="535"/>
      <c r="K51" s="117">
        <v>244</v>
      </c>
      <c r="L51" s="160">
        <v>11460000</v>
      </c>
      <c r="M51" s="117">
        <v>270</v>
      </c>
      <c r="N51" s="185">
        <f>VLOOKUP(M51,[4]RP!J$194:V$247,13,0)</f>
        <v>11460000</v>
      </c>
      <c r="O51" s="263">
        <v>229</v>
      </c>
      <c r="P51" s="514"/>
      <c r="Q51" s="514"/>
      <c r="R51" s="188">
        <v>2546667</v>
      </c>
      <c r="S51" s="514"/>
      <c r="T51" s="514"/>
      <c r="U51" s="514"/>
      <c r="V51" s="514"/>
      <c r="W51" s="515"/>
      <c r="X51" s="188"/>
      <c r="Y51" s="514"/>
      <c r="Z51" s="514"/>
      <c r="AA51" s="514"/>
      <c r="AB51" s="941">
        <f t="shared" si="1"/>
        <v>2546667</v>
      </c>
      <c r="AC51" s="948">
        <f t="shared" si="2"/>
        <v>8913333</v>
      </c>
      <c r="AD51" s="1229">
        <v>82</v>
      </c>
      <c r="AE51" s="313" t="s">
        <v>354</v>
      </c>
      <c r="AF51" s="313" t="s">
        <v>708</v>
      </c>
      <c r="AG51" s="571">
        <f t="shared" si="3"/>
        <v>229</v>
      </c>
      <c r="AH51" s="356">
        <v>42020000</v>
      </c>
      <c r="AI51" s="1207">
        <f t="shared" si="4"/>
        <v>30560000</v>
      </c>
      <c r="AJ51" s="1262"/>
    </row>
    <row r="52" spans="1:36" s="9" customFormat="1">
      <c r="A52" s="88" t="s">
        <v>43</v>
      </c>
      <c r="B52" s="183">
        <f t="shared" si="0"/>
        <v>38000000</v>
      </c>
      <c r="C52" s="84" t="s">
        <v>44</v>
      </c>
      <c r="D52" s="84" t="s">
        <v>906</v>
      </c>
      <c r="E52" s="84" t="s">
        <v>45</v>
      </c>
      <c r="F52" s="84" t="s">
        <v>365</v>
      </c>
      <c r="G52" s="89" t="s">
        <v>46</v>
      </c>
      <c r="H52" s="1229">
        <v>84</v>
      </c>
      <c r="I52" s="182">
        <v>0</v>
      </c>
      <c r="J52" s="535"/>
      <c r="K52" s="117">
        <v>404</v>
      </c>
      <c r="L52" s="160">
        <v>38000000</v>
      </c>
      <c r="M52" s="117"/>
      <c r="N52" s="513"/>
      <c r="O52" s="263"/>
      <c r="P52" s="514"/>
      <c r="Q52" s="514"/>
      <c r="R52" s="188"/>
      <c r="S52" s="514"/>
      <c r="T52" s="514"/>
      <c r="U52" s="514"/>
      <c r="V52" s="514"/>
      <c r="W52" s="515"/>
      <c r="X52" s="188"/>
      <c r="Y52" s="514"/>
      <c r="Z52" s="514"/>
      <c r="AA52" s="514"/>
      <c r="AB52" s="941">
        <f t="shared" si="1"/>
        <v>0</v>
      </c>
      <c r="AC52" s="948">
        <f t="shared" si="2"/>
        <v>0</v>
      </c>
      <c r="AD52" s="1259">
        <v>84</v>
      </c>
      <c r="AE52" s="313" t="s">
        <v>355</v>
      </c>
      <c r="AF52" s="313" t="s">
        <v>188</v>
      </c>
      <c r="AG52" s="571">
        <f t="shared" si="3"/>
        <v>0</v>
      </c>
      <c r="AH52" s="483">
        <f>2000000000-200000000-67500000-150000000-38000000</f>
        <v>1544500000</v>
      </c>
      <c r="AI52" s="1207">
        <f t="shared" si="4"/>
        <v>1544500000</v>
      </c>
      <c r="AJ52" s="1262"/>
    </row>
    <row r="53" spans="1:36" s="9" customFormat="1">
      <c r="A53" s="88" t="s">
        <v>43</v>
      </c>
      <c r="B53" s="183">
        <f t="shared" si="0"/>
        <v>17698331</v>
      </c>
      <c r="C53" s="84" t="s">
        <v>44</v>
      </c>
      <c r="D53" s="84" t="s">
        <v>906</v>
      </c>
      <c r="E53" s="84" t="s">
        <v>45</v>
      </c>
      <c r="F53" s="84" t="s">
        <v>365</v>
      </c>
      <c r="G53" s="89" t="s">
        <v>46</v>
      </c>
      <c r="H53" s="1229">
        <v>89</v>
      </c>
      <c r="I53" s="182">
        <v>0</v>
      </c>
      <c r="J53" s="535"/>
      <c r="K53" s="117">
        <v>294</v>
      </c>
      <c r="L53" s="160">
        <v>17698331</v>
      </c>
      <c r="M53" s="117">
        <v>355</v>
      </c>
      <c r="N53" s="513">
        <v>14470714</v>
      </c>
      <c r="O53" s="263">
        <v>286</v>
      </c>
      <c r="P53" s="514"/>
      <c r="Q53" s="514"/>
      <c r="R53" s="188"/>
      <c r="S53" s="514"/>
      <c r="T53" s="514"/>
      <c r="U53" s="514"/>
      <c r="V53" s="514"/>
      <c r="W53" s="515"/>
      <c r="X53" s="188"/>
      <c r="Y53" s="514"/>
      <c r="Z53" s="514"/>
      <c r="AA53" s="514"/>
      <c r="AB53" s="941">
        <f t="shared" si="1"/>
        <v>0</v>
      </c>
      <c r="AC53" s="948">
        <f t="shared" si="2"/>
        <v>14470714</v>
      </c>
      <c r="AD53" s="1229">
        <v>89</v>
      </c>
      <c r="AE53" s="313" t="s">
        <v>356</v>
      </c>
      <c r="AF53" s="313" t="s">
        <v>860</v>
      </c>
      <c r="AG53" s="571">
        <f t="shared" si="3"/>
        <v>286</v>
      </c>
      <c r="AH53" s="356">
        <v>25000000</v>
      </c>
      <c r="AI53" s="1207">
        <f t="shared" si="4"/>
        <v>10529286</v>
      </c>
      <c r="AJ53" s="1262"/>
    </row>
    <row r="54" spans="1:36" s="9" customFormat="1">
      <c r="A54" s="88" t="s">
        <v>43</v>
      </c>
      <c r="B54" s="183">
        <f t="shared" si="0"/>
        <v>7079333</v>
      </c>
      <c r="C54" s="84" t="s">
        <v>44</v>
      </c>
      <c r="D54" s="84" t="s">
        <v>906</v>
      </c>
      <c r="E54" s="84" t="s">
        <v>45</v>
      </c>
      <c r="F54" s="84" t="s">
        <v>365</v>
      </c>
      <c r="G54" s="89" t="s">
        <v>46</v>
      </c>
      <c r="H54" s="1229">
        <v>101</v>
      </c>
      <c r="I54" s="182">
        <v>0</v>
      </c>
      <c r="J54" s="535"/>
      <c r="K54" s="117">
        <v>293</v>
      </c>
      <c r="L54" s="160">
        <v>7079333</v>
      </c>
      <c r="M54" s="117">
        <v>354</v>
      </c>
      <c r="N54" s="513">
        <v>5788286</v>
      </c>
      <c r="O54" s="263">
        <v>286</v>
      </c>
      <c r="P54" s="514"/>
      <c r="Q54" s="514"/>
      <c r="R54" s="188"/>
      <c r="S54" s="514"/>
      <c r="T54" s="514"/>
      <c r="U54" s="514"/>
      <c r="V54" s="514"/>
      <c r="W54" s="515"/>
      <c r="X54" s="188"/>
      <c r="Y54" s="514"/>
      <c r="Z54" s="514"/>
      <c r="AA54" s="514"/>
      <c r="AB54" s="941">
        <f>SUM(P54:AA54)</f>
        <v>0</v>
      </c>
      <c r="AC54" s="948">
        <f>N54-AB54</f>
        <v>5788286</v>
      </c>
      <c r="AD54" s="1229">
        <v>101</v>
      </c>
      <c r="AE54" s="313" t="s">
        <v>356</v>
      </c>
      <c r="AF54" s="313" t="s">
        <v>860</v>
      </c>
      <c r="AG54" s="571">
        <f>O54</f>
        <v>286</v>
      </c>
      <c r="AH54" s="356">
        <v>10000000</v>
      </c>
      <c r="AI54" s="1207">
        <f>AH54-N54</f>
        <v>4211714</v>
      </c>
      <c r="AJ54" s="1262"/>
    </row>
    <row r="55" spans="1:36" s="9" customFormat="1">
      <c r="A55" s="88" t="s">
        <v>43</v>
      </c>
      <c r="B55" s="183">
        <f t="shared" si="0"/>
        <v>8160000</v>
      </c>
      <c r="C55" s="84" t="s">
        <v>44</v>
      </c>
      <c r="D55" s="84" t="s">
        <v>906</v>
      </c>
      <c r="E55" s="84" t="s">
        <v>45</v>
      </c>
      <c r="F55" s="84" t="s">
        <v>365</v>
      </c>
      <c r="G55" s="89" t="s">
        <v>46</v>
      </c>
      <c r="H55" s="1229">
        <v>95</v>
      </c>
      <c r="I55" s="182">
        <v>0</v>
      </c>
      <c r="J55" s="535"/>
      <c r="K55" s="117">
        <v>160</v>
      </c>
      <c r="L55" s="160">
        <v>8160000</v>
      </c>
      <c r="M55" s="117">
        <v>189</v>
      </c>
      <c r="N55" s="185">
        <v>8160000</v>
      </c>
      <c r="O55" s="263">
        <v>153</v>
      </c>
      <c r="P55" s="514"/>
      <c r="Q55" s="188"/>
      <c r="R55" s="188">
        <v>2720000</v>
      </c>
      <c r="S55" s="514"/>
      <c r="T55" s="514"/>
      <c r="U55" s="514"/>
      <c r="V55" s="514"/>
      <c r="W55" s="515"/>
      <c r="X55" s="188"/>
      <c r="Y55" s="514"/>
      <c r="Z55" s="514"/>
      <c r="AA55" s="514"/>
      <c r="AB55" s="941">
        <f t="shared" si="1"/>
        <v>2720000</v>
      </c>
      <c r="AC55" s="948">
        <f t="shared" si="2"/>
        <v>5440000</v>
      </c>
      <c r="AD55" s="1229">
        <v>95</v>
      </c>
      <c r="AE55" s="313" t="s">
        <v>357</v>
      </c>
      <c r="AF55" s="313" t="str">
        <f>VLOOKUP(M55,[3]Hoja2!J$141:N$168,5,0)</f>
        <v>HECTOR CAMILO GOMEZ CAMARGO</v>
      </c>
      <c r="AG55" s="571">
        <f t="shared" si="3"/>
        <v>153</v>
      </c>
      <c r="AH55" s="356">
        <v>22400000</v>
      </c>
      <c r="AI55" s="1207">
        <f t="shared" si="4"/>
        <v>14240000</v>
      </c>
      <c r="AJ55" s="1262"/>
    </row>
    <row r="56" spans="1:36" s="9" customFormat="1">
      <c r="A56" s="88" t="s">
        <v>43</v>
      </c>
      <c r="B56" s="183">
        <f t="shared" si="0"/>
        <v>12000000</v>
      </c>
      <c r="C56" s="84" t="s">
        <v>44</v>
      </c>
      <c r="D56" s="84" t="s">
        <v>906</v>
      </c>
      <c r="E56" s="84" t="s">
        <v>45</v>
      </c>
      <c r="F56" s="84" t="s">
        <v>365</v>
      </c>
      <c r="G56" s="89" t="s">
        <v>46</v>
      </c>
      <c r="H56" s="1229">
        <v>96</v>
      </c>
      <c r="I56" s="182">
        <v>0</v>
      </c>
      <c r="J56" s="535"/>
      <c r="K56" s="117">
        <v>359</v>
      </c>
      <c r="L56" s="160">
        <v>12000000</v>
      </c>
      <c r="M56" s="117">
        <v>402</v>
      </c>
      <c r="N56" s="513">
        <v>12000000</v>
      </c>
      <c r="O56" s="263">
        <v>306</v>
      </c>
      <c r="P56" s="514"/>
      <c r="Q56" s="514"/>
      <c r="R56" s="188"/>
      <c r="S56" s="514"/>
      <c r="T56" s="514"/>
      <c r="U56" s="514"/>
      <c r="V56" s="514"/>
      <c r="W56" s="515"/>
      <c r="X56" s="188"/>
      <c r="Y56" s="514"/>
      <c r="Z56" s="514"/>
      <c r="AA56" s="514"/>
      <c r="AB56" s="941">
        <f t="shared" si="1"/>
        <v>0</v>
      </c>
      <c r="AC56" s="948">
        <f t="shared" si="2"/>
        <v>12000000</v>
      </c>
      <c r="AD56" s="1229">
        <v>96</v>
      </c>
      <c r="AE56" s="313" t="s">
        <v>826</v>
      </c>
      <c r="AF56" s="313" t="s">
        <v>898</v>
      </c>
      <c r="AG56" s="571">
        <f t="shared" si="3"/>
        <v>306</v>
      </c>
      <c r="AH56" s="356">
        <f>8000000+4000000</f>
        <v>12000000</v>
      </c>
      <c r="AI56" s="1207">
        <f t="shared" si="4"/>
        <v>0</v>
      </c>
      <c r="AJ56" s="1262"/>
    </row>
    <row r="57" spans="1:36" s="9" customFormat="1">
      <c r="A57" s="88" t="s">
        <v>43</v>
      </c>
      <c r="B57" s="183">
        <f t="shared" si="0"/>
        <v>17880000</v>
      </c>
      <c r="C57" s="84" t="s">
        <v>44</v>
      </c>
      <c r="D57" s="84" t="s">
        <v>906</v>
      </c>
      <c r="E57" s="84" t="s">
        <v>45</v>
      </c>
      <c r="F57" s="84" t="s">
        <v>365</v>
      </c>
      <c r="G57" s="89" t="s">
        <v>46</v>
      </c>
      <c r="H57" s="1229">
        <v>97</v>
      </c>
      <c r="I57" s="182">
        <v>0</v>
      </c>
      <c r="J57" s="535"/>
      <c r="K57" s="117">
        <v>173</v>
      </c>
      <c r="L57" s="160">
        <v>17880000</v>
      </c>
      <c r="M57" s="117">
        <v>170</v>
      </c>
      <c r="N57" s="185">
        <v>17880000</v>
      </c>
      <c r="O57" s="263">
        <v>149</v>
      </c>
      <c r="P57" s="514"/>
      <c r="Q57" s="188"/>
      <c r="R57" s="188">
        <v>6158667</v>
      </c>
      <c r="S57" s="514"/>
      <c r="T57" s="514"/>
      <c r="U57" s="514"/>
      <c r="V57" s="514"/>
      <c r="W57" s="515"/>
      <c r="X57" s="188"/>
      <c r="Y57" s="514"/>
      <c r="Z57" s="514"/>
      <c r="AA57" s="514"/>
      <c r="AB57" s="941">
        <f t="shared" si="1"/>
        <v>6158667</v>
      </c>
      <c r="AC57" s="948">
        <f t="shared" si="2"/>
        <v>11721333</v>
      </c>
      <c r="AD57" s="1229">
        <v>97</v>
      </c>
      <c r="AE57" s="313" t="s">
        <v>358</v>
      </c>
      <c r="AF57" s="313" t="str">
        <f>VLOOKUP(M57,[3]Hoja2!J$141:N$168,5,0)</f>
        <v>SANDRA ESTER MENDOZA LAFAURIE</v>
      </c>
      <c r="AG57" s="571">
        <f t="shared" si="3"/>
        <v>149</v>
      </c>
      <c r="AH57" s="356">
        <v>17880000</v>
      </c>
      <c r="AI57" s="1207">
        <f t="shared" si="4"/>
        <v>0</v>
      </c>
      <c r="AJ57" s="1262"/>
    </row>
    <row r="58" spans="1:36" s="9" customFormat="1">
      <c r="A58" s="88" t="s">
        <v>43</v>
      </c>
      <c r="B58" s="183">
        <f t="shared" si="0"/>
        <v>0</v>
      </c>
      <c r="C58" s="84" t="s">
        <v>44</v>
      </c>
      <c r="D58" s="84" t="s">
        <v>906</v>
      </c>
      <c r="E58" s="84" t="s">
        <v>45</v>
      </c>
      <c r="F58" s="84" t="s">
        <v>365</v>
      </c>
      <c r="G58" s="89" t="s">
        <v>46</v>
      </c>
      <c r="H58" s="1229">
        <v>98</v>
      </c>
      <c r="I58" s="182">
        <v>0</v>
      </c>
      <c r="J58" s="535"/>
      <c r="K58" s="117"/>
      <c r="L58" s="160"/>
      <c r="M58" s="117"/>
      <c r="N58" s="513"/>
      <c r="O58" s="263"/>
      <c r="P58" s="514"/>
      <c r="Q58" s="514"/>
      <c r="R58" s="514"/>
      <c r="S58" s="514"/>
      <c r="T58" s="514"/>
      <c r="U58" s="514"/>
      <c r="V58" s="514"/>
      <c r="W58" s="515"/>
      <c r="X58" s="188"/>
      <c r="Y58" s="514"/>
      <c r="Z58" s="514"/>
      <c r="AA58" s="514"/>
      <c r="AB58" s="941">
        <f t="shared" si="1"/>
        <v>0</v>
      </c>
      <c r="AC58" s="948">
        <f t="shared" si="2"/>
        <v>0</v>
      </c>
      <c r="AD58" s="1229">
        <v>98</v>
      </c>
      <c r="AE58" s="313" t="s">
        <v>825</v>
      </c>
      <c r="AF58" s="313" t="s">
        <v>188</v>
      </c>
      <c r="AG58" s="571">
        <f t="shared" si="3"/>
        <v>0</v>
      </c>
      <c r="AH58" s="356">
        <f>40000000-17000000</f>
        <v>23000000</v>
      </c>
      <c r="AI58" s="1207">
        <f t="shared" si="4"/>
        <v>23000000</v>
      </c>
      <c r="AJ58" s="1262"/>
    </row>
    <row r="59" spans="1:36" s="9" customFormat="1">
      <c r="A59" s="88" t="s">
        <v>43</v>
      </c>
      <c r="B59" s="183">
        <f t="shared" si="0"/>
        <v>0</v>
      </c>
      <c r="C59" s="84" t="s">
        <v>44</v>
      </c>
      <c r="D59" s="84" t="s">
        <v>906</v>
      </c>
      <c r="E59" s="84" t="s">
        <v>45</v>
      </c>
      <c r="F59" s="84" t="s">
        <v>365</v>
      </c>
      <c r="G59" s="89" t="s">
        <v>46</v>
      </c>
      <c r="H59" s="1229">
        <v>105</v>
      </c>
      <c r="I59" s="182">
        <v>0</v>
      </c>
      <c r="J59" s="535"/>
      <c r="K59" s="117"/>
      <c r="L59" s="160"/>
      <c r="M59" s="117"/>
      <c r="N59" s="513"/>
      <c r="O59" s="263"/>
      <c r="P59" s="514"/>
      <c r="Q59" s="514"/>
      <c r="R59" s="514"/>
      <c r="S59" s="514"/>
      <c r="T59" s="514"/>
      <c r="U59" s="514"/>
      <c r="V59" s="514"/>
      <c r="W59" s="515"/>
      <c r="X59" s="188"/>
      <c r="Y59" s="514"/>
      <c r="Z59" s="514"/>
      <c r="AA59" s="514"/>
      <c r="AB59" s="941">
        <f t="shared" si="1"/>
        <v>0</v>
      </c>
      <c r="AC59" s="948">
        <f t="shared" si="2"/>
        <v>0</v>
      </c>
      <c r="AD59" s="1229">
        <v>105</v>
      </c>
      <c r="AE59" s="313" t="s">
        <v>359</v>
      </c>
      <c r="AF59" s="313" t="s">
        <v>188</v>
      </c>
      <c r="AG59" s="571">
        <f t="shared" si="3"/>
        <v>0</v>
      </c>
      <c r="AH59" s="356">
        <v>8000000</v>
      </c>
      <c r="AI59" s="1207">
        <f t="shared" si="4"/>
        <v>8000000</v>
      </c>
      <c r="AJ59" s="1262"/>
    </row>
    <row r="60" spans="1:36" s="9" customFormat="1">
      <c r="A60" s="88" t="s">
        <v>43</v>
      </c>
      <c r="B60" s="183">
        <f t="shared" si="0"/>
        <v>0</v>
      </c>
      <c r="C60" s="84" t="s">
        <v>44</v>
      </c>
      <c r="D60" s="84" t="s">
        <v>906</v>
      </c>
      <c r="E60" s="84" t="s">
        <v>45</v>
      </c>
      <c r="F60" s="84" t="s">
        <v>365</v>
      </c>
      <c r="G60" s="89" t="s">
        <v>46</v>
      </c>
      <c r="H60" s="1229">
        <v>106</v>
      </c>
      <c r="I60" s="182">
        <v>0</v>
      </c>
      <c r="J60" s="535"/>
      <c r="K60" s="117"/>
      <c r="L60" s="160"/>
      <c r="M60" s="117"/>
      <c r="N60" s="513"/>
      <c r="O60" s="263"/>
      <c r="P60" s="514"/>
      <c r="Q60" s="514"/>
      <c r="R60" s="514"/>
      <c r="S60" s="514"/>
      <c r="T60" s="514"/>
      <c r="U60" s="514"/>
      <c r="V60" s="514"/>
      <c r="W60" s="515"/>
      <c r="X60" s="188"/>
      <c r="Y60" s="514"/>
      <c r="Z60" s="514"/>
      <c r="AA60" s="514"/>
      <c r="AB60" s="941">
        <f t="shared" si="1"/>
        <v>0</v>
      </c>
      <c r="AC60" s="948">
        <f t="shared" si="2"/>
        <v>0</v>
      </c>
      <c r="AD60" s="1229">
        <v>106</v>
      </c>
      <c r="AE60" s="313" t="s">
        <v>360</v>
      </c>
      <c r="AF60" s="313" t="s">
        <v>188</v>
      </c>
      <c r="AG60" s="571">
        <f t="shared" si="3"/>
        <v>0</v>
      </c>
      <c r="AH60" s="356">
        <v>40000000</v>
      </c>
      <c r="AI60" s="1207">
        <f t="shared" si="4"/>
        <v>40000000</v>
      </c>
      <c r="AJ60" s="1262"/>
    </row>
    <row r="61" spans="1:36" s="9" customFormat="1">
      <c r="A61" s="88" t="s">
        <v>43</v>
      </c>
      <c r="B61" s="183">
        <f t="shared" si="0"/>
        <v>26495645</v>
      </c>
      <c r="C61" s="84" t="s">
        <v>44</v>
      </c>
      <c r="D61" s="84" t="s">
        <v>906</v>
      </c>
      <c r="E61" s="84" t="s">
        <v>45</v>
      </c>
      <c r="F61" s="84" t="s">
        <v>365</v>
      </c>
      <c r="G61" s="89" t="s">
        <v>46</v>
      </c>
      <c r="H61" s="1229">
        <v>107</v>
      </c>
      <c r="I61" s="182">
        <v>0</v>
      </c>
      <c r="J61" s="535"/>
      <c r="K61" s="117">
        <v>334</v>
      </c>
      <c r="L61" s="160">
        <v>26495645</v>
      </c>
      <c r="M61" s="117"/>
      <c r="N61" s="513"/>
      <c r="O61" s="263"/>
      <c r="P61" s="514"/>
      <c r="Q61" s="514"/>
      <c r="R61" s="514"/>
      <c r="S61" s="514"/>
      <c r="T61" s="514"/>
      <c r="U61" s="514"/>
      <c r="V61" s="514"/>
      <c r="W61" s="515"/>
      <c r="X61" s="188"/>
      <c r="Y61" s="514"/>
      <c r="Z61" s="514"/>
      <c r="AA61" s="514"/>
      <c r="AB61" s="941">
        <f t="shared" si="1"/>
        <v>0</v>
      </c>
      <c r="AC61" s="948">
        <f t="shared" si="2"/>
        <v>0</v>
      </c>
      <c r="AD61" s="1229">
        <v>107</v>
      </c>
      <c r="AE61" s="313" t="s">
        <v>361</v>
      </c>
      <c r="AF61" s="313" t="s">
        <v>188</v>
      </c>
      <c r="AG61" s="571">
        <f t="shared" si="3"/>
        <v>0</v>
      </c>
      <c r="AH61" s="356">
        <v>30000000</v>
      </c>
      <c r="AI61" s="1207">
        <f t="shared" si="4"/>
        <v>30000000</v>
      </c>
      <c r="AJ61" s="1262"/>
    </row>
    <row r="62" spans="1:36" s="9" customFormat="1">
      <c r="A62" s="88" t="s">
        <v>43</v>
      </c>
      <c r="B62" s="183">
        <f t="shared" si="0"/>
        <v>0</v>
      </c>
      <c r="C62" s="84" t="s">
        <v>44</v>
      </c>
      <c r="D62" s="84" t="s">
        <v>906</v>
      </c>
      <c r="E62" s="84" t="s">
        <v>45</v>
      </c>
      <c r="F62" s="84" t="s">
        <v>365</v>
      </c>
      <c r="G62" s="89" t="s">
        <v>46</v>
      </c>
      <c r="H62" s="1229">
        <v>112</v>
      </c>
      <c r="I62" s="182">
        <v>0</v>
      </c>
      <c r="J62" s="535"/>
      <c r="K62" s="117"/>
      <c r="L62" s="160"/>
      <c r="M62" s="117"/>
      <c r="N62" s="513"/>
      <c r="O62" s="263"/>
      <c r="P62" s="514"/>
      <c r="Q62" s="514"/>
      <c r="R62" s="514"/>
      <c r="S62" s="514"/>
      <c r="T62" s="514"/>
      <c r="U62" s="514"/>
      <c r="V62" s="514"/>
      <c r="W62" s="515"/>
      <c r="X62" s="188"/>
      <c r="Y62" s="514"/>
      <c r="Z62" s="514"/>
      <c r="AA62" s="514"/>
      <c r="AB62" s="941">
        <f t="shared" si="1"/>
        <v>0</v>
      </c>
      <c r="AC62" s="948">
        <f t="shared" si="2"/>
        <v>0</v>
      </c>
      <c r="AD62" s="1229">
        <v>112</v>
      </c>
      <c r="AE62" s="313" t="s">
        <v>362</v>
      </c>
      <c r="AF62" s="313" t="s">
        <v>188</v>
      </c>
      <c r="AG62" s="571">
        <f t="shared" si="3"/>
        <v>0</v>
      </c>
      <c r="AH62" s="356">
        <v>9000000</v>
      </c>
      <c r="AI62" s="1207">
        <f t="shared" si="4"/>
        <v>9000000</v>
      </c>
      <c r="AJ62" s="1262"/>
    </row>
    <row r="63" spans="1:36" s="9" customFormat="1">
      <c r="A63" s="88" t="s">
        <v>43</v>
      </c>
      <c r="B63" s="183">
        <f t="shared" si="0"/>
        <v>5000000</v>
      </c>
      <c r="C63" s="84" t="s">
        <v>44</v>
      </c>
      <c r="D63" s="84" t="s">
        <v>906</v>
      </c>
      <c r="E63" s="84" t="s">
        <v>45</v>
      </c>
      <c r="F63" s="84" t="s">
        <v>365</v>
      </c>
      <c r="G63" s="89" t="s">
        <v>46</v>
      </c>
      <c r="H63" s="1352">
        <v>442</v>
      </c>
      <c r="I63" s="182">
        <v>0</v>
      </c>
      <c r="J63" s="535"/>
      <c r="K63" s="117">
        <v>389</v>
      </c>
      <c r="L63" s="160">
        <v>5000000</v>
      </c>
      <c r="M63" s="117"/>
      <c r="N63" s="513"/>
      <c r="O63" s="263"/>
      <c r="P63" s="514"/>
      <c r="Q63" s="514"/>
      <c r="R63" s="514"/>
      <c r="S63" s="514"/>
      <c r="T63" s="514"/>
      <c r="U63" s="514"/>
      <c r="V63" s="514"/>
      <c r="W63" s="515"/>
      <c r="X63" s="188"/>
      <c r="Y63" s="514"/>
      <c r="Z63" s="514"/>
      <c r="AA63" s="514"/>
      <c r="AB63" s="941">
        <f t="shared" si="1"/>
        <v>0</v>
      </c>
      <c r="AC63" s="948">
        <f t="shared" si="2"/>
        <v>0</v>
      </c>
      <c r="AD63" s="1229">
        <v>442</v>
      </c>
      <c r="AE63" s="313" t="s">
        <v>821</v>
      </c>
      <c r="AF63" s="313" t="s">
        <v>188</v>
      </c>
      <c r="AG63" s="571">
        <f t="shared" si="3"/>
        <v>0</v>
      </c>
      <c r="AH63" s="356">
        <v>5000000</v>
      </c>
      <c r="AI63" s="1207">
        <f t="shared" si="4"/>
        <v>5000000</v>
      </c>
      <c r="AJ63" s="1262"/>
    </row>
    <row r="64" spans="1:36" s="9" customFormat="1">
      <c r="A64" s="88" t="s">
        <v>43</v>
      </c>
      <c r="B64" s="183">
        <f t="shared" si="0"/>
        <v>0</v>
      </c>
      <c r="C64" s="84" t="s">
        <v>44</v>
      </c>
      <c r="D64" s="84" t="s">
        <v>906</v>
      </c>
      <c r="E64" s="84" t="s">
        <v>45</v>
      </c>
      <c r="F64" s="84" t="s">
        <v>365</v>
      </c>
      <c r="G64" s="89" t="s">
        <v>46</v>
      </c>
      <c r="H64" s="1352">
        <v>443</v>
      </c>
      <c r="I64" s="182">
        <v>0</v>
      </c>
      <c r="J64" s="535"/>
      <c r="K64" s="117"/>
      <c r="L64" s="160"/>
      <c r="M64" s="117"/>
      <c r="N64" s="513"/>
      <c r="O64" s="263"/>
      <c r="P64" s="514"/>
      <c r="Q64" s="514"/>
      <c r="R64" s="514"/>
      <c r="S64" s="514"/>
      <c r="T64" s="514"/>
      <c r="U64" s="514"/>
      <c r="V64" s="514"/>
      <c r="W64" s="515"/>
      <c r="X64" s="188"/>
      <c r="Y64" s="514"/>
      <c r="Z64" s="514"/>
      <c r="AA64" s="514"/>
      <c r="AB64" s="941">
        <f t="shared" si="1"/>
        <v>0</v>
      </c>
      <c r="AC64" s="948">
        <f t="shared" si="2"/>
        <v>0</v>
      </c>
      <c r="AD64" s="1229">
        <v>443</v>
      </c>
      <c r="AE64" s="313" t="s">
        <v>822</v>
      </c>
      <c r="AF64" s="313" t="s">
        <v>188</v>
      </c>
      <c r="AG64" s="571">
        <f t="shared" si="3"/>
        <v>0</v>
      </c>
      <c r="AH64" s="356">
        <v>5000000</v>
      </c>
      <c r="AI64" s="1207">
        <f t="shared" si="4"/>
        <v>5000000</v>
      </c>
      <c r="AJ64" s="1262"/>
    </row>
    <row r="65" spans="1:37" s="9" customFormat="1">
      <c r="A65" s="88" t="s">
        <v>43</v>
      </c>
      <c r="B65" s="183">
        <f t="shared" si="0"/>
        <v>0</v>
      </c>
      <c r="C65" s="84" t="s">
        <v>44</v>
      </c>
      <c r="D65" s="84" t="s">
        <v>906</v>
      </c>
      <c r="E65" s="84" t="s">
        <v>45</v>
      </c>
      <c r="F65" s="84" t="s">
        <v>365</v>
      </c>
      <c r="G65" s="89" t="s">
        <v>46</v>
      </c>
      <c r="H65" s="1352">
        <v>444</v>
      </c>
      <c r="I65" s="182">
        <v>0</v>
      </c>
      <c r="J65" s="535"/>
      <c r="K65" s="117"/>
      <c r="L65" s="160"/>
      <c r="M65" s="117"/>
      <c r="N65" s="513"/>
      <c r="O65" s="263"/>
      <c r="P65" s="514"/>
      <c r="Q65" s="514"/>
      <c r="R65" s="514"/>
      <c r="S65" s="514"/>
      <c r="T65" s="514"/>
      <c r="U65" s="514"/>
      <c r="V65" s="514"/>
      <c r="W65" s="515"/>
      <c r="X65" s="188"/>
      <c r="Y65" s="514"/>
      <c r="Z65" s="514"/>
      <c r="AA65" s="514"/>
      <c r="AB65" s="941">
        <f t="shared" si="1"/>
        <v>0</v>
      </c>
      <c r="AC65" s="948">
        <f t="shared" si="2"/>
        <v>0</v>
      </c>
      <c r="AD65" s="1229">
        <v>444</v>
      </c>
      <c r="AE65" s="313" t="s">
        <v>823</v>
      </c>
      <c r="AF65" s="313" t="s">
        <v>188</v>
      </c>
      <c r="AG65" s="571">
        <f t="shared" si="3"/>
        <v>0</v>
      </c>
      <c r="AH65" s="356">
        <v>15810000</v>
      </c>
      <c r="AI65" s="1207">
        <f t="shared" si="4"/>
        <v>15810000</v>
      </c>
      <c r="AJ65" s="1262"/>
    </row>
    <row r="66" spans="1:37" s="9" customFormat="1">
      <c r="A66" s="88" t="s">
        <v>43</v>
      </c>
      <c r="B66" s="183">
        <f t="shared" si="0"/>
        <v>5000000</v>
      </c>
      <c r="C66" s="84" t="s">
        <v>44</v>
      </c>
      <c r="D66" s="84" t="s">
        <v>906</v>
      </c>
      <c r="E66" s="84" t="s">
        <v>45</v>
      </c>
      <c r="F66" s="84" t="s">
        <v>365</v>
      </c>
      <c r="G66" s="89" t="s">
        <v>46</v>
      </c>
      <c r="H66" s="1352">
        <v>445</v>
      </c>
      <c r="I66" s="182">
        <v>0</v>
      </c>
      <c r="J66" s="535"/>
      <c r="K66" s="117">
        <v>402</v>
      </c>
      <c r="L66" s="160">
        <v>5000000</v>
      </c>
      <c r="M66" s="117"/>
      <c r="N66" s="513"/>
      <c r="O66" s="263"/>
      <c r="P66" s="514"/>
      <c r="Q66" s="514"/>
      <c r="R66" s="514"/>
      <c r="S66" s="514"/>
      <c r="T66" s="514"/>
      <c r="U66" s="514"/>
      <c r="V66" s="514"/>
      <c r="W66" s="515"/>
      <c r="X66" s="188"/>
      <c r="Y66" s="514"/>
      <c r="Z66" s="514"/>
      <c r="AA66" s="514"/>
      <c r="AB66" s="941">
        <f t="shared" si="1"/>
        <v>0</v>
      </c>
      <c r="AC66" s="948">
        <f t="shared" si="2"/>
        <v>0</v>
      </c>
      <c r="AD66" s="1229">
        <v>445</v>
      </c>
      <c r="AE66" s="313" t="s">
        <v>824</v>
      </c>
      <c r="AF66" s="313" t="s">
        <v>188</v>
      </c>
      <c r="AG66" s="571">
        <f t="shared" si="3"/>
        <v>0</v>
      </c>
      <c r="AH66" s="356">
        <v>5000000</v>
      </c>
      <c r="AI66" s="1207">
        <f t="shared" si="4"/>
        <v>5000000</v>
      </c>
      <c r="AJ66" s="1262"/>
    </row>
    <row r="67" spans="1:37" s="9" customFormat="1">
      <c r="A67" s="88" t="s">
        <v>43</v>
      </c>
      <c r="B67" s="183">
        <f t="shared" si="0"/>
        <v>67500000</v>
      </c>
      <c r="C67" s="84" t="s">
        <v>44</v>
      </c>
      <c r="D67" s="84" t="s">
        <v>906</v>
      </c>
      <c r="E67" s="84" t="s">
        <v>45</v>
      </c>
      <c r="F67" s="84" t="s">
        <v>365</v>
      </c>
      <c r="G67" s="89" t="s">
        <v>46</v>
      </c>
      <c r="H67" s="1352">
        <v>453</v>
      </c>
      <c r="I67" s="182">
        <v>0</v>
      </c>
      <c r="J67" s="535"/>
      <c r="K67" s="117">
        <v>393</v>
      </c>
      <c r="L67" s="160">
        <v>67500000</v>
      </c>
      <c r="M67" s="117"/>
      <c r="N67" s="513"/>
      <c r="O67" s="263"/>
      <c r="P67" s="514"/>
      <c r="Q67" s="514"/>
      <c r="R67" s="514"/>
      <c r="S67" s="514"/>
      <c r="T67" s="514"/>
      <c r="U67" s="514"/>
      <c r="V67" s="514"/>
      <c r="W67" s="515"/>
      <c r="X67" s="188"/>
      <c r="Y67" s="514"/>
      <c r="Z67" s="514"/>
      <c r="AA67" s="514"/>
      <c r="AB67" s="941">
        <f t="shared" si="1"/>
        <v>0</v>
      </c>
      <c r="AC67" s="948">
        <f t="shared" si="2"/>
        <v>0</v>
      </c>
      <c r="AD67" s="1229">
        <v>453</v>
      </c>
      <c r="AE67" s="313" t="s">
        <v>872</v>
      </c>
      <c r="AF67" s="313" t="s">
        <v>188</v>
      </c>
      <c r="AG67" s="571">
        <f t="shared" si="3"/>
        <v>0</v>
      </c>
      <c r="AH67" s="356">
        <v>67500000</v>
      </c>
      <c r="AI67" s="1207">
        <f t="shared" si="4"/>
        <v>67500000</v>
      </c>
      <c r="AJ67" s="1262"/>
    </row>
    <row r="68" spans="1:37" s="9" customFormat="1">
      <c r="A68" s="88" t="s">
        <v>43</v>
      </c>
      <c r="B68" s="183">
        <f t="shared" si="0"/>
        <v>0</v>
      </c>
      <c r="C68" s="84" t="s">
        <v>44</v>
      </c>
      <c r="D68" s="84" t="s">
        <v>906</v>
      </c>
      <c r="E68" s="84" t="s">
        <v>45</v>
      </c>
      <c r="F68" s="84" t="s">
        <v>365</v>
      </c>
      <c r="G68" s="89" t="s">
        <v>46</v>
      </c>
      <c r="H68" s="1352" t="s">
        <v>188</v>
      </c>
      <c r="I68" s="182">
        <v>0</v>
      </c>
      <c r="J68" s="535"/>
      <c r="K68" s="117"/>
      <c r="L68" s="160"/>
      <c r="M68" s="117"/>
      <c r="N68" s="513"/>
      <c r="O68" s="263"/>
      <c r="P68" s="514"/>
      <c r="Q68" s="514"/>
      <c r="R68" s="514"/>
      <c r="S68" s="514"/>
      <c r="T68" s="514"/>
      <c r="U68" s="514"/>
      <c r="V68" s="514"/>
      <c r="W68" s="515"/>
      <c r="X68" s="188"/>
      <c r="Y68" s="514"/>
      <c r="Z68" s="514"/>
      <c r="AA68" s="514"/>
      <c r="AB68" s="941">
        <f t="shared" si="1"/>
        <v>0</v>
      </c>
      <c r="AC68" s="948">
        <f t="shared" si="2"/>
        <v>0</v>
      </c>
      <c r="AD68" s="1229"/>
      <c r="AE68" s="313"/>
      <c r="AF68" s="313" t="s">
        <v>188</v>
      </c>
      <c r="AG68" s="571">
        <f t="shared" si="3"/>
        <v>0</v>
      </c>
      <c r="AH68" s="356"/>
      <c r="AI68" s="1207">
        <f t="shared" si="4"/>
        <v>0</v>
      </c>
      <c r="AJ68" s="1262"/>
    </row>
    <row r="69" spans="1:37" s="9" customFormat="1">
      <c r="A69" s="181" t="s">
        <v>31</v>
      </c>
      <c r="B69" s="53">
        <f>B17-SUM(B18:B68)</f>
        <v>2159171691</v>
      </c>
      <c r="C69" s="54"/>
      <c r="D69" s="54"/>
      <c r="E69" s="54"/>
      <c r="F69" s="54"/>
      <c r="G69" s="55"/>
      <c r="H69" s="1303"/>
      <c r="I69" s="56"/>
      <c r="J69" s="531"/>
      <c r="K69" s="401"/>
      <c r="L69" s="184">
        <f>SUM(L18:L68)</f>
        <v>967194752</v>
      </c>
      <c r="M69" s="401"/>
      <c r="N69" s="184">
        <f>SUM(N18:N68)</f>
        <v>816033183</v>
      </c>
      <c r="O69" s="205"/>
      <c r="P69" s="184">
        <f t="shared" ref="P69:AC69" si="5">SUM(P18:P68)</f>
        <v>0</v>
      </c>
      <c r="Q69" s="184">
        <f t="shared" si="5"/>
        <v>2957333</v>
      </c>
      <c r="R69" s="184">
        <f t="shared" si="5"/>
        <v>90145335</v>
      </c>
      <c r="S69" s="184">
        <f t="shared" si="5"/>
        <v>0</v>
      </c>
      <c r="T69" s="184">
        <f t="shared" si="5"/>
        <v>0</v>
      </c>
      <c r="U69" s="184">
        <f t="shared" si="5"/>
        <v>0</v>
      </c>
      <c r="V69" s="184">
        <f t="shared" si="5"/>
        <v>0</v>
      </c>
      <c r="W69" s="184">
        <f t="shared" si="5"/>
        <v>0</v>
      </c>
      <c r="X69" s="184">
        <f t="shared" si="5"/>
        <v>0</v>
      </c>
      <c r="Y69" s="184">
        <f t="shared" si="5"/>
        <v>0</v>
      </c>
      <c r="Z69" s="184">
        <f t="shared" si="5"/>
        <v>0</v>
      </c>
      <c r="AA69" s="184">
        <f t="shared" si="5"/>
        <v>0</v>
      </c>
      <c r="AB69" s="184">
        <f t="shared" si="5"/>
        <v>93102668</v>
      </c>
      <c r="AC69" s="947">
        <f t="shared" si="5"/>
        <v>706879065</v>
      </c>
      <c r="AD69" s="1202"/>
      <c r="AE69" s="516"/>
      <c r="AF69" s="516"/>
      <c r="AG69" s="1449"/>
      <c r="AH69" s="57">
        <f>SUM(AH18:AH68)</f>
        <v>3088366443</v>
      </c>
      <c r="AI69" s="205">
        <f>SUM(AI18:AI68)</f>
        <v>2272333260</v>
      </c>
      <c r="AJ69" s="1104">
        <f>B17-AH69</f>
        <v>38000000</v>
      </c>
      <c r="AK69" s="357"/>
    </row>
    <row r="70" spans="1:37" s="9" customFormat="1" ht="71.25">
      <c r="A70" s="676" t="s">
        <v>43</v>
      </c>
      <c r="B70" s="194">
        <f>340000000-100000000</f>
        <v>240000000</v>
      </c>
      <c r="C70" s="971" t="s">
        <v>47</v>
      </c>
      <c r="D70" s="971" t="s">
        <v>906</v>
      </c>
      <c r="E70" s="971" t="s">
        <v>45</v>
      </c>
      <c r="F70" s="971" t="s">
        <v>365</v>
      </c>
      <c r="G70" s="972" t="s">
        <v>46</v>
      </c>
      <c r="H70" s="1302"/>
      <c r="I70" s="474">
        <v>0</v>
      </c>
      <c r="J70" s="532"/>
      <c r="K70" s="519"/>
      <c r="L70" s="457"/>
      <c r="M70" s="519"/>
      <c r="N70" s="475"/>
      <c r="O70" s="419"/>
      <c r="P70" s="476"/>
      <c r="Q70" s="472"/>
      <c r="R70" s="472"/>
      <c r="S70" s="472"/>
      <c r="T70" s="472"/>
      <c r="U70" s="472"/>
      <c r="V70" s="472"/>
      <c r="W70" s="472"/>
      <c r="X70" s="472"/>
      <c r="Y70" s="472"/>
      <c r="Z70" s="472"/>
      <c r="AA70" s="472"/>
      <c r="AB70" s="942"/>
      <c r="AC70" s="981"/>
      <c r="AD70" s="1230"/>
      <c r="AE70" s="418"/>
      <c r="AF70" s="418"/>
      <c r="AG70" s="1450"/>
      <c r="AH70" s="473"/>
      <c r="AI70" s="937"/>
      <c r="AJ70" s="1262"/>
    </row>
    <row r="71" spans="1:37" s="9" customFormat="1">
      <c r="A71" s="88" t="s">
        <v>43</v>
      </c>
      <c r="B71" s="191">
        <f>J71</f>
        <v>0</v>
      </c>
      <c r="C71" s="83" t="s">
        <v>47</v>
      </c>
      <c r="D71" s="83" t="s">
        <v>906</v>
      </c>
      <c r="E71" s="83" t="s">
        <v>45</v>
      </c>
      <c r="F71" s="83" t="s">
        <v>365</v>
      </c>
      <c r="G71" s="87" t="s">
        <v>46</v>
      </c>
      <c r="H71" s="1228">
        <v>36</v>
      </c>
      <c r="I71" s="182">
        <v>0</v>
      </c>
      <c r="J71" s="535"/>
      <c r="K71" s="117"/>
      <c r="L71" s="159"/>
      <c r="M71" s="116"/>
      <c r="N71" s="185"/>
      <c r="O71" s="263"/>
      <c r="P71" s="257"/>
      <c r="Q71" s="188"/>
      <c r="R71" s="188"/>
      <c r="S71" s="188"/>
      <c r="T71" s="188"/>
      <c r="U71" s="188"/>
      <c r="V71" s="188"/>
      <c r="W71" s="188"/>
      <c r="X71" s="188"/>
      <c r="Y71" s="188"/>
      <c r="Z71" s="188"/>
      <c r="AA71" s="188"/>
      <c r="AB71" s="941">
        <f>SUM(P71:AA71)</f>
        <v>0</v>
      </c>
      <c r="AC71" s="948">
        <f>N71-AB71</f>
        <v>0</v>
      </c>
      <c r="AD71" s="1259" t="s">
        <v>363</v>
      </c>
      <c r="AE71" s="291" t="s">
        <v>886</v>
      </c>
      <c r="AF71" s="313" t="s">
        <v>188</v>
      </c>
      <c r="AG71" s="571">
        <f>O71</f>
        <v>0</v>
      </c>
      <c r="AH71" s="483">
        <f>340000000-200000000-100000000</f>
        <v>40000000</v>
      </c>
      <c r="AI71" s="1207">
        <f>AH71-N71</f>
        <v>40000000</v>
      </c>
      <c r="AJ71" s="1262"/>
    </row>
    <row r="72" spans="1:37" s="9" customFormat="1">
      <c r="A72" s="88" t="s">
        <v>43</v>
      </c>
      <c r="B72" s="191">
        <f>J72</f>
        <v>0</v>
      </c>
      <c r="C72" s="83" t="s">
        <v>47</v>
      </c>
      <c r="D72" s="84" t="s">
        <v>906</v>
      </c>
      <c r="E72" s="84" t="s">
        <v>45</v>
      </c>
      <c r="F72" s="84" t="s">
        <v>365</v>
      </c>
      <c r="G72" s="89" t="s">
        <v>46</v>
      </c>
      <c r="H72" s="1228">
        <v>439</v>
      </c>
      <c r="I72" s="182">
        <v>0</v>
      </c>
      <c r="J72" s="535"/>
      <c r="K72" s="317"/>
      <c r="L72" s="1144"/>
      <c r="M72" s="317"/>
      <c r="N72" s="185"/>
      <c r="O72" s="263"/>
      <c r="P72" s="257"/>
      <c r="Q72" s="188"/>
      <c r="R72" s="188"/>
      <c r="S72" s="188"/>
      <c r="T72" s="188"/>
      <c r="U72" s="188"/>
      <c r="V72" s="188"/>
      <c r="W72" s="188"/>
      <c r="X72" s="188"/>
      <c r="Y72" s="188"/>
      <c r="Z72" s="188"/>
      <c r="AA72" s="188"/>
      <c r="AB72" s="941">
        <f>SUM(P72:AA72)</f>
        <v>0</v>
      </c>
      <c r="AC72" s="948">
        <f>N72-AB72</f>
        <v>0</v>
      </c>
      <c r="AD72" s="1229">
        <v>439</v>
      </c>
      <c r="AE72" s="291" t="s">
        <v>355</v>
      </c>
      <c r="AF72" s="313" t="s">
        <v>188</v>
      </c>
      <c r="AG72" s="571">
        <f>O72</f>
        <v>0</v>
      </c>
      <c r="AH72" s="356">
        <v>200000000</v>
      </c>
      <c r="AI72" s="1207">
        <f>AH72-N72</f>
        <v>200000000</v>
      </c>
      <c r="AJ72" s="1262"/>
    </row>
    <row r="73" spans="1:37" s="9" customFormat="1">
      <c r="A73" s="189" t="s">
        <v>31</v>
      </c>
      <c r="B73" s="195">
        <f>B70-SUM(B71:B72)</f>
        <v>240000000</v>
      </c>
      <c r="C73" s="90"/>
      <c r="D73" s="90"/>
      <c r="E73" s="90"/>
      <c r="F73" s="90"/>
      <c r="G73" s="91"/>
      <c r="H73" s="1304"/>
      <c r="I73" s="56"/>
      <c r="J73" s="531"/>
      <c r="K73" s="401"/>
      <c r="L73" s="184">
        <f>SUM(L71:L72)</f>
        <v>0</v>
      </c>
      <c r="M73" s="401"/>
      <c r="N73" s="184">
        <f>SUM(N71:N72)</f>
        <v>0</v>
      </c>
      <c r="O73" s="205"/>
      <c r="P73" s="258">
        <f>SUM(P71:P72)</f>
        <v>0</v>
      </c>
      <c r="Q73" s="184">
        <f>SUM(Q71:Q72)</f>
        <v>0</v>
      </c>
      <c r="R73" s="184">
        <f t="shared" ref="R73:AB73" si="6">SUM(R71:R72)</f>
        <v>0</v>
      </c>
      <c r="S73" s="184">
        <f t="shared" si="6"/>
        <v>0</v>
      </c>
      <c r="T73" s="184">
        <f t="shared" si="6"/>
        <v>0</v>
      </c>
      <c r="U73" s="184">
        <f t="shared" si="6"/>
        <v>0</v>
      </c>
      <c r="V73" s="184">
        <f t="shared" si="6"/>
        <v>0</v>
      </c>
      <c r="W73" s="184">
        <f t="shared" si="6"/>
        <v>0</v>
      </c>
      <c r="X73" s="184">
        <f t="shared" si="6"/>
        <v>0</v>
      </c>
      <c r="Y73" s="184">
        <f t="shared" si="6"/>
        <v>0</v>
      </c>
      <c r="Z73" s="184">
        <f t="shared" si="6"/>
        <v>0</v>
      </c>
      <c r="AA73" s="184">
        <f t="shared" si="6"/>
        <v>0</v>
      </c>
      <c r="AB73" s="184">
        <f t="shared" si="6"/>
        <v>0</v>
      </c>
      <c r="AC73" s="947">
        <f>SUM(AC71:AC72)</f>
        <v>0</v>
      </c>
      <c r="AD73" s="1202"/>
      <c r="AE73" s="516"/>
      <c r="AF73" s="516"/>
      <c r="AG73" s="1449"/>
      <c r="AH73" s="57">
        <f>SUM(AH71:AH72)</f>
        <v>240000000</v>
      </c>
      <c r="AI73" s="205">
        <f>SUM(AI71:AI72)</f>
        <v>240000000</v>
      </c>
      <c r="AJ73" s="1104">
        <f>B70-AH73</f>
        <v>0</v>
      </c>
      <c r="AK73" s="357"/>
    </row>
    <row r="74" spans="1:37" s="9" customFormat="1" ht="71.25">
      <c r="A74" s="676" t="s">
        <v>43</v>
      </c>
      <c r="B74" s="194">
        <f>40000000+100000000</f>
        <v>140000000</v>
      </c>
      <c r="C74" s="971" t="s">
        <v>145</v>
      </c>
      <c r="D74" s="971" t="s">
        <v>906</v>
      </c>
      <c r="E74" s="971" t="s">
        <v>45</v>
      </c>
      <c r="F74" s="971" t="s">
        <v>365</v>
      </c>
      <c r="G74" s="972" t="s">
        <v>46</v>
      </c>
      <c r="H74" s="1302"/>
      <c r="I74" s="474">
        <v>0</v>
      </c>
      <c r="J74" s="1590"/>
      <c r="K74" s="519"/>
      <c r="L74" s="457"/>
      <c r="M74" s="519"/>
      <c r="N74" s="457"/>
      <c r="O74" s="1591"/>
      <c r="P74" s="1592"/>
      <c r="Q74" s="457"/>
      <c r="R74" s="457"/>
      <c r="S74" s="457"/>
      <c r="T74" s="457"/>
      <c r="U74" s="457"/>
      <c r="V74" s="457"/>
      <c r="W74" s="457"/>
      <c r="X74" s="457"/>
      <c r="Y74" s="457"/>
      <c r="Z74" s="457"/>
      <c r="AA74" s="457"/>
      <c r="AB74" s="940">
        <f>SUM(P74:AA74)</f>
        <v>0</v>
      </c>
      <c r="AC74" s="980">
        <f>N74-AB74</f>
        <v>0</v>
      </c>
      <c r="AD74" s="1593"/>
      <c r="AE74" s="418"/>
      <c r="AF74" s="418"/>
      <c r="AG74" s="1450"/>
      <c r="AH74" s="1594"/>
      <c r="AI74" s="1591"/>
      <c r="AJ74" s="1104"/>
    </row>
    <row r="75" spans="1:37" s="9" customFormat="1">
      <c r="A75" s="88" t="s">
        <v>43</v>
      </c>
      <c r="B75" s="183">
        <f>L75</f>
        <v>0</v>
      </c>
      <c r="C75" s="83" t="s">
        <v>145</v>
      </c>
      <c r="D75" s="83" t="s">
        <v>906</v>
      </c>
      <c r="E75" s="83" t="s">
        <v>45</v>
      </c>
      <c r="F75" s="83" t="s">
        <v>365</v>
      </c>
      <c r="G75" s="87" t="s">
        <v>46</v>
      </c>
      <c r="H75" s="1232" t="s">
        <v>363</v>
      </c>
      <c r="I75" s="182">
        <v>0</v>
      </c>
      <c r="J75" s="537"/>
      <c r="K75" s="117"/>
      <c r="L75" s="160"/>
      <c r="M75" s="117"/>
      <c r="N75" s="160"/>
      <c r="O75" s="1703"/>
      <c r="P75" s="261"/>
      <c r="Q75" s="159"/>
      <c r="R75" s="159"/>
      <c r="S75" s="159"/>
      <c r="T75" s="159"/>
      <c r="U75" s="159"/>
      <c r="V75" s="159"/>
      <c r="W75" s="159"/>
      <c r="X75" s="159"/>
      <c r="Y75" s="159"/>
      <c r="Z75" s="159"/>
      <c r="AA75" s="159"/>
      <c r="AB75" s="941">
        <f>SUM(P75:AA75)</f>
        <v>0</v>
      </c>
      <c r="AC75" s="948">
        <f>N75-AB75</f>
        <v>0</v>
      </c>
      <c r="AD75" s="1232" t="s">
        <v>363</v>
      </c>
      <c r="AE75" s="313" t="s">
        <v>364</v>
      </c>
      <c r="AF75" s="313" t="s">
        <v>188</v>
      </c>
      <c r="AG75" s="571">
        <f>O75</f>
        <v>0</v>
      </c>
      <c r="AH75" s="123">
        <v>40000000</v>
      </c>
      <c r="AI75" s="1233">
        <f>AH75-N75</f>
        <v>40000000</v>
      </c>
      <c r="AJ75" s="1104"/>
    </row>
    <row r="76" spans="1:37" s="9" customFormat="1">
      <c r="A76" s="88" t="s">
        <v>43</v>
      </c>
      <c r="B76" s="183">
        <f>L76</f>
        <v>99186546</v>
      </c>
      <c r="C76" s="83" t="s">
        <v>145</v>
      </c>
      <c r="D76" s="84" t="s">
        <v>906</v>
      </c>
      <c r="E76" s="84" t="s">
        <v>45</v>
      </c>
      <c r="F76" s="84" t="s">
        <v>365</v>
      </c>
      <c r="G76" s="89" t="s">
        <v>46</v>
      </c>
      <c r="H76" s="1321">
        <v>454</v>
      </c>
      <c r="I76" s="182">
        <v>0</v>
      </c>
      <c r="J76" s="537"/>
      <c r="K76" s="117">
        <v>399</v>
      </c>
      <c r="L76" s="160">
        <v>99186546</v>
      </c>
      <c r="M76" s="117"/>
      <c r="N76" s="160"/>
      <c r="O76" s="1703"/>
      <c r="P76" s="261"/>
      <c r="Q76" s="159"/>
      <c r="R76" s="159"/>
      <c r="S76" s="159"/>
      <c r="T76" s="159"/>
      <c r="U76" s="159"/>
      <c r="V76" s="159"/>
      <c r="W76" s="159"/>
      <c r="X76" s="159"/>
      <c r="Y76" s="159"/>
      <c r="Z76" s="159"/>
      <c r="AA76" s="159"/>
      <c r="AB76" s="941">
        <f>SUM(P76:AA76)</f>
        <v>0</v>
      </c>
      <c r="AC76" s="948">
        <f>N76-AB76</f>
        <v>0</v>
      </c>
      <c r="AD76" s="1699">
        <v>454</v>
      </c>
      <c r="AE76" s="313" t="s">
        <v>885</v>
      </c>
      <c r="AF76" s="313" t="s">
        <v>188</v>
      </c>
      <c r="AG76" s="571">
        <f>O76</f>
        <v>0</v>
      </c>
      <c r="AH76" s="1700">
        <v>100000000</v>
      </c>
      <c r="AI76" s="1233">
        <f>AH76-N76</f>
        <v>100000000</v>
      </c>
      <c r="AJ76" s="1104"/>
    </row>
    <row r="77" spans="1:37" s="9" customFormat="1">
      <c r="A77" s="189" t="s">
        <v>31</v>
      </c>
      <c r="B77" s="195">
        <f>B74-SUM(B75:B76)</f>
        <v>40813454</v>
      </c>
      <c r="C77" s="90"/>
      <c r="D77" s="90"/>
      <c r="E77" s="90"/>
      <c r="F77" s="90"/>
      <c r="G77" s="91"/>
      <c r="H77" s="1304"/>
      <c r="I77" s="56"/>
      <c r="J77" s="531"/>
      <c r="K77" s="401"/>
      <c r="L77" s="184">
        <f>SUM(L75:L76)</f>
        <v>99186546</v>
      </c>
      <c r="M77" s="401"/>
      <c r="N77" s="184">
        <f>SUM(N75:N76)</f>
        <v>0</v>
      </c>
      <c r="O77" s="205"/>
      <c r="P77" s="184">
        <f t="shared" ref="P77:AB77" si="7">SUM(P74:P76)</f>
        <v>0</v>
      </c>
      <c r="Q77" s="184">
        <f t="shared" si="7"/>
        <v>0</v>
      </c>
      <c r="R77" s="184">
        <f t="shared" si="7"/>
        <v>0</v>
      </c>
      <c r="S77" s="184">
        <f t="shared" si="7"/>
        <v>0</v>
      </c>
      <c r="T77" s="184">
        <f t="shared" si="7"/>
        <v>0</v>
      </c>
      <c r="U77" s="184">
        <f t="shared" si="7"/>
        <v>0</v>
      </c>
      <c r="V77" s="184">
        <f t="shared" si="7"/>
        <v>0</v>
      </c>
      <c r="W77" s="184">
        <f t="shared" si="7"/>
        <v>0</v>
      </c>
      <c r="X77" s="184">
        <f t="shared" si="7"/>
        <v>0</v>
      </c>
      <c r="Y77" s="184">
        <f t="shared" si="7"/>
        <v>0</v>
      </c>
      <c r="Z77" s="184">
        <f t="shared" si="7"/>
        <v>0</v>
      </c>
      <c r="AA77" s="184">
        <f t="shared" si="7"/>
        <v>0</v>
      </c>
      <c r="AB77" s="184">
        <f t="shared" si="7"/>
        <v>0</v>
      </c>
      <c r="AC77" s="947">
        <f>SUM(AC75:AC76)</f>
        <v>0</v>
      </c>
      <c r="AD77" s="1202"/>
      <c r="AE77" s="516"/>
      <c r="AF77" s="516"/>
      <c r="AG77" s="1449"/>
      <c r="AH77" s="57">
        <f>SUM(AH74:AH76)</f>
        <v>140000000</v>
      </c>
      <c r="AI77" s="205">
        <f>SUM(AI74:AI76)</f>
        <v>140000000</v>
      </c>
      <c r="AJ77" s="1104">
        <f>B74-AH77</f>
        <v>0</v>
      </c>
      <c r="AK77" s="357"/>
    </row>
    <row r="78" spans="1:37" s="7" customFormat="1" ht="71.25">
      <c r="A78" s="935" t="s">
        <v>48</v>
      </c>
      <c r="B78" s="196">
        <v>620000000</v>
      </c>
      <c r="C78" s="973" t="s">
        <v>44</v>
      </c>
      <c r="D78" s="973" t="s">
        <v>907</v>
      </c>
      <c r="E78" s="973" t="s">
        <v>45</v>
      </c>
      <c r="F78" s="973" t="s">
        <v>366</v>
      </c>
      <c r="G78" s="974" t="s">
        <v>46</v>
      </c>
      <c r="H78" s="1305"/>
      <c r="I78" s="482">
        <v>0</v>
      </c>
      <c r="J78" s="533"/>
      <c r="K78" s="520"/>
      <c r="L78" s="424"/>
      <c r="M78" s="520"/>
      <c r="N78" s="478"/>
      <c r="O78" s="425"/>
      <c r="P78" s="479"/>
      <c r="Q78" s="480"/>
      <c r="R78" s="480"/>
      <c r="S78" s="480"/>
      <c r="T78" s="480"/>
      <c r="U78" s="480"/>
      <c r="V78" s="480"/>
      <c r="W78" s="480"/>
      <c r="X78" s="480"/>
      <c r="Y78" s="480"/>
      <c r="Z78" s="480"/>
      <c r="AA78" s="480"/>
      <c r="AB78" s="943"/>
      <c r="AC78" s="982"/>
      <c r="AD78" s="1234"/>
      <c r="AE78" s="481"/>
      <c r="AF78" s="481"/>
      <c r="AG78" s="580"/>
      <c r="AH78" s="392"/>
      <c r="AI78" s="1235"/>
      <c r="AJ78" s="1262"/>
    </row>
    <row r="79" spans="1:37" s="9" customFormat="1">
      <c r="A79" s="96" t="s">
        <v>48</v>
      </c>
      <c r="B79" s="191">
        <f>L79</f>
        <v>73645000</v>
      </c>
      <c r="C79" s="94" t="s">
        <v>44</v>
      </c>
      <c r="D79" s="94" t="s">
        <v>907</v>
      </c>
      <c r="E79" s="94" t="s">
        <v>45</v>
      </c>
      <c r="F79" s="94" t="s">
        <v>366</v>
      </c>
      <c r="G79" s="95" t="s">
        <v>46</v>
      </c>
      <c r="H79" s="1236">
        <v>71</v>
      </c>
      <c r="I79" s="182">
        <v>0</v>
      </c>
      <c r="J79" s="535"/>
      <c r="K79" s="117">
        <v>81</v>
      </c>
      <c r="L79" s="160">
        <v>73645000</v>
      </c>
      <c r="M79" s="117">
        <v>61</v>
      </c>
      <c r="N79" s="185">
        <v>73645000</v>
      </c>
      <c r="O79" s="263">
        <v>35</v>
      </c>
      <c r="P79" s="257"/>
      <c r="Q79" s="188"/>
      <c r="R79" s="188">
        <v>7364500</v>
      </c>
      <c r="S79" s="188"/>
      <c r="T79" s="188"/>
      <c r="U79" s="188"/>
      <c r="V79" s="188"/>
      <c r="W79" s="188"/>
      <c r="X79" s="188"/>
      <c r="Y79" s="188"/>
      <c r="Z79" s="188"/>
      <c r="AA79" s="188"/>
      <c r="AB79" s="941">
        <f>SUM(P79:AA79)</f>
        <v>7364500</v>
      </c>
      <c r="AC79" s="948">
        <f>N79-AB79</f>
        <v>66280500</v>
      </c>
      <c r="AD79" s="1236">
        <v>71</v>
      </c>
      <c r="AE79" s="291" t="s">
        <v>312</v>
      </c>
      <c r="AF79" s="313" t="str">
        <f>VLOOKUP(M79,[3]Hoja2!J$141:N$168,5,0)</f>
        <v>LILIANA MARCELA PAMPLONA ROMERO</v>
      </c>
      <c r="AG79" s="571">
        <f>O79</f>
        <v>35</v>
      </c>
      <c r="AH79" s="356">
        <v>73645000</v>
      </c>
      <c r="AI79" s="1207">
        <f t="shared" ref="AI79:AI93" si="8">AH79-N79</f>
        <v>0</v>
      </c>
      <c r="AJ79" s="1262"/>
    </row>
    <row r="80" spans="1:37" s="9" customFormat="1">
      <c r="A80" s="96" t="s">
        <v>48</v>
      </c>
      <c r="B80" s="191">
        <f t="shared" ref="B80:B96" si="9">L80</f>
        <v>49000000</v>
      </c>
      <c r="C80" s="94" t="s">
        <v>44</v>
      </c>
      <c r="D80" s="94" t="s">
        <v>907</v>
      </c>
      <c r="E80" s="94" t="s">
        <v>45</v>
      </c>
      <c r="F80" s="94" t="s">
        <v>366</v>
      </c>
      <c r="G80" s="95" t="s">
        <v>46</v>
      </c>
      <c r="H80" s="1228">
        <v>85</v>
      </c>
      <c r="I80" s="182">
        <v>0</v>
      </c>
      <c r="J80" s="535"/>
      <c r="K80" s="117">
        <v>230</v>
      </c>
      <c r="L80" s="160">
        <v>49000000</v>
      </c>
      <c r="M80" s="117">
        <v>218</v>
      </c>
      <c r="N80" s="185">
        <v>49000000</v>
      </c>
      <c r="O80" s="263">
        <v>183</v>
      </c>
      <c r="P80" s="257"/>
      <c r="Q80" s="188"/>
      <c r="R80" s="188">
        <v>4410000</v>
      </c>
      <c r="S80" s="188"/>
      <c r="T80" s="188"/>
      <c r="U80" s="188"/>
      <c r="V80" s="188"/>
      <c r="W80" s="188"/>
      <c r="X80" s="188"/>
      <c r="Y80" s="188"/>
      <c r="Z80" s="188"/>
      <c r="AA80" s="188"/>
      <c r="AB80" s="941">
        <f t="shared" ref="AB80:AB93" si="10">SUM(P80:AA80)</f>
        <v>4410000</v>
      </c>
      <c r="AC80" s="948">
        <f t="shared" ref="AC80:AC93" si="11">N80-AB80</f>
        <v>44590000</v>
      </c>
      <c r="AD80" s="1228">
        <v>85</v>
      </c>
      <c r="AE80" s="291" t="s">
        <v>313</v>
      </c>
      <c r="AF80" s="313" t="s">
        <v>721</v>
      </c>
      <c r="AG80" s="571">
        <f>O80</f>
        <v>183</v>
      </c>
      <c r="AH80" s="356">
        <v>51040000</v>
      </c>
      <c r="AI80" s="1207">
        <f t="shared" si="8"/>
        <v>2040000</v>
      </c>
      <c r="AJ80" s="1262"/>
    </row>
    <row r="81" spans="1:36" s="9" customFormat="1">
      <c r="A81" s="96" t="s">
        <v>48</v>
      </c>
      <c r="B81" s="191">
        <f t="shared" si="9"/>
        <v>30000000</v>
      </c>
      <c r="C81" s="94" t="s">
        <v>44</v>
      </c>
      <c r="D81" s="94" t="s">
        <v>907</v>
      </c>
      <c r="E81" s="94" t="s">
        <v>45</v>
      </c>
      <c r="F81" s="94" t="s">
        <v>366</v>
      </c>
      <c r="G81" s="95" t="s">
        <v>46</v>
      </c>
      <c r="H81" s="1228" t="s">
        <v>156</v>
      </c>
      <c r="I81" s="182"/>
      <c r="J81" s="535"/>
      <c r="K81" s="117">
        <v>272</v>
      </c>
      <c r="L81" s="160">
        <v>30000000</v>
      </c>
      <c r="M81" s="117"/>
      <c r="N81" s="185"/>
      <c r="O81" s="263"/>
      <c r="P81" s="257"/>
      <c r="Q81" s="188"/>
      <c r="R81" s="188"/>
      <c r="S81" s="188"/>
      <c r="T81" s="188"/>
      <c r="U81" s="188"/>
      <c r="V81" s="188"/>
      <c r="W81" s="188"/>
      <c r="X81" s="188"/>
      <c r="Y81" s="188"/>
      <c r="Z81" s="188"/>
      <c r="AA81" s="188"/>
      <c r="AB81" s="941">
        <f t="shared" si="10"/>
        <v>0</v>
      </c>
      <c r="AC81" s="948">
        <f t="shared" si="11"/>
        <v>0</v>
      </c>
      <c r="AD81" s="1228" t="s">
        <v>156</v>
      </c>
      <c r="AE81" s="291" t="s">
        <v>686</v>
      </c>
      <c r="AF81" s="313" t="s">
        <v>188</v>
      </c>
      <c r="AG81" s="571"/>
      <c r="AH81" s="356">
        <v>30000000</v>
      </c>
      <c r="AI81" s="1207">
        <f t="shared" si="8"/>
        <v>30000000</v>
      </c>
      <c r="AJ81" s="1262"/>
    </row>
    <row r="82" spans="1:36" s="9" customFormat="1">
      <c r="A82" s="96" t="s">
        <v>48</v>
      </c>
      <c r="B82" s="191">
        <f t="shared" si="9"/>
        <v>20000000</v>
      </c>
      <c r="C82" s="94" t="s">
        <v>44</v>
      </c>
      <c r="D82" s="94" t="s">
        <v>907</v>
      </c>
      <c r="E82" s="94" t="s">
        <v>45</v>
      </c>
      <c r="F82" s="94" t="s">
        <v>366</v>
      </c>
      <c r="G82" s="95" t="s">
        <v>46</v>
      </c>
      <c r="H82" s="1228" t="s">
        <v>156</v>
      </c>
      <c r="I82" s="182"/>
      <c r="J82" s="535"/>
      <c r="K82" s="117">
        <v>276</v>
      </c>
      <c r="L82" s="160">
        <v>20000000</v>
      </c>
      <c r="M82" s="117"/>
      <c r="N82" s="185"/>
      <c r="O82" s="263"/>
      <c r="P82" s="257"/>
      <c r="Q82" s="188"/>
      <c r="R82" s="188"/>
      <c r="S82" s="188"/>
      <c r="T82" s="188"/>
      <c r="U82" s="188"/>
      <c r="V82" s="188"/>
      <c r="W82" s="188"/>
      <c r="X82" s="188"/>
      <c r="Y82" s="188"/>
      <c r="Z82" s="188"/>
      <c r="AA82" s="188"/>
      <c r="AB82" s="941">
        <f t="shared" si="10"/>
        <v>0</v>
      </c>
      <c r="AC82" s="948">
        <f t="shared" si="11"/>
        <v>0</v>
      </c>
      <c r="AD82" s="1228" t="s">
        <v>156</v>
      </c>
      <c r="AE82" s="291" t="s">
        <v>687</v>
      </c>
      <c r="AF82" s="313" t="s">
        <v>188</v>
      </c>
      <c r="AG82" s="571"/>
      <c r="AH82" s="356">
        <v>20000000</v>
      </c>
      <c r="AI82" s="1207">
        <f t="shared" si="8"/>
        <v>20000000</v>
      </c>
      <c r="AJ82" s="1262"/>
    </row>
    <row r="83" spans="1:36" s="9" customFormat="1">
      <c r="A83" s="96" t="s">
        <v>48</v>
      </c>
      <c r="B83" s="191">
        <f t="shared" si="9"/>
        <v>20000000</v>
      </c>
      <c r="C83" s="94" t="s">
        <v>44</v>
      </c>
      <c r="D83" s="94" t="s">
        <v>907</v>
      </c>
      <c r="E83" s="94" t="s">
        <v>45</v>
      </c>
      <c r="F83" s="94" t="s">
        <v>366</v>
      </c>
      <c r="G83" s="95" t="s">
        <v>46</v>
      </c>
      <c r="H83" s="1228" t="s">
        <v>156</v>
      </c>
      <c r="I83" s="182"/>
      <c r="J83" s="535"/>
      <c r="K83" s="117">
        <v>278</v>
      </c>
      <c r="L83" s="160">
        <v>20000000</v>
      </c>
      <c r="M83" s="117"/>
      <c r="N83" s="185"/>
      <c r="O83" s="263"/>
      <c r="P83" s="257"/>
      <c r="Q83" s="188"/>
      <c r="R83" s="188"/>
      <c r="S83" s="188"/>
      <c r="T83" s="188"/>
      <c r="U83" s="188"/>
      <c r="V83" s="188"/>
      <c r="W83" s="188"/>
      <c r="X83" s="188"/>
      <c r="Y83" s="188"/>
      <c r="Z83" s="188"/>
      <c r="AA83" s="188"/>
      <c r="AB83" s="941">
        <f t="shared" si="10"/>
        <v>0</v>
      </c>
      <c r="AC83" s="948">
        <f t="shared" si="11"/>
        <v>0</v>
      </c>
      <c r="AD83" s="1228" t="s">
        <v>156</v>
      </c>
      <c r="AE83" s="291" t="s">
        <v>688</v>
      </c>
      <c r="AF83" s="313" t="s">
        <v>188</v>
      </c>
      <c r="AG83" s="571"/>
      <c r="AH83" s="356">
        <v>20000000</v>
      </c>
      <c r="AI83" s="1207">
        <f t="shared" si="8"/>
        <v>20000000</v>
      </c>
      <c r="AJ83" s="1262"/>
    </row>
    <row r="84" spans="1:36" s="9" customFormat="1">
      <c r="A84" s="96" t="s">
        <v>48</v>
      </c>
      <c r="B84" s="191">
        <f t="shared" si="9"/>
        <v>35000000</v>
      </c>
      <c r="C84" s="94" t="s">
        <v>44</v>
      </c>
      <c r="D84" s="94" t="s">
        <v>907</v>
      </c>
      <c r="E84" s="94" t="s">
        <v>45</v>
      </c>
      <c r="F84" s="94" t="s">
        <v>366</v>
      </c>
      <c r="G84" s="95" t="s">
        <v>46</v>
      </c>
      <c r="H84" s="1228" t="s">
        <v>156</v>
      </c>
      <c r="I84" s="182"/>
      <c r="J84" s="535"/>
      <c r="K84" s="117">
        <v>279</v>
      </c>
      <c r="L84" s="160">
        <v>35000000</v>
      </c>
      <c r="M84" s="117"/>
      <c r="N84" s="185"/>
      <c r="O84" s="263"/>
      <c r="P84" s="257"/>
      <c r="Q84" s="188"/>
      <c r="R84" s="188"/>
      <c r="S84" s="188"/>
      <c r="T84" s="188"/>
      <c r="U84" s="188"/>
      <c r="V84" s="188"/>
      <c r="W84" s="188"/>
      <c r="X84" s="188"/>
      <c r="Y84" s="188"/>
      <c r="Z84" s="188"/>
      <c r="AA84" s="188"/>
      <c r="AB84" s="941">
        <f t="shared" si="10"/>
        <v>0</v>
      </c>
      <c r="AC84" s="948">
        <f t="shared" si="11"/>
        <v>0</v>
      </c>
      <c r="AD84" s="1228" t="s">
        <v>156</v>
      </c>
      <c r="AE84" s="291" t="s">
        <v>689</v>
      </c>
      <c r="AF84" s="313" t="s">
        <v>188</v>
      </c>
      <c r="AG84" s="571"/>
      <c r="AH84" s="356">
        <v>35000000</v>
      </c>
      <c r="AI84" s="1207">
        <f t="shared" si="8"/>
        <v>35000000</v>
      </c>
      <c r="AJ84" s="1262"/>
    </row>
    <row r="85" spans="1:36" s="9" customFormat="1">
      <c r="A85" s="96" t="s">
        <v>48</v>
      </c>
      <c r="B85" s="191">
        <f t="shared" si="9"/>
        <v>25000000</v>
      </c>
      <c r="C85" s="94" t="s">
        <v>44</v>
      </c>
      <c r="D85" s="94" t="s">
        <v>907</v>
      </c>
      <c r="E85" s="94" t="s">
        <v>45</v>
      </c>
      <c r="F85" s="94" t="s">
        <v>366</v>
      </c>
      <c r="G85" s="95" t="s">
        <v>46</v>
      </c>
      <c r="H85" s="1228" t="s">
        <v>156</v>
      </c>
      <c r="I85" s="182"/>
      <c r="J85" s="535"/>
      <c r="K85" s="117">
        <v>280</v>
      </c>
      <c r="L85" s="160">
        <v>25000000</v>
      </c>
      <c r="M85" s="117"/>
      <c r="N85" s="185"/>
      <c r="O85" s="263"/>
      <c r="P85" s="257"/>
      <c r="Q85" s="188"/>
      <c r="R85" s="188"/>
      <c r="S85" s="188"/>
      <c r="T85" s="188"/>
      <c r="U85" s="188"/>
      <c r="V85" s="188"/>
      <c r="W85" s="188"/>
      <c r="X85" s="188"/>
      <c r="Y85" s="188"/>
      <c r="Z85" s="188"/>
      <c r="AA85" s="188"/>
      <c r="AB85" s="941">
        <f t="shared" si="10"/>
        <v>0</v>
      </c>
      <c r="AC85" s="948">
        <f t="shared" si="11"/>
        <v>0</v>
      </c>
      <c r="AD85" s="1228" t="s">
        <v>156</v>
      </c>
      <c r="AE85" s="291" t="s">
        <v>690</v>
      </c>
      <c r="AF85" s="313" t="s">
        <v>188</v>
      </c>
      <c r="AG85" s="571"/>
      <c r="AH85" s="356">
        <v>25000000</v>
      </c>
      <c r="AI85" s="1207">
        <f t="shared" si="8"/>
        <v>25000000</v>
      </c>
      <c r="AJ85" s="1262"/>
    </row>
    <row r="86" spans="1:36" s="9" customFormat="1">
      <c r="A86" s="96" t="s">
        <v>48</v>
      </c>
      <c r="B86" s="191">
        <f t="shared" si="9"/>
        <v>30000000</v>
      </c>
      <c r="C86" s="94" t="s">
        <v>44</v>
      </c>
      <c r="D86" s="94" t="s">
        <v>907</v>
      </c>
      <c r="E86" s="94" t="s">
        <v>45</v>
      </c>
      <c r="F86" s="94" t="s">
        <v>366</v>
      </c>
      <c r="G86" s="95" t="s">
        <v>46</v>
      </c>
      <c r="H86" s="1228" t="s">
        <v>156</v>
      </c>
      <c r="I86" s="182"/>
      <c r="J86" s="535"/>
      <c r="K86" s="117">
        <v>281</v>
      </c>
      <c r="L86" s="160">
        <v>30000000</v>
      </c>
      <c r="M86" s="117"/>
      <c r="N86" s="185"/>
      <c r="O86" s="263"/>
      <c r="P86" s="257"/>
      <c r="Q86" s="188"/>
      <c r="R86" s="188"/>
      <c r="S86" s="188"/>
      <c r="T86" s="188"/>
      <c r="U86" s="188"/>
      <c r="V86" s="188"/>
      <c r="W86" s="188"/>
      <c r="X86" s="188"/>
      <c r="Y86" s="188"/>
      <c r="Z86" s="188"/>
      <c r="AA86" s="188"/>
      <c r="AB86" s="941">
        <f t="shared" si="10"/>
        <v>0</v>
      </c>
      <c r="AC86" s="948">
        <f t="shared" si="11"/>
        <v>0</v>
      </c>
      <c r="AD86" s="1228" t="s">
        <v>156</v>
      </c>
      <c r="AE86" s="291" t="s">
        <v>691</v>
      </c>
      <c r="AF86" s="313" t="s">
        <v>188</v>
      </c>
      <c r="AG86" s="571"/>
      <c r="AH86" s="356">
        <v>30000000</v>
      </c>
      <c r="AI86" s="1207">
        <f t="shared" si="8"/>
        <v>30000000</v>
      </c>
      <c r="AJ86" s="1262"/>
    </row>
    <row r="87" spans="1:36" s="9" customFormat="1">
      <c r="A87" s="96" t="s">
        <v>48</v>
      </c>
      <c r="B87" s="191">
        <f t="shared" si="9"/>
        <v>20000000</v>
      </c>
      <c r="C87" s="94" t="s">
        <v>44</v>
      </c>
      <c r="D87" s="94" t="s">
        <v>907</v>
      </c>
      <c r="E87" s="94" t="s">
        <v>45</v>
      </c>
      <c r="F87" s="94" t="s">
        <v>366</v>
      </c>
      <c r="G87" s="95" t="s">
        <v>46</v>
      </c>
      <c r="H87" s="1228" t="s">
        <v>156</v>
      </c>
      <c r="I87" s="182"/>
      <c r="J87" s="535"/>
      <c r="K87" s="117">
        <v>282</v>
      </c>
      <c r="L87" s="160">
        <v>20000000</v>
      </c>
      <c r="M87" s="117"/>
      <c r="N87" s="185"/>
      <c r="O87" s="263"/>
      <c r="P87" s="257"/>
      <c r="Q87" s="188"/>
      <c r="R87" s="188"/>
      <c r="S87" s="188"/>
      <c r="T87" s="188"/>
      <c r="U87" s="188"/>
      <c r="V87" s="188"/>
      <c r="W87" s="188"/>
      <c r="X87" s="188"/>
      <c r="Y87" s="188"/>
      <c r="Z87" s="188"/>
      <c r="AA87" s="188"/>
      <c r="AB87" s="941">
        <f t="shared" si="10"/>
        <v>0</v>
      </c>
      <c r="AC87" s="948">
        <f t="shared" si="11"/>
        <v>0</v>
      </c>
      <c r="AD87" s="1228" t="s">
        <v>156</v>
      </c>
      <c r="AE87" s="291" t="s">
        <v>692</v>
      </c>
      <c r="AF87" s="313" t="s">
        <v>188</v>
      </c>
      <c r="AG87" s="571"/>
      <c r="AH87" s="356">
        <v>20000000</v>
      </c>
      <c r="AI87" s="1207">
        <f t="shared" si="8"/>
        <v>20000000</v>
      </c>
      <c r="AJ87" s="1262"/>
    </row>
    <row r="88" spans="1:36" s="9" customFormat="1">
      <c r="A88" s="96" t="s">
        <v>48</v>
      </c>
      <c r="B88" s="191">
        <f t="shared" si="9"/>
        <v>15000000</v>
      </c>
      <c r="C88" s="94" t="s">
        <v>44</v>
      </c>
      <c r="D88" s="94" t="s">
        <v>907</v>
      </c>
      <c r="E88" s="94" t="s">
        <v>45</v>
      </c>
      <c r="F88" s="94" t="s">
        <v>366</v>
      </c>
      <c r="G88" s="95" t="s">
        <v>46</v>
      </c>
      <c r="H88" s="1228" t="s">
        <v>156</v>
      </c>
      <c r="I88" s="182"/>
      <c r="J88" s="535"/>
      <c r="K88" s="117">
        <v>274</v>
      </c>
      <c r="L88" s="160">
        <v>15000000</v>
      </c>
      <c r="M88" s="117"/>
      <c r="N88" s="185"/>
      <c r="O88" s="263"/>
      <c r="P88" s="257"/>
      <c r="Q88" s="188"/>
      <c r="R88" s="188"/>
      <c r="S88" s="188"/>
      <c r="T88" s="188"/>
      <c r="U88" s="188"/>
      <c r="V88" s="188"/>
      <c r="W88" s="188"/>
      <c r="X88" s="188"/>
      <c r="Y88" s="188"/>
      <c r="Z88" s="188"/>
      <c r="AA88" s="188"/>
      <c r="AB88" s="941">
        <f t="shared" si="10"/>
        <v>0</v>
      </c>
      <c r="AC88" s="948">
        <f t="shared" si="11"/>
        <v>0</v>
      </c>
      <c r="AD88" s="1228" t="s">
        <v>156</v>
      </c>
      <c r="AE88" s="291" t="s">
        <v>684</v>
      </c>
      <c r="AF88" s="313"/>
      <c r="AG88" s="571"/>
      <c r="AH88" s="356">
        <v>15000000</v>
      </c>
      <c r="AI88" s="1207">
        <f t="shared" si="8"/>
        <v>15000000</v>
      </c>
      <c r="AJ88" s="1262"/>
    </row>
    <row r="89" spans="1:36" s="9" customFormat="1">
      <c r="A89" s="96" t="s">
        <v>48</v>
      </c>
      <c r="B89" s="191">
        <f t="shared" si="9"/>
        <v>26000000</v>
      </c>
      <c r="C89" s="94" t="s">
        <v>44</v>
      </c>
      <c r="D89" s="94" t="s">
        <v>907</v>
      </c>
      <c r="E89" s="94" t="s">
        <v>45</v>
      </c>
      <c r="F89" s="94" t="s">
        <v>366</v>
      </c>
      <c r="G89" s="95" t="s">
        <v>46</v>
      </c>
      <c r="H89" s="1228" t="s">
        <v>156</v>
      </c>
      <c r="I89" s="182"/>
      <c r="J89" s="535"/>
      <c r="K89" s="117">
        <v>275</v>
      </c>
      <c r="L89" s="160">
        <v>26000000</v>
      </c>
      <c r="M89" s="117"/>
      <c r="N89" s="185"/>
      <c r="O89" s="263"/>
      <c r="P89" s="257"/>
      <c r="Q89" s="188"/>
      <c r="R89" s="188"/>
      <c r="S89" s="188"/>
      <c r="T89" s="188"/>
      <c r="U89" s="188"/>
      <c r="V89" s="188"/>
      <c r="W89" s="188"/>
      <c r="X89" s="188"/>
      <c r="Y89" s="188"/>
      <c r="Z89" s="188"/>
      <c r="AA89" s="188"/>
      <c r="AB89" s="941">
        <f t="shared" si="10"/>
        <v>0</v>
      </c>
      <c r="AC89" s="948">
        <f t="shared" si="11"/>
        <v>0</v>
      </c>
      <c r="AD89" s="1228" t="s">
        <v>156</v>
      </c>
      <c r="AE89" s="291" t="s">
        <v>685</v>
      </c>
      <c r="AF89" s="313"/>
      <c r="AG89" s="571"/>
      <c r="AH89" s="356">
        <v>26000000</v>
      </c>
      <c r="AI89" s="1207">
        <f t="shared" si="8"/>
        <v>26000000</v>
      </c>
      <c r="AJ89" s="1262"/>
    </row>
    <row r="90" spans="1:36" s="9" customFormat="1">
      <c r="A90" s="96" t="s">
        <v>48</v>
      </c>
      <c r="B90" s="191">
        <f t="shared" si="9"/>
        <v>20000000</v>
      </c>
      <c r="C90" s="94" t="s">
        <v>44</v>
      </c>
      <c r="D90" s="94" t="s">
        <v>907</v>
      </c>
      <c r="E90" s="94" t="s">
        <v>45</v>
      </c>
      <c r="F90" s="94" t="s">
        <v>366</v>
      </c>
      <c r="G90" s="95" t="s">
        <v>46</v>
      </c>
      <c r="H90" s="1228" t="s">
        <v>156</v>
      </c>
      <c r="I90" s="182">
        <v>0</v>
      </c>
      <c r="J90" s="535"/>
      <c r="K90" s="117">
        <v>277</v>
      </c>
      <c r="L90" s="160">
        <v>20000000</v>
      </c>
      <c r="M90" s="117"/>
      <c r="N90" s="185"/>
      <c r="O90" s="263"/>
      <c r="P90" s="257"/>
      <c r="Q90" s="188"/>
      <c r="R90" s="188"/>
      <c r="S90" s="188"/>
      <c r="T90" s="188"/>
      <c r="U90" s="188"/>
      <c r="V90" s="188"/>
      <c r="W90" s="188"/>
      <c r="X90" s="188"/>
      <c r="Y90" s="188"/>
      <c r="Z90" s="188"/>
      <c r="AA90" s="188"/>
      <c r="AB90" s="941">
        <f t="shared" si="10"/>
        <v>0</v>
      </c>
      <c r="AC90" s="948">
        <f t="shared" si="11"/>
        <v>0</v>
      </c>
      <c r="AD90" s="1228" t="s">
        <v>156</v>
      </c>
      <c r="AE90" s="291" t="s">
        <v>314</v>
      </c>
      <c r="AF90" s="313" t="s">
        <v>188</v>
      </c>
      <c r="AG90" s="571">
        <f>O90</f>
        <v>0</v>
      </c>
      <c r="AH90" s="356">
        <v>80000000</v>
      </c>
      <c r="AI90" s="1207">
        <f t="shared" si="8"/>
        <v>80000000</v>
      </c>
      <c r="AJ90" s="1262"/>
    </row>
    <row r="91" spans="1:36" s="9" customFormat="1">
      <c r="A91" s="96" t="s">
        <v>48</v>
      </c>
      <c r="B91" s="191">
        <f t="shared" si="9"/>
        <v>84000000</v>
      </c>
      <c r="C91" s="94" t="s">
        <v>44</v>
      </c>
      <c r="D91" s="94" t="s">
        <v>907</v>
      </c>
      <c r="E91" s="94" t="s">
        <v>45</v>
      </c>
      <c r="F91" s="94" t="s">
        <v>366</v>
      </c>
      <c r="G91" s="95" t="s">
        <v>46</v>
      </c>
      <c r="H91" s="1228" t="s">
        <v>156</v>
      </c>
      <c r="I91" s="182">
        <v>0</v>
      </c>
      <c r="J91" s="535"/>
      <c r="K91" s="117">
        <v>273</v>
      </c>
      <c r="L91" s="160">
        <v>84000000</v>
      </c>
      <c r="M91" s="117"/>
      <c r="N91" s="185"/>
      <c r="O91" s="263"/>
      <c r="P91" s="257"/>
      <c r="Q91" s="188"/>
      <c r="R91" s="188"/>
      <c r="S91" s="188"/>
      <c r="T91" s="188"/>
      <c r="U91" s="188"/>
      <c r="V91" s="188"/>
      <c r="W91" s="188"/>
      <c r="X91" s="188"/>
      <c r="Y91" s="188"/>
      <c r="Z91" s="188"/>
      <c r="AA91" s="188"/>
      <c r="AB91" s="941">
        <f t="shared" si="10"/>
        <v>0</v>
      </c>
      <c r="AC91" s="948">
        <f t="shared" si="11"/>
        <v>0</v>
      </c>
      <c r="AD91" s="1228" t="s">
        <v>156</v>
      </c>
      <c r="AE91" s="291" t="s">
        <v>315</v>
      </c>
      <c r="AF91" s="313" t="s">
        <v>188</v>
      </c>
      <c r="AG91" s="571">
        <f>O91</f>
        <v>0</v>
      </c>
      <c r="AH91" s="356">
        <v>84000000</v>
      </c>
      <c r="AI91" s="1207">
        <f t="shared" si="8"/>
        <v>84000000</v>
      </c>
      <c r="AJ91" s="1262"/>
    </row>
    <row r="92" spans="1:36" s="9" customFormat="1">
      <c r="A92" s="96" t="s">
        <v>48</v>
      </c>
      <c r="B92" s="191">
        <f t="shared" si="9"/>
        <v>0</v>
      </c>
      <c r="C92" s="94" t="s">
        <v>44</v>
      </c>
      <c r="D92" s="94" t="s">
        <v>907</v>
      </c>
      <c r="E92" s="94" t="s">
        <v>45</v>
      </c>
      <c r="F92" s="94" t="s">
        <v>366</v>
      </c>
      <c r="G92" s="95" t="s">
        <v>46</v>
      </c>
      <c r="H92" s="1228" t="s">
        <v>156</v>
      </c>
      <c r="I92" s="182">
        <v>0</v>
      </c>
      <c r="J92" s="535"/>
      <c r="K92" s="117"/>
      <c r="L92" s="160"/>
      <c r="M92" s="117"/>
      <c r="N92" s="185"/>
      <c r="O92" s="263"/>
      <c r="P92" s="257"/>
      <c r="Q92" s="188"/>
      <c r="R92" s="188"/>
      <c r="S92" s="188"/>
      <c r="T92" s="188"/>
      <c r="U92" s="188"/>
      <c r="V92" s="188"/>
      <c r="W92" s="188"/>
      <c r="X92" s="188"/>
      <c r="Y92" s="188"/>
      <c r="Z92" s="188"/>
      <c r="AA92" s="188"/>
      <c r="AB92" s="941">
        <f t="shared" si="10"/>
        <v>0</v>
      </c>
      <c r="AC92" s="948">
        <f t="shared" si="11"/>
        <v>0</v>
      </c>
      <c r="AD92" s="1228" t="s">
        <v>156</v>
      </c>
      <c r="AE92" s="291" t="s">
        <v>316</v>
      </c>
      <c r="AF92" s="313" t="s">
        <v>188</v>
      </c>
      <c r="AG92" s="571">
        <f>O92</f>
        <v>0</v>
      </c>
      <c r="AH92" s="356">
        <f>105995000-101988000</f>
        <v>4007000</v>
      </c>
      <c r="AI92" s="1207">
        <f t="shared" si="8"/>
        <v>4007000</v>
      </c>
      <c r="AJ92" s="1262"/>
    </row>
    <row r="93" spans="1:36" s="9" customFormat="1">
      <c r="A93" s="96" t="s">
        <v>48</v>
      </c>
      <c r="B93" s="191">
        <f t="shared" si="9"/>
        <v>4320000</v>
      </c>
      <c r="C93" s="86" t="s">
        <v>44</v>
      </c>
      <c r="D93" s="94" t="s">
        <v>907</v>
      </c>
      <c r="E93" s="86" t="s">
        <v>45</v>
      </c>
      <c r="F93" s="86" t="s">
        <v>366</v>
      </c>
      <c r="G93" s="97" t="s">
        <v>46</v>
      </c>
      <c r="H93" s="1352">
        <v>441</v>
      </c>
      <c r="I93" s="182">
        <v>0</v>
      </c>
      <c r="J93" s="535"/>
      <c r="K93" s="117">
        <v>372</v>
      </c>
      <c r="L93" s="160">
        <v>4320000</v>
      </c>
      <c r="M93" s="1333">
        <v>389</v>
      </c>
      <c r="N93" s="513">
        <v>4320000</v>
      </c>
      <c r="O93" s="263">
        <v>305</v>
      </c>
      <c r="P93" s="514"/>
      <c r="Q93" s="515"/>
      <c r="R93" s="515"/>
      <c r="S93" s="515"/>
      <c r="T93" s="515"/>
      <c r="U93" s="515"/>
      <c r="V93" s="515"/>
      <c r="W93" s="515"/>
      <c r="X93" s="188"/>
      <c r="Y93" s="515"/>
      <c r="Z93" s="515"/>
      <c r="AA93" s="515"/>
      <c r="AB93" s="941">
        <f t="shared" si="10"/>
        <v>0</v>
      </c>
      <c r="AC93" s="948">
        <f t="shared" si="11"/>
        <v>4320000</v>
      </c>
      <c r="AD93" s="1228">
        <v>441</v>
      </c>
      <c r="AE93" s="1237" t="s">
        <v>320</v>
      </c>
      <c r="AF93" s="313" t="s">
        <v>894</v>
      </c>
      <c r="AG93" s="571">
        <f>O93</f>
        <v>305</v>
      </c>
      <c r="AH93" s="356">
        <v>4320000</v>
      </c>
      <c r="AI93" s="1207">
        <f t="shared" si="8"/>
        <v>0</v>
      </c>
      <c r="AJ93" s="1262"/>
    </row>
    <row r="94" spans="1:36" s="9" customFormat="1">
      <c r="A94" s="96" t="s">
        <v>48</v>
      </c>
      <c r="B94" s="191">
        <f>L94</f>
        <v>0</v>
      </c>
      <c r="C94" s="86" t="s">
        <v>44</v>
      </c>
      <c r="D94" s="94" t="s">
        <v>907</v>
      </c>
      <c r="E94" s="86" t="s">
        <v>45</v>
      </c>
      <c r="F94" s="86" t="s">
        <v>366</v>
      </c>
      <c r="G94" s="97" t="s">
        <v>46</v>
      </c>
      <c r="H94" s="1228" t="s">
        <v>156</v>
      </c>
      <c r="I94" s="182"/>
      <c r="J94" s="535"/>
      <c r="K94" s="117"/>
      <c r="L94" s="160"/>
      <c r="M94" s="1333"/>
      <c r="N94" s="513"/>
      <c r="O94" s="263"/>
      <c r="P94" s="514"/>
      <c r="Q94" s="515"/>
      <c r="R94" s="515"/>
      <c r="S94" s="515"/>
      <c r="T94" s="515"/>
      <c r="U94" s="515"/>
      <c r="V94" s="515"/>
      <c r="W94" s="515"/>
      <c r="X94" s="515"/>
      <c r="Y94" s="515"/>
      <c r="Z94" s="515"/>
      <c r="AA94" s="515"/>
      <c r="AB94" s="941"/>
      <c r="AC94" s="948"/>
      <c r="AD94" s="1228" t="s">
        <v>363</v>
      </c>
      <c r="AE94" s="1237" t="s">
        <v>857</v>
      </c>
      <c r="AF94" s="313" t="s">
        <v>188</v>
      </c>
      <c r="AG94" s="571"/>
      <c r="AH94" s="356">
        <v>51988000</v>
      </c>
      <c r="AI94" s="1207"/>
      <c r="AJ94" s="1262"/>
    </row>
    <row r="95" spans="1:36" s="9" customFormat="1">
      <c r="A95" s="96" t="s">
        <v>48</v>
      </c>
      <c r="B95" s="191">
        <f t="shared" si="9"/>
        <v>50000000</v>
      </c>
      <c r="C95" s="86" t="s">
        <v>44</v>
      </c>
      <c r="D95" s="94" t="s">
        <v>907</v>
      </c>
      <c r="E95" s="86" t="s">
        <v>45</v>
      </c>
      <c r="F95" s="86" t="s">
        <v>366</v>
      </c>
      <c r="G95" s="97" t="s">
        <v>46</v>
      </c>
      <c r="H95" s="1228">
        <v>452</v>
      </c>
      <c r="I95" s="182"/>
      <c r="J95" s="535"/>
      <c r="K95" s="117">
        <v>398</v>
      </c>
      <c r="L95" s="160">
        <v>50000000</v>
      </c>
      <c r="M95" s="1333"/>
      <c r="N95" s="513"/>
      <c r="O95" s="263"/>
      <c r="P95" s="514"/>
      <c r="Q95" s="515"/>
      <c r="R95" s="515"/>
      <c r="S95" s="515"/>
      <c r="T95" s="515"/>
      <c r="U95" s="515"/>
      <c r="V95" s="515"/>
      <c r="W95" s="515"/>
      <c r="X95" s="515"/>
      <c r="Y95" s="515"/>
      <c r="Z95" s="515"/>
      <c r="AA95" s="515"/>
      <c r="AB95" s="941"/>
      <c r="AC95" s="948"/>
      <c r="AD95" s="1228">
        <v>452</v>
      </c>
      <c r="AE95" s="1237" t="s">
        <v>858</v>
      </c>
      <c r="AF95" s="313" t="s">
        <v>188</v>
      </c>
      <c r="AG95" s="571"/>
      <c r="AH95" s="356">
        <v>50000000</v>
      </c>
      <c r="AI95" s="1207"/>
      <c r="AJ95" s="1262"/>
    </row>
    <row r="96" spans="1:36" s="9" customFormat="1">
      <c r="A96" s="96" t="s">
        <v>48</v>
      </c>
      <c r="B96" s="191">
        <f t="shared" si="9"/>
        <v>0</v>
      </c>
      <c r="C96" s="86" t="s">
        <v>44</v>
      </c>
      <c r="D96" s="94" t="s">
        <v>907</v>
      </c>
      <c r="E96" s="86" t="s">
        <v>45</v>
      </c>
      <c r="F96" s="86" t="s">
        <v>366</v>
      </c>
      <c r="G96" s="97" t="s">
        <v>46</v>
      </c>
      <c r="H96" s="1228" t="s">
        <v>156</v>
      </c>
      <c r="I96" s="182"/>
      <c r="J96" s="535"/>
      <c r="K96" s="117"/>
      <c r="L96" s="160"/>
      <c r="M96" s="1333"/>
      <c r="N96" s="513"/>
      <c r="O96" s="263"/>
      <c r="P96" s="514"/>
      <c r="Q96" s="515"/>
      <c r="R96" s="515"/>
      <c r="S96" s="515"/>
      <c r="T96" s="515"/>
      <c r="U96" s="515"/>
      <c r="V96" s="515"/>
      <c r="W96" s="515"/>
      <c r="X96" s="515"/>
      <c r="Y96" s="515"/>
      <c r="Z96" s="515"/>
      <c r="AA96" s="515"/>
      <c r="AB96" s="941"/>
      <c r="AC96" s="948"/>
      <c r="AD96" s="1228"/>
      <c r="AE96" s="1237"/>
      <c r="AF96" s="313" t="s">
        <v>188</v>
      </c>
      <c r="AG96" s="571"/>
      <c r="AH96" s="356"/>
      <c r="AI96" s="1207"/>
      <c r="AJ96" s="1262"/>
    </row>
    <row r="97" spans="1:37" s="9" customFormat="1">
      <c r="A97" s="190" t="s">
        <v>31</v>
      </c>
      <c r="B97" s="192">
        <f>B78-SUM(B79:B96)</f>
        <v>118035000</v>
      </c>
      <c r="C97" s="92"/>
      <c r="D97" s="92"/>
      <c r="E97" s="92"/>
      <c r="F97" s="92"/>
      <c r="G97" s="93"/>
      <c r="H97" s="1307"/>
      <c r="I97" s="58"/>
      <c r="J97" s="325"/>
      <c r="K97" s="119"/>
      <c r="L97" s="164">
        <f>SUM(L79:L96)</f>
        <v>501965000</v>
      </c>
      <c r="M97" s="119"/>
      <c r="N97" s="164">
        <f>SUM(N79:N96)</f>
        <v>126965000</v>
      </c>
      <c r="O97" s="206"/>
      <c r="P97" s="164">
        <f t="shared" ref="P97:AC97" si="12">SUM(P79:P96)</f>
        <v>0</v>
      </c>
      <c r="Q97" s="164">
        <f t="shared" si="12"/>
        <v>0</v>
      </c>
      <c r="R97" s="164">
        <f t="shared" si="12"/>
        <v>11774500</v>
      </c>
      <c r="S97" s="164">
        <f t="shared" si="12"/>
        <v>0</v>
      </c>
      <c r="T97" s="164">
        <f t="shared" si="12"/>
        <v>0</v>
      </c>
      <c r="U97" s="164">
        <f t="shared" si="12"/>
        <v>0</v>
      </c>
      <c r="V97" s="164">
        <f t="shared" si="12"/>
        <v>0</v>
      </c>
      <c r="W97" s="164">
        <f t="shared" si="12"/>
        <v>0</v>
      </c>
      <c r="X97" s="164">
        <f t="shared" si="12"/>
        <v>0</v>
      </c>
      <c r="Y97" s="164">
        <f t="shared" si="12"/>
        <v>0</v>
      </c>
      <c r="Z97" s="164">
        <f t="shared" si="12"/>
        <v>0</v>
      </c>
      <c r="AA97" s="164">
        <f t="shared" si="12"/>
        <v>0</v>
      </c>
      <c r="AB97" s="164">
        <f t="shared" si="12"/>
        <v>11774500</v>
      </c>
      <c r="AC97" s="164">
        <f t="shared" si="12"/>
        <v>115190500</v>
      </c>
      <c r="AD97" s="1180"/>
      <c r="AE97" s="353"/>
      <c r="AF97" s="353"/>
      <c r="AG97" s="579"/>
      <c r="AH97" s="164">
        <f>SUM(AH79:AH96)</f>
        <v>620000000</v>
      </c>
      <c r="AI97" s="164">
        <f>SUM(AI79:AI96)</f>
        <v>391047000</v>
      </c>
      <c r="AJ97" s="1104">
        <f>B78-AH97</f>
        <v>0</v>
      </c>
      <c r="AK97" s="357"/>
    </row>
    <row r="98" spans="1:37" s="7" customFormat="1" ht="42.75" customHeight="1">
      <c r="A98" s="932" t="s">
        <v>49</v>
      </c>
      <c r="B98" s="196">
        <f>B99+B151</f>
        <v>2849633557</v>
      </c>
      <c r="C98" s="687"/>
      <c r="D98" s="687"/>
      <c r="E98" s="687"/>
      <c r="F98" s="687"/>
      <c r="G98" s="688"/>
      <c r="H98" s="1308"/>
      <c r="I98" s="494"/>
      <c r="J98" s="548"/>
      <c r="K98" s="1323"/>
      <c r="L98" s="484"/>
      <c r="M98" s="1323"/>
      <c r="N98" s="485"/>
      <c r="O98" s="486"/>
      <c r="P98" s="487"/>
      <c r="Q98" s="488"/>
      <c r="R98" s="488"/>
      <c r="S98" s="488"/>
      <c r="T98" s="488"/>
      <c r="U98" s="488"/>
      <c r="V98" s="488"/>
      <c r="W98" s="488"/>
      <c r="X98" s="488"/>
      <c r="Y98" s="488"/>
      <c r="Z98" s="488"/>
      <c r="AA98" s="488"/>
      <c r="AB98" s="944"/>
      <c r="AC98" s="983"/>
      <c r="AD98" s="1238"/>
      <c r="AE98" s="489"/>
      <c r="AF98" s="489"/>
      <c r="AG98" s="1451"/>
      <c r="AH98" s="490"/>
      <c r="AI98" s="1239"/>
      <c r="AJ98" s="1262"/>
    </row>
    <row r="99" spans="1:37" s="9" customFormat="1" ht="71.25">
      <c r="A99" s="934" t="s">
        <v>49</v>
      </c>
      <c r="B99" s="194">
        <f>2527953557+20680000+88000000+150000000</f>
        <v>2786633557</v>
      </c>
      <c r="C99" s="975" t="s">
        <v>44</v>
      </c>
      <c r="D99" s="976" t="s">
        <v>906</v>
      </c>
      <c r="E99" s="976" t="s">
        <v>45</v>
      </c>
      <c r="F99" s="975" t="s">
        <v>367</v>
      </c>
      <c r="G99" s="977" t="s">
        <v>46</v>
      </c>
      <c r="H99" s="1309"/>
      <c r="I99" s="938"/>
      <c r="J99" s="496"/>
      <c r="K99" s="1324"/>
      <c r="L99" s="493"/>
      <c r="M99" s="1324"/>
      <c r="N99" s="493"/>
      <c r="O99" s="491"/>
      <c r="P99" s="487"/>
      <c r="Q99" s="488"/>
      <c r="R99" s="488"/>
      <c r="S99" s="488"/>
      <c r="T99" s="488"/>
      <c r="U99" s="488"/>
      <c r="V99" s="488"/>
      <c r="W99" s="488"/>
      <c r="X99" s="488"/>
      <c r="Y99" s="488"/>
      <c r="Z99" s="488"/>
      <c r="AA99" s="488"/>
      <c r="AB99" s="944">
        <f>SUM(P99:AA99)</f>
        <v>0</v>
      </c>
      <c r="AC99" s="984"/>
      <c r="AD99" s="1240"/>
      <c r="AE99" s="492"/>
      <c r="AF99" s="492"/>
      <c r="AG99" s="1324"/>
      <c r="AH99" s="493"/>
      <c r="AI99" s="1241"/>
      <c r="AJ99" s="1262"/>
    </row>
    <row r="100" spans="1:37" s="9" customFormat="1">
      <c r="A100" s="99" t="s">
        <v>49</v>
      </c>
      <c r="B100" s="191">
        <f t="shared" ref="B100:B149" si="13">L100</f>
        <v>0</v>
      </c>
      <c r="C100" s="100" t="s">
        <v>44</v>
      </c>
      <c r="D100" s="100" t="s">
        <v>906</v>
      </c>
      <c r="E100" s="100" t="s">
        <v>45</v>
      </c>
      <c r="F100" s="98" t="s">
        <v>367</v>
      </c>
      <c r="G100" s="101" t="s">
        <v>46</v>
      </c>
      <c r="H100" s="1228">
        <v>21</v>
      </c>
      <c r="I100" s="182">
        <v>0</v>
      </c>
      <c r="J100" s="535"/>
      <c r="K100" s="117"/>
      <c r="L100" s="160"/>
      <c r="M100" s="117"/>
      <c r="N100" s="175"/>
      <c r="O100" s="264"/>
      <c r="P100" s="257"/>
      <c r="Q100" s="188"/>
      <c r="R100" s="188"/>
      <c r="S100" s="188"/>
      <c r="T100" s="188"/>
      <c r="U100" s="188"/>
      <c r="V100" s="188"/>
      <c r="W100" s="188"/>
      <c r="X100" s="188"/>
      <c r="Y100" s="188"/>
      <c r="Z100" s="188"/>
      <c r="AA100" s="188"/>
      <c r="AB100" s="941">
        <f>SUM(P100:AA100)</f>
        <v>0</v>
      </c>
      <c r="AC100" s="948">
        <f>N100-AB100</f>
        <v>0</v>
      </c>
      <c r="AD100" s="1228">
        <v>21</v>
      </c>
      <c r="AE100" s="362" t="s">
        <v>267</v>
      </c>
      <c r="AF100" s="370" t="s">
        <v>188</v>
      </c>
      <c r="AG100" s="571">
        <f t="shared" ref="AG100:AG149" si="14">O100</f>
        <v>0</v>
      </c>
      <c r="AH100" s="356">
        <v>7000000</v>
      </c>
      <c r="AI100" s="1207">
        <f t="shared" ref="AI100:AI149" si="15">AH100-N100</f>
        <v>7000000</v>
      </c>
      <c r="AJ100" s="1262"/>
    </row>
    <row r="101" spans="1:37" s="9" customFormat="1">
      <c r="A101" s="99" t="s">
        <v>49</v>
      </c>
      <c r="B101" s="191">
        <f t="shared" si="13"/>
        <v>61380000</v>
      </c>
      <c r="C101" s="100" t="s">
        <v>44</v>
      </c>
      <c r="D101" s="100" t="s">
        <v>906</v>
      </c>
      <c r="E101" s="100" t="s">
        <v>45</v>
      </c>
      <c r="F101" s="98" t="s">
        <v>367</v>
      </c>
      <c r="G101" s="101" t="s">
        <v>46</v>
      </c>
      <c r="H101" s="1228">
        <v>22</v>
      </c>
      <c r="I101" s="182">
        <v>0</v>
      </c>
      <c r="J101" s="535"/>
      <c r="K101" s="117">
        <v>221</v>
      </c>
      <c r="L101" s="160">
        <v>61380000</v>
      </c>
      <c r="M101" s="117">
        <v>191</v>
      </c>
      <c r="N101" s="185">
        <v>61380000</v>
      </c>
      <c r="O101" s="263">
        <v>188</v>
      </c>
      <c r="P101" s="257"/>
      <c r="Q101" s="188"/>
      <c r="R101" s="188">
        <v>5580000</v>
      </c>
      <c r="S101" s="1102"/>
      <c r="T101" s="1102"/>
      <c r="U101" s="188"/>
      <c r="V101" s="188"/>
      <c r="W101" s="188"/>
      <c r="X101" s="188"/>
      <c r="Y101" s="188"/>
      <c r="Z101" s="188"/>
      <c r="AA101" s="188"/>
      <c r="AB101" s="941">
        <f t="shared" ref="AB101:AB149" si="16">SUM(P101:AA101)</f>
        <v>5580000</v>
      </c>
      <c r="AC101" s="948">
        <f t="shared" ref="AC101:AC149" si="17">N101-AB101</f>
        <v>55800000</v>
      </c>
      <c r="AD101" s="1228">
        <v>22</v>
      </c>
      <c r="AE101" s="362" t="s">
        <v>268</v>
      </c>
      <c r="AF101" s="313" t="str">
        <f>VLOOKUP(M101,[3]Hoja2!J$141:N$168,5,0)</f>
        <v>MARIA ALEJANDRA TORO VESGA</v>
      </c>
      <c r="AG101" s="571">
        <f t="shared" si="14"/>
        <v>188</v>
      </c>
      <c r="AH101" s="356">
        <v>61380000</v>
      </c>
      <c r="AI101" s="1207">
        <f t="shared" si="15"/>
        <v>0</v>
      </c>
      <c r="AJ101" s="1262"/>
    </row>
    <row r="102" spans="1:37" s="9" customFormat="1">
      <c r="A102" s="99" t="s">
        <v>49</v>
      </c>
      <c r="B102" s="191">
        <f t="shared" si="13"/>
        <v>36303381</v>
      </c>
      <c r="C102" s="100" t="s">
        <v>44</v>
      </c>
      <c r="D102" s="100" t="s">
        <v>906</v>
      </c>
      <c r="E102" s="100" t="s">
        <v>45</v>
      </c>
      <c r="F102" s="98" t="s">
        <v>367</v>
      </c>
      <c r="G102" s="101" t="s">
        <v>46</v>
      </c>
      <c r="H102" s="1228">
        <v>24</v>
      </c>
      <c r="I102" s="182">
        <v>0</v>
      </c>
      <c r="J102" s="535"/>
      <c r="K102" s="117">
        <v>262</v>
      </c>
      <c r="L102" s="160">
        <v>36303381</v>
      </c>
      <c r="M102" s="117">
        <f>VLOOKUP(K102,[4]RP!I$194:J$247,2,0)</f>
        <v>271</v>
      </c>
      <c r="N102" s="160">
        <v>36303381</v>
      </c>
      <c r="O102" s="264">
        <v>240</v>
      </c>
      <c r="P102" s="257"/>
      <c r="Q102" s="1102"/>
      <c r="R102" s="188">
        <v>2090000</v>
      </c>
      <c r="S102" s="1102"/>
      <c r="T102" s="1102"/>
      <c r="U102" s="188"/>
      <c r="V102" s="188"/>
      <c r="W102" s="188"/>
      <c r="X102" s="188"/>
      <c r="Y102" s="188"/>
      <c r="Z102" s="188"/>
      <c r="AA102" s="188"/>
      <c r="AB102" s="941">
        <f t="shared" si="16"/>
        <v>2090000</v>
      </c>
      <c r="AC102" s="948">
        <f t="shared" si="17"/>
        <v>34213381</v>
      </c>
      <c r="AD102" s="1228">
        <v>24</v>
      </c>
      <c r="AE102" s="362" t="s">
        <v>269</v>
      </c>
      <c r="AF102" s="370" t="s">
        <v>695</v>
      </c>
      <c r="AG102" s="571">
        <f t="shared" si="14"/>
        <v>240</v>
      </c>
      <c r="AH102" s="356">
        <v>36303381</v>
      </c>
      <c r="AI102" s="1207">
        <f t="shared" si="15"/>
        <v>0</v>
      </c>
      <c r="AJ102" s="1262"/>
    </row>
    <row r="103" spans="1:37" s="9" customFormat="1">
      <c r="A103" s="99" t="s">
        <v>49</v>
      </c>
      <c r="B103" s="191">
        <f t="shared" si="13"/>
        <v>20000000</v>
      </c>
      <c r="C103" s="100" t="s">
        <v>44</v>
      </c>
      <c r="D103" s="100" t="s">
        <v>906</v>
      </c>
      <c r="E103" s="100" t="s">
        <v>45</v>
      </c>
      <c r="F103" s="98" t="s">
        <v>367</v>
      </c>
      <c r="G103" s="101" t="s">
        <v>46</v>
      </c>
      <c r="H103" s="1228">
        <v>26</v>
      </c>
      <c r="I103" s="182">
        <v>0</v>
      </c>
      <c r="J103" s="535"/>
      <c r="K103" s="117">
        <v>284</v>
      </c>
      <c r="L103" s="160">
        <v>20000000</v>
      </c>
      <c r="M103" s="117">
        <v>300</v>
      </c>
      <c r="N103" s="175">
        <v>20000000</v>
      </c>
      <c r="O103" s="264">
        <v>249</v>
      </c>
      <c r="P103" s="257"/>
      <c r="Q103" s="1102"/>
      <c r="R103" s="188"/>
      <c r="S103" s="1102"/>
      <c r="T103" s="1102"/>
      <c r="U103" s="188"/>
      <c r="V103" s="188"/>
      <c r="W103" s="188"/>
      <c r="X103" s="188"/>
      <c r="Y103" s="188"/>
      <c r="Z103" s="188"/>
      <c r="AA103" s="188"/>
      <c r="AB103" s="941">
        <f t="shared" si="16"/>
        <v>0</v>
      </c>
      <c r="AC103" s="948">
        <f t="shared" si="17"/>
        <v>20000000</v>
      </c>
      <c r="AD103" s="1228">
        <v>26</v>
      </c>
      <c r="AE103" s="362" t="s">
        <v>270</v>
      </c>
      <c r="AF103" s="370" t="s">
        <v>694</v>
      </c>
      <c r="AG103" s="571">
        <f t="shared" si="14"/>
        <v>249</v>
      </c>
      <c r="AH103" s="356">
        <v>20000000</v>
      </c>
      <c r="AI103" s="1207">
        <f t="shared" si="15"/>
        <v>0</v>
      </c>
      <c r="AJ103" s="1262"/>
    </row>
    <row r="104" spans="1:37" s="9" customFormat="1">
      <c r="A104" s="99" t="s">
        <v>49</v>
      </c>
      <c r="B104" s="191">
        <f t="shared" si="13"/>
        <v>66880000</v>
      </c>
      <c r="C104" s="100" t="s">
        <v>44</v>
      </c>
      <c r="D104" s="100" t="s">
        <v>906</v>
      </c>
      <c r="E104" s="100" t="s">
        <v>45</v>
      </c>
      <c r="F104" s="98" t="s">
        <v>367</v>
      </c>
      <c r="G104" s="101" t="s">
        <v>46</v>
      </c>
      <c r="H104" s="1228">
        <v>30</v>
      </c>
      <c r="I104" s="182">
        <v>0</v>
      </c>
      <c r="J104" s="535"/>
      <c r="K104" s="117">
        <v>156</v>
      </c>
      <c r="L104" s="160">
        <v>66880000</v>
      </c>
      <c r="M104" s="117">
        <v>168</v>
      </c>
      <c r="N104" s="185">
        <v>66880000</v>
      </c>
      <c r="O104" s="263">
        <v>154</v>
      </c>
      <c r="P104" s="257"/>
      <c r="Q104" s="188"/>
      <c r="R104" s="188">
        <v>6282667</v>
      </c>
      <c r="S104" s="1102"/>
      <c r="T104" s="1102"/>
      <c r="U104" s="188"/>
      <c r="V104" s="188"/>
      <c r="W104" s="188"/>
      <c r="X104" s="188"/>
      <c r="Y104" s="188"/>
      <c r="Z104" s="188"/>
      <c r="AA104" s="188"/>
      <c r="AB104" s="941">
        <f t="shared" si="16"/>
        <v>6282667</v>
      </c>
      <c r="AC104" s="948">
        <f t="shared" si="17"/>
        <v>60597333</v>
      </c>
      <c r="AD104" s="1228">
        <v>30</v>
      </c>
      <c r="AE104" s="362" t="s">
        <v>271</v>
      </c>
      <c r="AF104" s="313" t="str">
        <f>VLOOKUP(M104,[3]Hoja2!J$141:N$168,5,0)</f>
        <v>CARLOS  LEMA POSADA</v>
      </c>
      <c r="AG104" s="571">
        <f t="shared" si="14"/>
        <v>154</v>
      </c>
      <c r="AH104" s="356">
        <v>66880000</v>
      </c>
      <c r="AI104" s="1207">
        <f t="shared" si="15"/>
        <v>0</v>
      </c>
      <c r="AJ104" s="1262"/>
    </row>
    <row r="105" spans="1:37" s="9" customFormat="1">
      <c r="A105" s="99" t="s">
        <v>49</v>
      </c>
      <c r="B105" s="191">
        <f t="shared" si="13"/>
        <v>95260000</v>
      </c>
      <c r="C105" s="100" t="s">
        <v>44</v>
      </c>
      <c r="D105" s="100" t="s">
        <v>906</v>
      </c>
      <c r="E105" s="100" t="s">
        <v>45</v>
      </c>
      <c r="F105" s="98" t="s">
        <v>367</v>
      </c>
      <c r="G105" s="101" t="s">
        <v>46</v>
      </c>
      <c r="H105" s="1228">
        <v>31</v>
      </c>
      <c r="I105" s="182">
        <v>0</v>
      </c>
      <c r="J105" s="535"/>
      <c r="K105" s="117">
        <v>103</v>
      </c>
      <c r="L105" s="160">
        <v>95260000</v>
      </c>
      <c r="M105" s="117">
        <v>115</v>
      </c>
      <c r="N105" s="185">
        <v>95260000</v>
      </c>
      <c r="O105" s="263">
        <v>106</v>
      </c>
      <c r="P105" s="257"/>
      <c r="Q105" s="188">
        <v>2309333</v>
      </c>
      <c r="R105" s="188">
        <v>8660000</v>
      </c>
      <c r="S105" s="1102"/>
      <c r="T105" s="1102"/>
      <c r="U105" s="188"/>
      <c r="V105" s="188"/>
      <c r="W105" s="188"/>
      <c r="X105" s="188"/>
      <c r="Y105" s="188"/>
      <c r="Z105" s="188"/>
      <c r="AA105" s="188"/>
      <c r="AB105" s="941">
        <f t="shared" si="16"/>
        <v>10969333</v>
      </c>
      <c r="AC105" s="948">
        <f t="shared" si="17"/>
        <v>84290667</v>
      </c>
      <c r="AD105" s="1228">
        <v>31</v>
      </c>
      <c r="AE105" s="362" t="s">
        <v>272</v>
      </c>
      <c r="AF105" s="313" t="str">
        <f>VLOOKUP(M105,[3]Hoja2!J$141:N$168,5,0)</f>
        <v>CAROLINA DEL PILAR MARTINEZ PEÑA</v>
      </c>
      <c r="AG105" s="571">
        <f t="shared" si="14"/>
        <v>106</v>
      </c>
      <c r="AH105" s="356">
        <v>95260000</v>
      </c>
      <c r="AI105" s="1207">
        <f t="shared" si="15"/>
        <v>0</v>
      </c>
      <c r="AJ105" s="1262"/>
    </row>
    <row r="106" spans="1:37" s="9" customFormat="1">
      <c r="A106" s="99" t="s">
        <v>49</v>
      </c>
      <c r="B106" s="191">
        <f t="shared" si="13"/>
        <v>72820000</v>
      </c>
      <c r="C106" s="100" t="s">
        <v>44</v>
      </c>
      <c r="D106" s="100" t="s">
        <v>906</v>
      </c>
      <c r="E106" s="100" t="s">
        <v>45</v>
      </c>
      <c r="F106" s="98" t="s">
        <v>367</v>
      </c>
      <c r="G106" s="101" t="s">
        <v>46</v>
      </c>
      <c r="H106" s="1228">
        <v>32</v>
      </c>
      <c r="I106" s="182">
        <v>0</v>
      </c>
      <c r="J106" s="535"/>
      <c r="K106" s="117">
        <v>79</v>
      </c>
      <c r="L106" s="160">
        <v>72820000</v>
      </c>
      <c r="M106" s="117">
        <v>129</v>
      </c>
      <c r="N106" s="185">
        <v>72820000</v>
      </c>
      <c r="O106" s="263">
        <v>41</v>
      </c>
      <c r="P106" s="257"/>
      <c r="Q106" s="188">
        <v>1986000</v>
      </c>
      <c r="R106" s="188">
        <v>6620000</v>
      </c>
      <c r="S106" s="1102"/>
      <c r="T106" s="1102"/>
      <c r="U106" s="188"/>
      <c r="V106" s="188"/>
      <c r="W106" s="188"/>
      <c r="X106" s="188"/>
      <c r="Y106" s="188"/>
      <c r="Z106" s="188"/>
      <c r="AA106" s="188"/>
      <c r="AB106" s="941">
        <f t="shared" si="16"/>
        <v>8606000</v>
      </c>
      <c r="AC106" s="948">
        <f t="shared" si="17"/>
        <v>64214000</v>
      </c>
      <c r="AD106" s="1228">
        <v>32</v>
      </c>
      <c r="AE106" s="362" t="s">
        <v>273</v>
      </c>
      <c r="AF106" s="313" t="str">
        <f>VLOOKUP(M106,[3]Hoja2!J$141:N$168,5,0)</f>
        <v>CATALINA  CAVELIER ADARVE</v>
      </c>
      <c r="AG106" s="571">
        <f t="shared" si="14"/>
        <v>41</v>
      </c>
      <c r="AH106" s="356">
        <v>72820000</v>
      </c>
      <c r="AI106" s="1207">
        <f t="shared" si="15"/>
        <v>0</v>
      </c>
      <c r="AJ106" s="1262"/>
    </row>
    <row r="107" spans="1:37" s="9" customFormat="1">
      <c r="A107" s="99" t="s">
        <v>49</v>
      </c>
      <c r="B107" s="191">
        <f t="shared" si="13"/>
        <v>16740000</v>
      </c>
      <c r="C107" s="100" t="s">
        <v>44</v>
      </c>
      <c r="D107" s="100" t="s">
        <v>906</v>
      </c>
      <c r="E107" s="100" t="s">
        <v>45</v>
      </c>
      <c r="F107" s="98" t="s">
        <v>367</v>
      </c>
      <c r="G107" s="101" t="s">
        <v>46</v>
      </c>
      <c r="H107" s="1228">
        <v>33</v>
      </c>
      <c r="I107" s="182">
        <v>0</v>
      </c>
      <c r="J107" s="535"/>
      <c r="K107" s="117">
        <v>247</v>
      </c>
      <c r="L107" s="160">
        <v>16740000</v>
      </c>
      <c r="M107" s="117">
        <f>VLOOKUP(K107,[4]RP!I$194:J$247,2,0)</f>
        <v>277</v>
      </c>
      <c r="N107" s="185">
        <f>VLOOKUP(M107,[4]RP!J$194:V$247,13,0)</f>
        <v>16740000</v>
      </c>
      <c r="O107" s="264">
        <v>237</v>
      </c>
      <c r="P107" s="257"/>
      <c r="Q107" s="1102"/>
      <c r="R107" s="188">
        <v>3534000</v>
      </c>
      <c r="S107" s="1102"/>
      <c r="T107" s="1102"/>
      <c r="U107" s="188"/>
      <c r="V107" s="188"/>
      <c r="W107" s="188"/>
      <c r="X107" s="188"/>
      <c r="Y107" s="188"/>
      <c r="Z107" s="188"/>
      <c r="AA107" s="188"/>
      <c r="AB107" s="941">
        <f t="shared" si="16"/>
        <v>3534000</v>
      </c>
      <c r="AC107" s="948">
        <f t="shared" si="17"/>
        <v>13206000</v>
      </c>
      <c r="AD107" s="1228">
        <v>33</v>
      </c>
      <c r="AE107" s="362" t="s">
        <v>274</v>
      </c>
      <c r="AF107" s="370" t="s">
        <v>707</v>
      </c>
      <c r="AG107" s="571">
        <f t="shared" si="14"/>
        <v>237</v>
      </c>
      <c r="AH107" s="356">
        <v>61380000</v>
      </c>
      <c r="AI107" s="1207">
        <f t="shared" si="15"/>
        <v>44640000</v>
      </c>
      <c r="AJ107" s="1262"/>
    </row>
    <row r="108" spans="1:37" s="9" customFormat="1">
      <c r="A108" s="99" t="s">
        <v>49</v>
      </c>
      <c r="B108" s="191">
        <f t="shared" si="13"/>
        <v>0</v>
      </c>
      <c r="C108" s="100" t="s">
        <v>44</v>
      </c>
      <c r="D108" s="100" t="s">
        <v>906</v>
      </c>
      <c r="E108" s="100" t="s">
        <v>45</v>
      </c>
      <c r="F108" s="98" t="s">
        <v>367</v>
      </c>
      <c r="G108" s="101" t="s">
        <v>46</v>
      </c>
      <c r="H108" s="1228">
        <v>34</v>
      </c>
      <c r="I108" s="182">
        <v>0</v>
      </c>
      <c r="J108" s="535"/>
      <c r="K108" s="117"/>
      <c r="L108" s="160"/>
      <c r="M108" s="117"/>
      <c r="N108" s="175"/>
      <c r="O108" s="264"/>
      <c r="P108" s="257"/>
      <c r="Q108" s="1102"/>
      <c r="R108" s="188"/>
      <c r="S108" s="1102"/>
      <c r="T108" s="1102"/>
      <c r="U108" s="188"/>
      <c r="V108" s="188"/>
      <c r="W108" s="188"/>
      <c r="X108" s="188"/>
      <c r="Y108" s="188"/>
      <c r="Z108" s="188"/>
      <c r="AA108" s="188"/>
      <c r="AB108" s="941">
        <f t="shared" si="16"/>
        <v>0</v>
      </c>
      <c r="AC108" s="948">
        <f t="shared" si="17"/>
        <v>0</v>
      </c>
      <c r="AD108" s="1228">
        <v>34</v>
      </c>
      <c r="AE108" s="362" t="s">
        <v>275</v>
      </c>
      <c r="AF108" s="370" t="s">
        <v>188</v>
      </c>
      <c r="AG108" s="571">
        <f t="shared" si="14"/>
        <v>0</v>
      </c>
      <c r="AH108" s="356">
        <v>12000000</v>
      </c>
      <c r="AI108" s="1207">
        <f t="shared" si="15"/>
        <v>12000000</v>
      </c>
      <c r="AJ108" s="1262"/>
    </row>
    <row r="109" spans="1:37" s="9" customFormat="1">
      <c r="A109" s="99" t="s">
        <v>49</v>
      </c>
      <c r="B109" s="191">
        <f t="shared" si="13"/>
        <v>55000000</v>
      </c>
      <c r="C109" s="100" t="s">
        <v>44</v>
      </c>
      <c r="D109" s="100" t="s">
        <v>906</v>
      </c>
      <c r="E109" s="100" t="s">
        <v>45</v>
      </c>
      <c r="F109" s="98" t="s">
        <v>367</v>
      </c>
      <c r="G109" s="101" t="s">
        <v>46</v>
      </c>
      <c r="H109" s="1228">
        <v>35</v>
      </c>
      <c r="I109" s="182">
        <v>0</v>
      </c>
      <c r="J109" s="535"/>
      <c r="K109" s="117">
        <v>191</v>
      </c>
      <c r="L109" s="160">
        <v>55000000</v>
      </c>
      <c r="M109" s="117">
        <v>192</v>
      </c>
      <c r="N109" s="185">
        <v>55000000</v>
      </c>
      <c r="O109" s="263">
        <v>170</v>
      </c>
      <c r="P109" s="257"/>
      <c r="Q109" s="188"/>
      <c r="R109" s="188">
        <v>5000000</v>
      </c>
      <c r="S109" s="1102"/>
      <c r="T109" s="1102"/>
      <c r="U109" s="188"/>
      <c r="V109" s="188"/>
      <c r="W109" s="188"/>
      <c r="X109" s="188"/>
      <c r="Y109" s="188"/>
      <c r="Z109" s="188"/>
      <c r="AA109" s="188"/>
      <c r="AB109" s="941">
        <f t="shared" si="16"/>
        <v>5000000</v>
      </c>
      <c r="AC109" s="948">
        <f t="shared" si="17"/>
        <v>50000000</v>
      </c>
      <c r="AD109" s="1228">
        <v>35</v>
      </c>
      <c r="AE109" s="362" t="s">
        <v>276</v>
      </c>
      <c r="AF109" s="313" t="str">
        <f>VLOOKUP(M109,[3]Hoja2!J$141:N$168,5,0)</f>
        <v>CONSTANZA  MEDINA DIAZ</v>
      </c>
      <c r="AG109" s="571">
        <f t="shared" si="14"/>
        <v>170</v>
      </c>
      <c r="AH109" s="356">
        <v>55000000</v>
      </c>
      <c r="AI109" s="1207">
        <f t="shared" si="15"/>
        <v>0</v>
      </c>
      <c r="AJ109" s="1262"/>
    </row>
    <row r="110" spans="1:37" s="9" customFormat="1">
      <c r="A110" s="99" t="s">
        <v>49</v>
      </c>
      <c r="B110" s="191">
        <f t="shared" si="13"/>
        <v>65560000</v>
      </c>
      <c r="C110" s="100" t="s">
        <v>44</v>
      </c>
      <c r="D110" s="100" t="s">
        <v>906</v>
      </c>
      <c r="E110" s="100" t="s">
        <v>45</v>
      </c>
      <c r="F110" s="98" t="s">
        <v>367</v>
      </c>
      <c r="G110" s="101" t="s">
        <v>46</v>
      </c>
      <c r="H110" s="1228">
        <v>43</v>
      </c>
      <c r="I110" s="182">
        <v>0</v>
      </c>
      <c r="J110" s="535"/>
      <c r="K110" s="117">
        <v>157</v>
      </c>
      <c r="L110" s="160">
        <v>65560000</v>
      </c>
      <c r="M110" s="117">
        <v>164</v>
      </c>
      <c r="N110" s="185">
        <v>65560000</v>
      </c>
      <c r="O110" s="263">
        <v>146</v>
      </c>
      <c r="P110" s="257"/>
      <c r="Q110" s="188"/>
      <c r="R110" s="188">
        <v>6158667</v>
      </c>
      <c r="S110" s="1102"/>
      <c r="T110" s="1102"/>
      <c r="U110" s="188"/>
      <c r="V110" s="188"/>
      <c r="W110" s="188"/>
      <c r="X110" s="188"/>
      <c r="Y110" s="188"/>
      <c r="Z110" s="188"/>
      <c r="AA110" s="188"/>
      <c r="AB110" s="941">
        <f t="shared" si="16"/>
        <v>6158667</v>
      </c>
      <c r="AC110" s="948">
        <f t="shared" si="17"/>
        <v>59401333</v>
      </c>
      <c r="AD110" s="1228">
        <v>43</v>
      </c>
      <c r="AE110" s="362" t="s">
        <v>277</v>
      </c>
      <c r="AF110" s="313" t="str">
        <f>VLOOKUP(M110,[3]Hoja2!J$141:N$168,5,0)</f>
        <v>DIEGO ANDRES MUÑOZ CASALLAS</v>
      </c>
      <c r="AG110" s="571">
        <f t="shared" si="14"/>
        <v>146</v>
      </c>
      <c r="AH110" s="356">
        <v>65560000</v>
      </c>
      <c r="AI110" s="1207">
        <f t="shared" si="15"/>
        <v>0</v>
      </c>
      <c r="AJ110" s="1262"/>
    </row>
    <row r="111" spans="1:37" s="9" customFormat="1">
      <c r="A111" s="99" t="s">
        <v>49</v>
      </c>
      <c r="B111" s="191">
        <f t="shared" si="13"/>
        <v>88000000</v>
      </c>
      <c r="C111" s="100" t="s">
        <v>44</v>
      </c>
      <c r="D111" s="100" t="s">
        <v>906</v>
      </c>
      <c r="E111" s="100" t="s">
        <v>45</v>
      </c>
      <c r="F111" s="98" t="s">
        <v>367</v>
      </c>
      <c r="G111" s="101" t="s">
        <v>46</v>
      </c>
      <c r="H111" s="1228">
        <v>44</v>
      </c>
      <c r="I111" s="182">
        <v>0</v>
      </c>
      <c r="J111" s="535"/>
      <c r="K111" s="117">
        <v>227</v>
      </c>
      <c r="L111" s="160">
        <v>88000000</v>
      </c>
      <c r="M111" s="117">
        <v>202</v>
      </c>
      <c r="N111" s="185">
        <v>88000000</v>
      </c>
      <c r="O111" s="263">
        <v>181</v>
      </c>
      <c r="P111" s="257"/>
      <c r="Q111" s="188"/>
      <c r="R111" s="188">
        <v>8000000</v>
      </c>
      <c r="S111" s="1102"/>
      <c r="T111" s="1102"/>
      <c r="U111" s="188"/>
      <c r="V111" s="188"/>
      <c r="W111" s="188"/>
      <c r="X111" s="188"/>
      <c r="Y111" s="188"/>
      <c r="Z111" s="188"/>
      <c r="AA111" s="188"/>
      <c r="AB111" s="941">
        <f t="shared" si="16"/>
        <v>8000000</v>
      </c>
      <c r="AC111" s="948">
        <f t="shared" si="17"/>
        <v>80000000</v>
      </c>
      <c r="AD111" s="1228">
        <v>44</v>
      </c>
      <c r="AE111" s="362" t="s">
        <v>278</v>
      </c>
      <c r="AF111" s="313" t="str">
        <f>VLOOKUP(M111,[3]Hoja2!J$141:N$168,5,0)</f>
        <v>DIEGO LUIS ROBAYO DE ANGULO</v>
      </c>
      <c r="AG111" s="571">
        <f t="shared" si="14"/>
        <v>181</v>
      </c>
      <c r="AH111" s="356">
        <v>88000000</v>
      </c>
      <c r="AI111" s="1207">
        <f t="shared" si="15"/>
        <v>0</v>
      </c>
      <c r="AJ111" s="1262"/>
    </row>
    <row r="112" spans="1:37" s="9" customFormat="1">
      <c r="A112" s="99" t="s">
        <v>49</v>
      </c>
      <c r="B112" s="191">
        <f t="shared" si="13"/>
        <v>0</v>
      </c>
      <c r="C112" s="100" t="s">
        <v>44</v>
      </c>
      <c r="D112" s="100" t="s">
        <v>906</v>
      </c>
      <c r="E112" s="100" t="s">
        <v>45</v>
      </c>
      <c r="F112" s="98" t="s">
        <v>367</v>
      </c>
      <c r="G112" s="101" t="s">
        <v>46</v>
      </c>
      <c r="H112" s="1228">
        <v>45</v>
      </c>
      <c r="I112" s="182">
        <v>0</v>
      </c>
      <c r="J112" s="535"/>
      <c r="K112" s="117"/>
      <c r="L112" s="160"/>
      <c r="M112" s="117"/>
      <c r="N112" s="175"/>
      <c r="O112" s="264"/>
      <c r="P112" s="257"/>
      <c r="Q112" s="1102"/>
      <c r="R112" s="188"/>
      <c r="S112" s="1102"/>
      <c r="T112" s="1102"/>
      <c r="U112" s="188"/>
      <c r="V112" s="188"/>
      <c r="W112" s="188"/>
      <c r="X112" s="188"/>
      <c r="Y112" s="188"/>
      <c r="Z112" s="188"/>
      <c r="AA112" s="188"/>
      <c r="AB112" s="941">
        <f t="shared" si="16"/>
        <v>0</v>
      </c>
      <c r="AC112" s="948">
        <f t="shared" si="17"/>
        <v>0</v>
      </c>
      <c r="AD112" s="1228">
        <v>45</v>
      </c>
      <c r="AE112" s="362" t="s">
        <v>279</v>
      </c>
      <c r="AF112" s="370" t="s">
        <v>188</v>
      </c>
      <c r="AG112" s="571">
        <f t="shared" si="14"/>
        <v>0</v>
      </c>
      <c r="AH112" s="356">
        <v>16000000</v>
      </c>
      <c r="AI112" s="1207">
        <f t="shared" si="15"/>
        <v>16000000</v>
      </c>
      <c r="AJ112" s="1262"/>
    </row>
    <row r="113" spans="1:36" s="9" customFormat="1">
      <c r="A113" s="99" t="s">
        <v>49</v>
      </c>
      <c r="B113" s="191">
        <f t="shared" si="13"/>
        <v>49500000</v>
      </c>
      <c r="C113" s="100" t="s">
        <v>44</v>
      </c>
      <c r="D113" s="100" t="s">
        <v>906</v>
      </c>
      <c r="E113" s="100" t="s">
        <v>45</v>
      </c>
      <c r="F113" s="98" t="s">
        <v>367</v>
      </c>
      <c r="G113" s="101" t="s">
        <v>46</v>
      </c>
      <c r="H113" s="1228">
        <v>47</v>
      </c>
      <c r="I113" s="182">
        <v>0</v>
      </c>
      <c r="J113" s="535"/>
      <c r="K113" s="117">
        <v>222</v>
      </c>
      <c r="L113" s="160">
        <v>49500000</v>
      </c>
      <c r="M113" s="117">
        <v>282</v>
      </c>
      <c r="N113" s="185">
        <f>VLOOKUP(M113,[4]RP!J$194:V$247,13,0)</f>
        <v>42000000</v>
      </c>
      <c r="O113" s="264">
        <v>244</v>
      </c>
      <c r="P113" s="257"/>
      <c r="Q113" s="1102"/>
      <c r="R113" s="188">
        <v>1600000</v>
      </c>
      <c r="S113" s="1102"/>
      <c r="T113" s="1102"/>
      <c r="U113" s="188"/>
      <c r="V113" s="188"/>
      <c r="W113" s="188"/>
      <c r="X113" s="188"/>
      <c r="Y113" s="188"/>
      <c r="Z113" s="188"/>
      <c r="AA113" s="188"/>
      <c r="AB113" s="941">
        <f t="shared" si="16"/>
        <v>1600000</v>
      </c>
      <c r="AC113" s="948">
        <f t="shared" si="17"/>
        <v>40400000</v>
      </c>
      <c r="AD113" s="1228">
        <v>47</v>
      </c>
      <c r="AE113" s="362" t="s">
        <v>280</v>
      </c>
      <c r="AF113" s="370" t="s">
        <v>706</v>
      </c>
      <c r="AG113" s="571">
        <f t="shared" si="14"/>
        <v>244</v>
      </c>
      <c r="AH113" s="356">
        <v>49500000</v>
      </c>
      <c r="AI113" s="1207">
        <f t="shared" si="15"/>
        <v>7500000</v>
      </c>
      <c r="AJ113" s="1262"/>
    </row>
    <row r="114" spans="1:36" s="9" customFormat="1">
      <c r="A114" s="99" t="s">
        <v>49</v>
      </c>
      <c r="B114" s="191">
        <f t="shared" si="13"/>
        <v>41580000</v>
      </c>
      <c r="C114" s="100" t="s">
        <v>44</v>
      </c>
      <c r="D114" s="100" t="s">
        <v>906</v>
      </c>
      <c r="E114" s="100" t="s">
        <v>45</v>
      </c>
      <c r="F114" s="98" t="s">
        <v>367</v>
      </c>
      <c r="G114" s="101" t="s">
        <v>46</v>
      </c>
      <c r="H114" s="1228">
        <v>48</v>
      </c>
      <c r="I114" s="182">
        <v>0</v>
      </c>
      <c r="J114" s="535"/>
      <c r="K114" s="117">
        <v>223</v>
      </c>
      <c r="L114" s="160">
        <v>41580000</v>
      </c>
      <c r="M114" s="117">
        <v>190</v>
      </c>
      <c r="N114" s="185">
        <v>41580000</v>
      </c>
      <c r="O114" s="263">
        <v>187</v>
      </c>
      <c r="P114" s="257"/>
      <c r="Q114" s="188"/>
      <c r="R114" s="188">
        <v>3780000</v>
      </c>
      <c r="S114" s="1102"/>
      <c r="T114" s="1102"/>
      <c r="U114" s="188"/>
      <c r="V114" s="188"/>
      <c r="W114" s="188"/>
      <c r="X114" s="188"/>
      <c r="Y114" s="188"/>
      <c r="Z114" s="188"/>
      <c r="AA114" s="188"/>
      <c r="AB114" s="941">
        <f t="shared" si="16"/>
        <v>3780000</v>
      </c>
      <c r="AC114" s="948">
        <f t="shared" si="17"/>
        <v>37800000</v>
      </c>
      <c r="AD114" s="1228">
        <v>48</v>
      </c>
      <c r="AE114" s="362" t="s">
        <v>281</v>
      </c>
      <c r="AF114" s="313" t="str">
        <f>VLOOKUP(M114,[3]Hoja2!J$141:N$168,5,0)</f>
        <v>edgar andres gutierrez sanchez</v>
      </c>
      <c r="AG114" s="571">
        <f t="shared" si="14"/>
        <v>187</v>
      </c>
      <c r="AH114" s="356">
        <v>41580000</v>
      </c>
      <c r="AI114" s="1207">
        <f t="shared" si="15"/>
        <v>0</v>
      </c>
      <c r="AJ114" s="1262"/>
    </row>
    <row r="115" spans="1:36" s="9" customFormat="1">
      <c r="A115" s="99" t="s">
        <v>49</v>
      </c>
      <c r="B115" s="191">
        <f t="shared" si="13"/>
        <v>45935000</v>
      </c>
      <c r="C115" s="100" t="s">
        <v>44</v>
      </c>
      <c r="D115" s="100" t="s">
        <v>906</v>
      </c>
      <c r="E115" s="100" t="s">
        <v>45</v>
      </c>
      <c r="F115" s="98" t="s">
        <v>367</v>
      </c>
      <c r="G115" s="101" t="s">
        <v>46</v>
      </c>
      <c r="H115" s="1228">
        <v>49</v>
      </c>
      <c r="I115" s="182">
        <v>0</v>
      </c>
      <c r="J115" s="535"/>
      <c r="K115" s="117">
        <v>263</v>
      </c>
      <c r="L115" s="160">
        <v>45935000</v>
      </c>
      <c r="M115" s="117">
        <f>VLOOKUP(K115,[4]RP!I$194:J$247,2,0)</f>
        <v>268</v>
      </c>
      <c r="N115" s="160">
        <v>45935000</v>
      </c>
      <c r="O115" s="264">
        <v>238</v>
      </c>
      <c r="P115" s="257"/>
      <c r="Q115" s="1102"/>
      <c r="R115" s="188">
        <v>2090000</v>
      </c>
      <c r="S115" s="1102"/>
      <c r="T115" s="1102"/>
      <c r="U115" s="188"/>
      <c r="V115" s="188"/>
      <c r="W115" s="188"/>
      <c r="X115" s="188"/>
      <c r="Y115" s="188"/>
      <c r="Z115" s="188"/>
      <c r="AA115" s="188"/>
      <c r="AB115" s="941">
        <f t="shared" si="16"/>
        <v>2090000</v>
      </c>
      <c r="AC115" s="948">
        <f t="shared" si="17"/>
        <v>43845000</v>
      </c>
      <c r="AD115" s="1228">
        <v>49</v>
      </c>
      <c r="AE115" s="362" t="s">
        <v>282</v>
      </c>
      <c r="AF115" s="370" t="s">
        <v>696</v>
      </c>
      <c r="AG115" s="571">
        <f t="shared" si="14"/>
        <v>238</v>
      </c>
      <c r="AH115" s="356">
        <v>45935000</v>
      </c>
      <c r="AI115" s="1207">
        <f t="shared" si="15"/>
        <v>0</v>
      </c>
      <c r="AJ115" s="1262"/>
    </row>
    <row r="116" spans="1:36" s="9" customFormat="1">
      <c r="A116" s="99" t="s">
        <v>49</v>
      </c>
      <c r="B116" s="191">
        <f t="shared" si="13"/>
        <v>19980000</v>
      </c>
      <c r="C116" s="100" t="s">
        <v>44</v>
      </c>
      <c r="D116" s="100" t="s">
        <v>906</v>
      </c>
      <c r="E116" s="100" t="s">
        <v>45</v>
      </c>
      <c r="F116" s="98" t="s">
        <v>367</v>
      </c>
      <c r="G116" s="101" t="s">
        <v>46</v>
      </c>
      <c r="H116" s="1228">
        <v>50</v>
      </c>
      <c r="I116" s="182">
        <v>0</v>
      </c>
      <c r="J116" s="535"/>
      <c r="K116" s="117">
        <v>287</v>
      </c>
      <c r="L116" s="160">
        <v>19980000</v>
      </c>
      <c r="M116" s="117">
        <v>329</v>
      </c>
      <c r="N116" s="175">
        <v>19980000</v>
      </c>
      <c r="O116" s="264">
        <v>251</v>
      </c>
      <c r="P116" s="257"/>
      <c r="Q116" s="1102"/>
      <c r="R116" s="188"/>
      <c r="S116" s="1102"/>
      <c r="T116" s="1102"/>
      <c r="U116" s="188"/>
      <c r="V116" s="188"/>
      <c r="W116" s="188"/>
      <c r="X116" s="188"/>
      <c r="Y116" s="188"/>
      <c r="Z116" s="188"/>
      <c r="AA116" s="188"/>
      <c r="AB116" s="941">
        <f t="shared" si="16"/>
        <v>0</v>
      </c>
      <c r="AC116" s="948">
        <f t="shared" si="17"/>
        <v>19980000</v>
      </c>
      <c r="AD116" s="1228">
        <v>50</v>
      </c>
      <c r="AE116" s="362" t="s">
        <v>283</v>
      </c>
      <c r="AF116" s="370" t="s">
        <v>848</v>
      </c>
      <c r="AG116" s="571">
        <f t="shared" si="14"/>
        <v>251</v>
      </c>
      <c r="AH116" s="356">
        <v>19980000</v>
      </c>
      <c r="AI116" s="1207">
        <f t="shared" si="15"/>
        <v>0</v>
      </c>
      <c r="AJ116" s="1262"/>
    </row>
    <row r="117" spans="1:36" s="9" customFormat="1">
      <c r="A117" s="99" t="s">
        <v>49</v>
      </c>
      <c r="B117" s="191">
        <f t="shared" si="13"/>
        <v>46000000</v>
      </c>
      <c r="C117" s="100" t="s">
        <v>44</v>
      </c>
      <c r="D117" s="100" t="s">
        <v>906</v>
      </c>
      <c r="E117" s="100" t="s">
        <v>45</v>
      </c>
      <c r="F117" s="98" t="s">
        <v>367</v>
      </c>
      <c r="G117" s="101" t="s">
        <v>46</v>
      </c>
      <c r="H117" s="1228">
        <v>52</v>
      </c>
      <c r="I117" s="182">
        <v>0</v>
      </c>
      <c r="J117" s="535"/>
      <c r="K117" s="117">
        <v>259</v>
      </c>
      <c r="L117" s="160">
        <v>46000000</v>
      </c>
      <c r="M117" s="117">
        <v>269</v>
      </c>
      <c r="N117" s="185">
        <v>46000000</v>
      </c>
      <c r="O117" s="264">
        <v>243</v>
      </c>
      <c r="P117" s="257"/>
      <c r="Q117" s="1102"/>
      <c r="R117" s="188">
        <v>2453333</v>
      </c>
      <c r="S117" s="1102"/>
      <c r="T117" s="1102"/>
      <c r="U117" s="188"/>
      <c r="V117" s="188"/>
      <c r="W117" s="188"/>
      <c r="X117" s="188"/>
      <c r="Y117" s="188"/>
      <c r="Z117" s="188"/>
      <c r="AA117" s="188"/>
      <c r="AB117" s="941">
        <f t="shared" si="16"/>
        <v>2453333</v>
      </c>
      <c r="AC117" s="948">
        <f t="shared" si="17"/>
        <v>43546667</v>
      </c>
      <c r="AD117" s="1228">
        <v>52</v>
      </c>
      <c r="AE117" s="362" t="s">
        <v>284</v>
      </c>
      <c r="AF117" s="370" t="s">
        <v>705</v>
      </c>
      <c r="AG117" s="571">
        <f t="shared" si="14"/>
        <v>243</v>
      </c>
      <c r="AH117" s="356">
        <v>46000000</v>
      </c>
      <c r="AI117" s="1207">
        <f t="shared" si="15"/>
        <v>0</v>
      </c>
      <c r="AJ117" s="1262"/>
    </row>
    <row r="118" spans="1:36" s="9" customFormat="1">
      <c r="A118" s="99" t="s">
        <v>49</v>
      </c>
      <c r="B118" s="191">
        <f t="shared" si="13"/>
        <v>10000000</v>
      </c>
      <c r="C118" s="100" t="s">
        <v>44</v>
      </c>
      <c r="D118" s="100" t="s">
        <v>906</v>
      </c>
      <c r="E118" s="100" t="s">
        <v>45</v>
      </c>
      <c r="F118" s="98" t="s">
        <v>367</v>
      </c>
      <c r="G118" s="101" t="s">
        <v>46</v>
      </c>
      <c r="H118" s="1228">
        <v>54</v>
      </c>
      <c r="I118" s="182">
        <v>0</v>
      </c>
      <c r="J118" s="535"/>
      <c r="K118" s="117">
        <v>266</v>
      </c>
      <c r="L118" s="160">
        <v>10000000</v>
      </c>
      <c r="M118" s="117">
        <v>295</v>
      </c>
      <c r="N118" s="185">
        <v>10000000</v>
      </c>
      <c r="O118" s="264">
        <v>253</v>
      </c>
      <c r="P118" s="257"/>
      <c r="Q118" s="1102"/>
      <c r="R118" s="188">
        <v>400000</v>
      </c>
      <c r="S118" s="1102"/>
      <c r="T118" s="1102"/>
      <c r="U118" s="188"/>
      <c r="V118" s="188"/>
      <c r="W118" s="188"/>
      <c r="X118" s="188"/>
      <c r="Y118" s="188"/>
      <c r="Z118" s="188"/>
      <c r="AA118" s="188"/>
      <c r="AB118" s="941">
        <f t="shared" si="16"/>
        <v>400000</v>
      </c>
      <c r="AC118" s="948">
        <f t="shared" si="17"/>
        <v>9600000</v>
      </c>
      <c r="AD118" s="1228">
        <v>54</v>
      </c>
      <c r="AE118" s="362" t="s">
        <v>285</v>
      </c>
      <c r="AF118" s="370" t="s">
        <v>704</v>
      </c>
      <c r="AG118" s="571">
        <f t="shared" si="14"/>
        <v>253</v>
      </c>
      <c r="AH118" s="356">
        <v>10000000</v>
      </c>
      <c r="AI118" s="1207">
        <f t="shared" si="15"/>
        <v>0</v>
      </c>
      <c r="AJ118" s="1262"/>
    </row>
    <row r="119" spans="1:36" s="9" customFormat="1">
      <c r="A119" s="99" t="s">
        <v>49</v>
      </c>
      <c r="B119" s="191">
        <f t="shared" si="13"/>
        <v>39600000</v>
      </c>
      <c r="C119" s="100" t="s">
        <v>44</v>
      </c>
      <c r="D119" s="100" t="s">
        <v>906</v>
      </c>
      <c r="E119" s="100" t="s">
        <v>45</v>
      </c>
      <c r="F119" s="98" t="s">
        <v>367</v>
      </c>
      <c r="G119" s="101" t="s">
        <v>46</v>
      </c>
      <c r="H119" s="1228">
        <v>56</v>
      </c>
      <c r="I119" s="182">
        <v>0</v>
      </c>
      <c r="J119" s="535"/>
      <c r="K119" s="117">
        <v>65</v>
      </c>
      <c r="L119" s="160">
        <v>39600000</v>
      </c>
      <c r="M119" s="117">
        <v>36</v>
      </c>
      <c r="N119" s="185">
        <v>39600000</v>
      </c>
      <c r="O119" s="263">
        <v>23</v>
      </c>
      <c r="P119" s="257"/>
      <c r="Q119" s="188">
        <v>1200000</v>
      </c>
      <c r="R119" s="188">
        <v>3600000</v>
      </c>
      <c r="S119" s="1102"/>
      <c r="T119" s="1102"/>
      <c r="U119" s="188"/>
      <c r="V119" s="188"/>
      <c r="W119" s="188"/>
      <c r="X119" s="188"/>
      <c r="Y119" s="188"/>
      <c r="Z119" s="188"/>
      <c r="AA119" s="188"/>
      <c r="AB119" s="941">
        <f t="shared" si="16"/>
        <v>4800000</v>
      </c>
      <c r="AC119" s="948">
        <f t="shared" si="17"/>
        <v>34800000</v>
      </c>
      <c r="AD119" s="1228">
        <v>56</v>
      </c>
      <c r="AE119" s="362" t="s">
        <v>286</v>
      </c>
      <c r="AF119" s="313" t="str">
        <f>VLOOKUP(M119,[3]Hoja2!J$141:N$168,5,0)</f>
        <v>GLORIA LIDIA RODRIGUEZ CASTRO</v>
      </c>
      <c r="AG119" s="571">
        <f t="shared" si="14"/>
        <v>23</v>
      </c>
      <c r="AH119" s="356">
        <v>39600000</v>
      </c>
      <c r="AI119" s="1207">
        <f t="shared" si="15"/>
        <v>0</v>
      </c>
      <c r="AJ119" s="1262"/>
    </row>
    <row r="120" spans="1:36" s="9" customFormat="1">
      <c r="A120" s="99" t="s">
        <v>49</v>
      </c>
      <c r="B120" s="191">
        <f t="shared" si="13"/>
        <v>70620000</v>
      </c>
      <c r="C120" s="100" t="s">
        <v>44</v>
      </c>
      <c r="D120" s="100" t="s">
        <v>906</v>
      </c>
      <c r="E120" s="100" t="s">
        <v>45</v>
      </c>
      <c r="F120" s="98" t="s">
        <v>367</v>
      </c>
      <c r="G120" s="101" t="s">
        <v>46</v>
      </c>
      <c r="H120" s="1228">
        <v>57</v>
      </c>
      <c r="I120" s="182">
        <v>0</v>
      </c>
      <c r="J120" s="535"/>
      <c r="K120" s="117">
        <v>158</v>
      </c>
      <c r="L120" s="160">
        <v>70620000</v>
      </c>
      <c r="M120" s="117">
        <v>165</v>
      </c>
      <c r="N120" s="185">
        <v>70620000</v>
      </c>
      <c r="O120" s="263">
        <v>144</v>
      </c>
      <c r="P120" s="257"/>
      <c r="Q120" s="188"/>
      <c r="R120" s="188">
        <v>5136000</v>
      </c>
      <c r="S120" s="1102"/>
      <c r="T120" s="1102"/>
      <c r="U120" s="188"/>
      <c r="V120" s="188"/>
      <c r="W120" s="188"/>
      <c r="X120" s="188"/>
      <c r="Y120" s="188"/>
      <c r="Z120" s="188"/>
      <c r="AA120" s="188"/>
      <c r="AB120" s="941">
        <f t="shared" si="16"/>
        <v>5136000</v>
      </c>
      <c r="AC120" s="948">
        <f t="shared" si="17"/>
        <v>65484000</v>
      </c>
      <c r="AD120" s="1228">
        <v>57</v>
      </c>
      <c r="AE120" s="362" t="s">
        <v>287</v>
      </c>
      <c r="AF120" s="313" t="str">
        <f>VLOOKUP(M120,[3]Hoja2!J$141:N$168,5,0)</f>
        <v>HANZ  RIPPE GABRIEL</v>
      </c>
      <c r="AG120" s="571">
        <f t="shared" si="14"/>
        <v>144</v>
      </c>
      <c r="AH120" s="356">
        <v>70620000</v>
      </c>
      <c r="AI120" s="1207">
        <f t="shared" si="15"/>
        <v>0</v>
      </c>
      <c r="AJ120" s="1262"/>
    </row>
    <row r="121" spans="1:36" s="9" customFormat="1">
      <c r="A121" s="99" t="s">
        <v>49</v>
      </c>
      <c r="B121" s="191">
        <f t="shared" si="13"/>
        <v>20000000</v>
      </c>
      <c r="C121" s="100" t="s">
        <v>44</v>
      </c>
      <c r="D121" s="100" t="s">
        <v>906</v>
      </c>
      <c r="E121" s="100" t="s">
        <v>45</v>
      </c>
      <c r="F121" s="98" t="s">
        <v>367</v>
      </c>
      <c r="G121" s="101" t="s">
        <v>46</v>
      </c>
      <c r="H121" s="1228">
        <v>59</v>
      </c>
      <c r="I121" s="182">
        <v>0</v>
      </c>
      <c r="J121" s="535"/>
      <c r="K121" s="117">
        <v>299</v>
      </c>
      <c r="L121" s="160">
        <v>20000000</v>
      </c>
      <c r="M121" s="117">
        <v>324</v>
      </c>
      <c r="N121" s="175">
        <v>20000000</v>
      </c>
      <c r="O121" s="264">
        <v>263</v>
      </c>
      <c r="P121" s="257"/>
      <c r="Q121" s="1102"/>
      <c r="R121" s="188"/>
      <c r="S121" s="1102"/>
      <c r="T121" s="1102"/>
      <c r="U121" s="188"/>
      <c r="V121" s="188"/>
      <c r="W121" s="188"/>
      <c r="X121" s="188"/>
      <c r="Y121" s="188"/>
      <c r="Z121" s="188"/>
      <c r="AA121" s="188"/>
      <c r="AB121" s="941">
        <f t="shared" si="16"/>
        <v>0</v>
      </c>
      <c r="AC121" s="948">
        <f t="shared" si="17"/>
        <v>20000000</v>
      </c>
      <c r="AD121" s="1228">
        <v>59</v>
      </c>
      <c r="AE121" s="362" t="s">
        <v>288</v>
      </c>
      <c r="AF121" s="370" t="s">
        <v>846</v>
      </c>
      <c r="AG121" s="571">
        <f t="shared" si="14"/>
        <v>263</v>
      </c>
      <c r="AH121" s="356">
        <v>20000000</v>
      </c>
      <c r="AI121" s="1207">
        <f t="shared" si="15"/>
        <v>0</v>
      </c>
      <c r="AJ121" s="1262"/>
    </row>
    <row r="122" spans="1:36" s="9" customFormat="1">
      <c r="A122" s="99" t="s">
        <v>49</v>
      </c>
      <c r="B122" s="191">
        <f t="shared" si="13"/>
        <v>71500000</v>
      </c>
      <c r="C122" s="100" t="s">
        <v>44</v>
      </c>
      <c r="D122" s="100" t="s">
        <v>906</v>
      </c>
      <c r="E122" s="100" t="s">
        <v>45</v>
      </c>
      <c r="F122" s="98" t="s">
        <v>367</v>
      </c>
      <c r="G122" s="101" t="s">
        <v>46</v>
      </c>
      <c r="H122" s="1228">
        <v>64</v>
      </c>
      <c r="I122" s="182">
        <v>0</v>
      </c>
      <c r="J122" s="535"/>
      <c r="K122" s="117">
        <v>39</v>
      </c>
      <c r="L122" s="160">
        <v>71500000</v>
      </c>
      <c r="M122" s="117">
        <v>37</v>
      </c>
      <c r="N122" s="185">
        <v>71500000</v>
      </c>
      <c r="O122" s="263">
        <v>25</v>
      </c>
      <c r="P122" s="257"/>
      <c r="Q122" s="188">
        <v>2816667</v>
      </c>
      <c r="R122" s="188">
        <v>6500000</v>
      </c>
      <c r="S122" s="1102"/>
      <c r="T122" s="1102"/>
      <c r="U122" s="188"/>
      <c r="V122" s="188"/>
      <c r="W122" s="188"/>
      <c r="X122" s="188"/>
      <c r="Y122" s="188"/>
      <c r="Z122" s="188"/>
      <c r="AA122" s="188"/>
      <c r="AB122" s="941">
        <f t="shared" si="16"/>
        <v>9316667</v>
      </c>
      <c r="AC122" s="948">
        <f t="shared" si="17"/>
        <v>62183333</v>
      </c>
      <c r="AD122" s="1228">
        <v>64</v>
      </c>
      <c r="AE122" s="362" t="s">
        <v>289</v>
      </c>
      <c r="AF122" s="313" t="str">
        <f>VLOOKUP(M122,[3]Hoja2!J$141:N$168,5,0)</f>
        <v>JUAN PABLO HENAO VALLEJO</v>
      </c>
      <c r="AG122" s="571">
        <f t="shared" si="14"/>
        <v>25</v>
      </c>
      <c r="AH122" s="356">
        <v>71500000</v>
      </c>
      <c r="AI122" s="1207">
        <f t="shared" si="15"/>
        <v>0</v>
      </c>
      <c r="AJ122" s="1262"/>
    </row>
    <row r="123" spans="1:36" s="9" customFormat="1">
      <c r="A123" s="99" t="s">
        <v>49</v>
      </c>
      <c r="B123" s="191">
        <f t="shared" si="13"/>
        <v>47300000</v>
      </c>
      <c r="C123" s="100" t="s">
        <v>44</v>
      </c>
      <c r="D123" s="100" t="s">
        <v>906</v>
      </c>
      <c r="E123" s="100" t="s">
        <v>45</v>
      </c>
      <c r="F123" s="98" t="s">
        <v>367</v>
      </c>
      <c r="G123" s="101" t="s">
        <v>46</v>
      </c>
      <c r="H123" s="1228">
        <v>65</v>
      </c>
      <c r="I123" s="182">
        <v>0</v>
      </c>
      <c r="J123" s="535"/>
      <c r="K123" s="117">
        <v>178</v>
      </c>
      <c r="L123" s="160">
        <v>47300000</v>
      </c>
      <c r="M123" s="117">
        <v>180</v>
      </c>
      <c r="N123" s="185">
        <v>47300000</v>
      </c>
      <c r="O123" s="263">
        <v>160</v>
      </c>
      <c r="P123" s="257"/>
      <c r="Q123" s="188"/>
      <c r="R123" s="188">
        <v>4443333</v>
      </c>
      <c r="S123" s="1102"/>
      <c r="T123" s="1102"/>
      <c r="U123" s="188"/>
      <c r="V123" s="188"/>
      <c r="W123" s="188"/>
      <c r="X123" s="188"/>
      <c r="Y123" s="188"/>
      <c r="Z123" s="188"/>
      <c r="AA123" s="188"/>
      <c r="AB123" s="941">
        <f t="shared" si="16"/>
        <v>4443333</v>
      </c>
      <c r="AC123" s="948">
        <f t="shared" si="17"/>
        <v>42856667</v>
      </c>
      <c r="AD123" s="1228">
        <v>65</v>
      </c>
      <c r="AE123" s="362" t="s">
        <v>290</v>
      </c>
      <c r="AF123" s="313" t="str">
        <f>VLOOKUP(M123,[3]Hoja2!J$141:N$168,5,0)</f>
        <v>JUAN SEBASTIAN PINTO MUÑOZ</v>
      </c>
      <c r="AG123" s="571">
        <f t="shared" si="14"/>
        <v>160</v>
      </c>
      <c r="AH123" s="356">
        <f>72820000-25520000</f>
        <v>47300000</v>
      </c>
      <c r="AI123" s="1207">
        <f t="shared" si="15"/>
        <v>0</v>
      </c>
      <c r="AJ123" s="1262"/>
    </row>
    <row r="124" spans="1:36" s="9" customFormat="1">
      <c r="A124" s="99" t="s">
        <v>49</v>
      </c>
      <c r="B124" s="191">
        <f t="shared" si="13"/>
        <v>49500000</v>
      </c>
      <c r="C124" s="100" t="s">
        <v>44</v>
      </c>
      <c r="D124" s="100" t="s">
        <v>906</v>
      </c>
      <c r="E124" s="100" t="s">
        <v>45</v>
      </c>
      <c r="F124" s="98" t="s">
        <v>367</v>
      </c>
      <c r="G124" s="101" t="s">
        <v>46</v>
      </c>
      <c r="H124" s="1228">
        <v>67</v>
      </c>
      <c r="I124" s="182">
        <v>0</v>
      </c>
      <c r="J124" s="535"/>
      <c r="K124" s="117">
        <v>190</v>
      </c>
      <c r="L124" s="160">
        <v>49500000</v>
      </c>
      <c r="M124" s="117">
        <v>176</v>
      </c>
      <c r="N124" s="185">
        <v>49500000</v>
      </c>
      <c r="O124" s="263">
        <v>168</v>
      </c>
      <c r="P124" s="257"/>
      <c r="Q124" s="188"/>
      <c r="R124" s="188">
        <v>4650000</v>
      </c>
      <c r="S124" s="1102"/>
      <c r="T124" s="1102"/>
      <c r="U124" s="188"/>
      <c r="V124" s="188"/>
      <c r="W124" s="188"/>
      <c r="X124" s="188"/>
      <c r="Y124" s="188"/>
      <c r="Z124" s="188"/>
      <c r="AA124" s="188"/>
      <c r="AB124" s="941">
        <f t="shared" si="16"/>
        <v>4650000</v>
      </c>
      <c r="AC124" s="948">
        <f t="shared" si="17"/>
        <v>44850000</v>
      </c>
      <c r="AD124" s="1228">
        <v>67</v>
      </c>
      <c r="AE124" s="362" t="s">
        <v>291</v>
      </c>
      <c r="AF124" s="313" t="str">
        <f>VLOOKUP(M124,[3]Hoja2!J$141:N$168,5,0)</f>
        <v>LAURA  MEJIA TORRES</v>
      </c>
      <c r="AG124" s="571">
        <f t="shared" si="14"/>
        <v>168</v>
      </c>
      <c r="AH124" s="356">
        <v>49500000</v>
      </c>
      <c r="AI124" s="1207">
        <f t="shared" si="15"/>
        <v>0</v>
      </c>
      <c r="AJ124" s="1262"/>
    </row>
    <row r="125" spans="1:36" s="9" customFormat="1">
      <c r="A125" s="99" t="s">
        <v>49</v>
      </c>
      <c r="B125" s="191">
        <f t="shared" si="13"/>
        <v>65560000</v>
      </c>
      <c r="C125" s="100" t="s">
        <v>44</v>
      </c>
      <c r="D125" s="100" t="s">
        <v>906</v>
      </c>
      <c r="E125" s="100" t="s">
        <v>45</v>
      </c>
      <c r="F125" s="98" t="s">
        <v>367</v>
      </c>
      <c r="G125" s="101" t="s">
        <v>46</v>
      </c>
      <c r="H125" s="1228">
        <v>68</v>
      </c>
      <c r="I125" s="182">
        <v>0</v>
      </c>
      <c r="J125" s="535"/>
      <c r="K125" s="117">
        <v>225</v>
      </c>
      <c r="L125" s="160">
        <v>65560000</v>
      </c>
      <c r="M125" s="117">
        <v>223</v>
      </c>
      <c r="N125" s="185">
        <v>65560000</v>
      </c>
      <c r="O125" s="264">
        <v>195</v>
      </c>
      <c r="P125" s="257"/>
      <c r="Q125" s="1102"/>
      <c r="R125" s="188">
        <v>5364000</v>
      </c>
      <c r="S125" s="1102"/>
      <c r="T125" s="1102"/>
      <c r="U125" s="188"/>
      <c r="V125" s="188"/>
      <c r="W125" s="188"/>
      <c r="X125" s="188"/>
      <c r="Y125" s="188"/>
      <c r="Z125" s="188"/>
      <c r="AA125" s="188"/>
      <c r="AB125" s="941">
        <f t="shared" si="16"/>
        <v>5364000</v>
      </c>
      <c r="AC125" s="948">
        <f t="shared" si="17"/>
        <v>60196000</v>
      </c>
      <c r="AD125" s="1228">
        <v>68</v>
      </c>
      <c r="AE125" s="362" t="s">
        <v>292</v>
      </c>
      <c r="AF125" s="370" t="s">
        <v>703</v>
      </c>
      <c r="AG125" s="571">
        <f t="shared" si="14"/>
        <v>195</v>
      </c>
      <c r="AH125" s="356">
        <v>65560000</v>
      </c>
      <c r="AI125" s="1207">
        <f t="shared" si="15"/>
        <v>0</v>
      </c>
      <c r="AJ125" s="1262"/>
    </row>
    <row r="126" spans="1:36" s="9" customFormat="1">
      <c r="A126" s="99" t="s">
        <v>49</v>
      </c>
      <c r="B126" s="191">
        <f t="shared" si="13"/>
        <v>0</v>
      </c>
      <c r="C126" s="100" t="s">
        <v>44</v>
      </c>
      <c r="D126" s="100" t="s">
        <v>906</v>
      </c>
      <c r="E126" s="100" t="s">
        <v>45</v>
      </c>
      <c r="F126" s="98" t="s">
        <v>367</v>
      </c>
      <c r="G126" s="101" t="s">
        <v>46</v>
      </c>
      <c r="H126" s="1228">
        <v>69</v>
      </c>
      <c r="I126" s="182">
        <v>0</v>
      </c>
      <c r="J126" s="535"/>
      <c r="K126" s="117"/>
      <c r="L126" s="160"/>
      <c r="M126" s="117"/>
      <c r="N126" s="175"/>
      <c r="O126" s="264"/>
      <c r="P126" s="257"/>
      <c r="Q126" s="1102"/>
      <c r="R126" s="188"/>
      <c r="S126" s="1102"/>
      <c r="T126" s="1102"/>
      <c r="U126" s="188"/>
      <c r="V126" s="188"/>
      <c r="W126" s="188"/>
      <c r="X126" s="188"/>
      <c r="Y126" s="188"/>
      <c r="Z126" s="188"/>
      <c r="AA126" s="188"/>
      <c r="AB126" s="941">
        <f t="shared" si="16"/>
        <v>0</v>
      </c>
      <c r="AC126" s="948">
        <f t="shared" si="17"/>
        <v>0</v>
      </c>
      <c r="AD126" s="1228">
        <v>69</v>
      </c>
      <c r="AE126" s="362" t="s">
        <v>293</v>
      </c>
      <c r="AF126" s="370" t="s">
        <v>188</v>
      </c>
      <c r="AG126" s="571">
        <f t="shared" si="14"/>
        <v>0</v>
      </c>
      <c r="AH126" s="356">
        <v>10575000</v>
      </c>
      <c r="AI126" s="1207">
        <f t="shared" si="15"/>
        <v>10575000</v>
      </c>
      <c r="AJ126" s="1262"/>
    </row>
    <row r="127" spans="1:36" s="9" customFormat="1">
      <c r="A127" s="99" t="s">
        <v>49</v>
      </c>
      <c r="B127" s="191">
        <f t="shared" si="13"/>
        <v>37800000</v>
      </c>
      <c r="C127" s="100" t="s">
        <v>44</v>
      </c>
      <c r="D127" s="100" t="s">
        <v>906</v>
      </c>
      <c r="E127" s="100" t="s">
        <v>45</v>
      </c>
      <c r="F127" s="98" t="s">
        <v>367</v>
      </c>
      <c r="G127" s="101" t="s">
        <v>46</v>
      </c>
      <c r="H127" s="1228">
        <v>72</v>
      </c>
      <c r="I127" s="182">
        <v>0</v>
      </c>
      <c r="J127" s="535"/>
      <c r="K127" s="117">
        <v>362</v>
      </c>
      <c r="L127" s="160">
        <v>37800000</v>
      </c>
      <c r="M127" s="117">
        <v>382</v>
      </c>
      <c r="N127" s="175">
        <v>37800000</v>
      </c>
      <c r="O127" s="264">
        <v>291</v>
      </c>
      <c r="P127" s="257"/>
      <c r="Q127" s="1102"/>
      <c r="R127" s="188"/>
      <c r="S127" s="1102"/>
      <c r="T127" s="1102"/>
      <c r="U127" s="188"/>
      <c r="V127" s="188"/>
      <c r="W127" s="188"/>
      <c r="X127" s="188"/>
      <c r="Y127" s="188"/>
      <c r="Z127" s="188"/>
      <c r="AA127" s="188"/>
      <c r="AB127" s="941">
        <f t="shared" si="16"/>
        <v>0</v>
      </c>
      <c r="AC127" s="948">
        <f t="shared" si="17"/>
        <v>37800000</v>
      </c>
      <c r="AD127" s="1228">
        <v>72</v>
      </c>
      <c r="AE127" s="362" t="s">
        <v>267</v>
      </c>
      <c r="AF127" s="370" t="s">
        <v>888</v>
      </c>
      <c r="AG127" s="571">
        <f t="shared" si="14"/>
        <v>291</v>
      </c>
      <c r="AH127" s="356">
        <v>37800000</v>
      </c>
      <c r="AI127" s="1207">
        <f t="shared" si="15"/>
        <v>0</v>
      </c>
      <c r="AJ127" s="1262"/>
    </row>
    <row r="128" spans="1:36" s="9" customFormat="1">
      <c r="A128" s="99" t="s">
        <v>49</v>
      </c>
      <c r="B128" s="191">
        <f t="shared" si="13"/>
        <v>65560000</v>
      </c>
      <c r="C128" s="100" t="s">
        <v>44</v>
      </c>
      <c r="D128" s="100" t="s">
        <v>906</v>
      </c>
      <c r="E128" s="100" t="s">
        <v>45</v>
      </c>
      <c r="F128" s="98" t="s">
        <v>367</v>
      </c>
      <c r="G128" s="101" t="s">
        <v>46</v>
      </c>
      <c r="H128" s="1228">
        <v>73</v>
      </c>
      <c r="I128" s="182">
        <v>0</v>
      </c>
      <c r="J128" s="535"/>
      <c r="K128" s="117">
        <v>159</v>
      </c>
      <c r="L128" s="160">
        <v>65560000</v>
      </c>
      <c r="M128" s="117">
        <v>181</v>
      </c>
      <c r="N128" s="185">
        <v>65560000</v>
      </c>
      <c r="O128" s="263">
        <v>143</v>
      </c>
      <c r="P128" s="257"/>
      <c r="Q128" s="188"/>
      <c r="R128" s="188">
        <v>6158667</v>
      </c>
      <c r="S128" s="1102"/>
      <c r="T128" s="1102"/>
      <c r="U128" s="188"/>
      <c r="V128" s="188"/>
      <c r="W128" s="188"/>
      <c r="X128" s="188"/>
      <c r="Y128" s="188"/>
      <c r="Z128" s="188"/>
      <c r="AA128" s="188"/>
      <c r="AB128" s="941">
        <f t="shared" si="16"/>
        <v>6158667</v>
      </c>
      <c r="AC128" s="948">
        <f t="shared" si="17"/>
        <v>59401333</v>
      </c>
      <c r="AD128" s="1228">
        <v>73</v>
      </c>
      <c r="AE128" s="362" t="s">
        <v>294</v>
      </c>
      <c r="AF128" s="313" t="str">
        <f>VLOOKUP(M128,[3]Hoja2!J$141:N$168,5,0)</f>
        <v>LUIS ALFREDO BARON LEAL</v>
      </c>
      <c r="AG128" s="571">
        <f t="shared" si="14"/>
        <v>143</v>
      </c>
      <c r="AH128" s="356">
        <v>65560000</v>
      </c>
      <c r="AI128" s="1207">
        <f t="shared" si="15"/>
        <v>0</v>
      </c>
      <c r="AJ128" s="1262"/>
    </row>
    <row r="129" spans="1:36" s="9" customFormat="1">
      <c r="A129" s="99" t="s">
        <v>49</v>
      </c>
      <c r="B129" s="191">
        <f t="shared" si="13"/>
        <v>40950000</v>
      </c>
      <c r="C129" s="100" t="s">
        <v>44</v>
      </c>
      <c r="D129" s="100" t="s">
        <v>906</v>
      </c>
      <c r="E129" s="100" t="s">
        <v>45</v>
      </c>
      <c r="F129" s="98" t="s">
        <v>367</v>
      </c>
      <c r="G129" s="101" t="s">
        <v>46</v>
      </c>
      <c r="H129" s="1228">
        <v>77</v>
      </c>
      <c r="I129" s="182">
        <v>0</v>
      </c>
      <c r="J129" s="535"/>
      <c r="K129" s="117">
        <v>288</v>
      </c>
      <c r="L129" s="160">
        <v>40950000</v>
      </c>
      <c r="M129" s="117">
        <v>283</v>
      </c>
      <c r="N129" s="175">
        <v>40950000</v>
      </c>
      <c r="O129" s="264">
        <v>252</v>
      </c>
      <c r="P129" s="257"/>
      <c r="Q129" s="1102"/>
      <c r="R129" s="188">
        <v>1560000</v>
      </c>
      <c r="S129" s="1102"/>
      <c r="T129" s="1102"/>
      <c r="U129" s="188"/>
      <c r="V129" s="188"/>
      <c r="W129" s="188"/>
      <c r="X129" s="188"/>
      <c r="Y129" s="188"/>
      <c r="Z129" s="188"/>
      <c r="AA129" s="188"/>
      <c r="AB129" s="941">
        <f t="shared" si="16"/>
        <v>1560000</v>
      </c>
      <c r="AC129" s="948">
        <f t="shared" si="17"/>
        <v>39390000</v>
      </c>
      <c r="AD129" s="1228">
        <v>77</v>
      </c>
      <c r="AE129" s="362" t="s">
        <v>295</v>
      </c>
      <c r="AF129" s="370" t="s">
        <v>720</v>
      </c>
      <c r="AG129" s="571">
        <f t="shared" si="14"/>
        <v>252</v>
      </c>
      <c r="AH129" s="356">
        <v>42900000</v>
      </c>
      <c r="AI129" s="1207">
        <f t="shared" si="15"/>
        <v>1950000</v>
      </c>
      <c r="AJ129" s="1262"/>
    </row>
    <row r="130" spans="1:36" s="9" customFormat="1">
      <c r="A130" s="99" t="s">
        <v>49</v>
      </c>
      <c r="B130" s="191">
        <f t="shared" si="13"/>
        <v>50600000</v>
      </c>
      <c r="C130" s="100" t="s">
        <v>44</v>
      </c>
      <c r="D130" s="100" t="s">
        <v>906</v>
      </c>
      <c r="E130" s="100" t="s">
        <v>45</v>
      </c>
      <c r="F130" s="98" t="s">
        <v>367</v>
      </c>
      <c r="G130" s="101" t="s">
        <v>46</v>
      </c>
      <c r="H130" s="1228">
        <v>83</v>
      </c>
      <c r="I130" s="182">
        <v>0</v>
      </c>
      <c r="J130" s="535"/>
      <c r="K130" s="117">
        <v>172</v>
      </c>
      <c r="L130" s="160">
        <v>50600000</v>
      </c>
      <c r="M130" s="117">
        <v>167</v>
      </c>
      <c r="N130" s="185">
        <v>50600000</v>
      </c>
      <c r="O130" s="263">
        <v>148</v>
      </c>
      <c r="P130" s="257"/>
      <c r="Q130" s="188"/>
      <c r="R130" s="188">
        <v>4753333</v>
      </c>
      <c r="S130" s="1102"/>
      <c r="T130" s="1102"/>
      <c r="U130" s="188"/>
      <c r="V130" s="188"/>
      <c r="W130" s="188"/>
      <c r="X130" s="188"/>
      <c r="Y130" s="188"/>
      <c r="Z130" s="188"/>
      <c r="AA130" s="188"/>
      <c r="AB130" s="941">
        <f t="shared" si="16"/>
        <v>4753333</v>
      </c>
      <c r="AC130" s="948">
        <f t="shared" si="17"/>
        <v>45846667</v>
      </c>
      <c r="AD130" s="1228">
        <v>83</v>
      </c>
      <c r="AE130" s="362" t="s">
        <v>296</v>
      </c>
      <c r="AF130" s="313" t="str">
        <f>VLOOKUP(M130,[3]Hoja2!J$141:N$168,5,0)</f>
        <v>MONICA ANDREA SARMIENTO ROA</v>
      </c>
      <c r="AG130" s="571">
        <f t="shared" si="14"/>
        <v>148</v>
      </c>
      <c r="AH130" s="356">
        <v>50600000</v>
      </c>
      <c r="AI130" s="1207">
        <f t="shared" si="15"/>
        <v>0</v>
      </c>
      <c r="AJ130" s="1262"/>
    </row>
    <row r="131" spans="1:36" s="9" customFormat="1">
      <c r="A131" s="99" t="s">
        <v>49</v>
      </c>
      <c r="B131" s="191">
        <f t="shared" si="13"/>
        <v>72800000</v>
      </c>
      <c r="C131" s="100" t="s">
        <v>44</v>
      </c>
      <c r="D131" s="100" t="s">
        <v>906</v>
      </c>
      <c r="E131" s="100" t="s">
        <v>45</v>
      </c>
      <c r="F131" s="98" t="s">
        <v>367</v>
      </c>
      <c r="G131" s="101" t="s">
        <v>46</v>
      </c>
      <c r="H131" s="1228">
        <v>86</v>
      </c>
      <c r="I131" s="182">
        <v>0</v>
      </c>
      <c r="J131" s="535"/>
      <c r="K131" s="117">
        <v>264</v>
      </c>
      <c r="L131" s="160">
        <v>72800000</v>
      </c>
      <c r="M131" s="117">
        <v>265</v>
      </c>
      <c r="N131" s="185">
        <v>72800000</v>
      </c>
      <c r="O131" s="264">
        <v>239</v>
      </c>
      <c r="P131" s="257"/>
      <c r="Q131" s="1102"/>
      <c r="R131" s="188">
        <v>4550000</v>
      </c>
      <c r="S131" s="1102"/>
      <c r="T131" s="1102"/>
      <c r="U131" s="188"/>
      <c r="V131" s="188"/>
      <c r="W131" s="188"/>
      <c r="X131" s="188"/>
      <c r="Y131" s="188"/>
      <c r="Z131" s="188"/>
      <c r="AA131" s="188"/>
      <c r="AB131" s="941">
        <f t="shared" si="16"/>
        <v>4550000</v>
      </c>
      <c r="AC131" s="948">
        <f t="shared" si="17"/>
        <v>68250000</v>
      </c>
      <c r="AD131" s="1228">
        <v>86</v>
      </c>
      <c r="AE131" s="362" t="s">
        <v>297</v>
      </c>
      <c r="AF131" s="370" t="s">
        <v>702</v>
      </c>
      <c r="AG131" s="571">
        <f t="shared" si="14"/>
        <v>239</v>
      </c>
      <c r="AH131" s="356">
        <v>72820000</v>
      </c>
      <c r="AI131" s="1207">
        <f t="shared" si="15"/>
        <v>20000</v>
      </c>
      <c r="AJ131" s="1262"/>
    </row>
    <row r="132" spans="1:36" s="9" customFormat="1">
      <c r="A132" s="99" t="s">
        <v>49</v>
      </c>
      <c r="B132" s="191">
        <f t="shared" si="13"/>
        <v>12000000</v>
      </c>
      <c r="C132" s="100" t="s">
        <v>44</v>
      </c>
      <c r="D132" s="100" t="s">
        <v>906</v>
      </c>
      <c r="E132" s="100" t="s">
        <v>45</v>
      </c>
      <c r="F132" s="98" t="s">
        <v>367</v>
      </c>
      <c r="G132" s="101" t="s">
        <v>46</v>
      </c>
      <c r="H132" s="1228">
        <v>87</v>
      </c>
      <c r="I132" s="182">
        <v>0</v>
      </c>
      <c r="J132" s="535"/>
      <c r="K132" s="117">
        <v>300</v>
      </c>
      <c r="L132" s="160">
        <v>12000000</v>
      </c>
      <c r="M132" s="117">
        <v>302</v>
      </c>
      <c r="N132" s="175">
        <v>12000000</v>
      </c>
      <c r="O132" s="264">
        <v>268</v>
      </c>
      <c r="P132" s="257"/>
      <c r="Q132" s="1102"/>
      <c r="R132" s="188"/>
      <c r="S132" s="1102"/>
      <c r="T132" s="1102"/>
      <c r="U132" s="188"/>
      <c r="V132" s="188"/>
      <c r="W132" s="188"/>
      <c r="X132" s="188"/>
      <c r="Y132" s="188"/>
      <c r="Z132" s="188"/>
      <c r="AA132" s="188"/>
      <c r="AB132" s="941">
        <f t="shared" si="16"/>
        <v>0</v>
      </c>
      <c r="AC132" s="948">
        <f t="shared" si="17"/>
        <v>12000000</v>
      </c>
      <c r="AD132" s="1228">
        <v>87</v>
      </c>
      <c r="AE132" s="362" t="s">
        <v>298</v>
      </c>
      <c r="AF132" s="370" t="s">
        <v>813</v>
      </c>
      <c r="AG132" s="571">
        <f t="shared" si="14"/>
        <v>268</v>
      </c>
      <c r="AH132" s="356">
        <v>12000000</v>
      </c>
      <c r="AI132" s="1207">
        <f t="shared" si="15"/>
        <v>0</v>
      </c>
      <c r="AJ132" s="1262"/>
    </row>
    <row r="133" spans="1:36" s="9" customFormat="1">
      <c r="A133" s="99" t="s">
        <v>49</v>
      </c>
      <c r="B133" s="191">
        <f t="shared" si="13"/>
        <v>20000000</v>
      </c>
      <c r="C133" s="100" t="s">
        <v>44</v>
      </c>
      <c r="D133" s="100" t="s">
        <v>906</v>
      </c>
      <c r="E133" s="100" t="s">
        <v>45</v>
      </c>
      <c r="F133" s="98" t="s">
        <v>367</v>
      </c>
      <c r="G133" s="101" t="s">
        <v>46</v>
      </c>
      <c r="H133" s="1228">
        <v>88</v>
      </c>
      <c r="I133" s="182">
        <v>0</v>
      </c>
      <c r="J133" s="535"/>
      <c r="K133" s="117">
        <v>296</v>
      </c>
      <c r="L133" s="160">
        <v>20000000</v>
      </c>
      <c r="M133" s="117">
        <v>312</v>
      </c>
      <c r="N133" s="175">
        <v>20000000</v>
      </c>
      <c r="O133" s="264">
        <v>261</v>
      </c>
      <c r="P133" s="257"/>
      <c r="Q133" s="1102"/>
      <c r="R133" s="188"/>
      <c r="S133" s="1102"/>
      <c r="T133" s="1102"/>
      <c r="U133" s="188"/>
      <c r="V133" s="188"/>
      <c r="W133" s="188"/>
      <c r="X133" s="188"/>
      <c r="Y133" s="188"/>
      <c r="Z133" s="188"/>
      <c r="AA133" s="188"/>
      <c r="AB133" s="941">
        <f t="shared" si="16"/>
        <v>0</v>
      </c>
      <c r="AC133" s="948">
        <f t="shared" si="17"/>
        <v>20000000</v>
      </c>
      <c r="AD133" s="1228">
        <v>88</v>
      </c>
      <c r="AE133" s="362" t="s">
        <v>299</v>
      </c>
      <c r="AF133" s="370" t="s">
        <v>847</v>
      </c>
      <c r="AG133" s="571">
        <f t="shared" si="14"/>
        <v>261</v>
      </c>
      <c r="AH133" s="356">
        <v>20000000</v>
      </c>
      <c r="AI133" s="1207">
        <f t="shared" si="15"/>
        <v>0</v>
      </c>
      <c r="AJ133" s="1262"/>
    </row>
    <row r="134" spans="1:36" s="9" customFormat="1">
      <c r="A134" s="99" t="s">
        <v>49</v>
      </c>
      <c r="B134" s="191">
        <f t="shared" si="13"/>
        <v>49500000</v>
      </c>
      <c r="C134" s="100" t="s">
        <v>44</v>
      </c>
      <c r="D134" s="100" t="s">
        <v>906</v>
      </c>
      <c r="E134" s="100" t="s">
        <v>45</v>
      </c>
      <c r="F134" s="98" t="s">
        <v>367</v>
      </c>
      <c r="G134" s="101" t="s">
        <v>46</v>
      </c>
      <c r="H134" s="1228">
        <v>90</v>
      </c>
      <c r="I134" s="182">
        <v>0</v>
      </c>
      <c r="J134" s="535"/>
      <c r="K134" s="117">
        <v>345</v>
      </c>
      <c r="L134" s="160">
        <v>49500000</v>
      </c>
      <c r="M134" s="117">
        <v>403</v>
      </c>
      <c r="N134" s="160">
        <v>49500000</v>
      </c>
      <c r="O134" s="264">
        <v>304</v>
      </c>
      <c r="P134" s="257"/>
      <c r="Q134" s="1102"/>
      <c r="R134" s="188"/>
      <c r="S134" s="1102"/>
      <c r="T134" s="1102"/>
      <c r="U134" s="188"/>
      <c r="V134" s="188"/>
      <c r="W134" s="188"/>
      <c r="X134" s="188"/>
      <c r="Y134" s="188"/>
      <c r="Z134" s="188"/>
      <c r="AA134" s="188"/>
      <c r="AB134" s="941">
        <f t="shared" si="16"/>
        <v>0</v>
      </c>
      <c r="AC134" s="948">
        <f t="shared" si="17"/>
        <v>49500000</v>
      </c>
      <c r="AD134" s="1228">
        <v>90</v>
      </c>
      <c r="AE134" s="362" t="s">
        <v>300</v>
      </c>
      <c r="AF134" s="370" t="s">
        <v>899</v>
      </c>
      <c r="AG134" s="571">
        <f t="shared" si="14"/>
        <v>304</v>
      </c>
      <c r="AH134" s="356">
        <v>49500000</v>
      </c>
      <c r="AI134" s="1207">
        <f t="shared" si="15"/>
        <v>0</v>
      </c>
      <c r="AJ134" s="1262"/>
    </row>
    <row r="135" spans="1:36" s="9" customFormat="1">
      <c r="A135" s="99" t="s">
        <v>49</v>
      </c>
      <c r="B135" s="191">
        <f t="shared" si="13"/>
        <v>66000000</v>
      </c>
      <c r="C135" s="100" t="s">
        <v>44</v>
      </c>
      <c r="D135" s="100" t="s">
        <v>906</v>
      </c>
      <c r="E135" s="100" t="s">
        <v>45</v>
      </c>
      <c r="F135" s="98" t="s">
        <v>367</v>
      </c>
      <c r="G135" s="101" t="s">
        <v>46</v>
      </c>
      <c r="H135" s="1228">
        <v>91</v>
      </c>
      <c r="I135" s="182">
        <v>0</v>
      </c>
      <c r="J135" s="535"/>
      <c r="K135" s="117">
        <v>192</v>
      </c>
      <c r="L135" s="160">
        <v>66000000</v>
      </c>
      <c r="M135" s="117">
        <v>246</v>
      </c>
      <c r="N135" s="185">
        <v>66000000</v>
      </c>
      <c r="O135" s="264">
        <v>185</v>
      </c>
      <c r="P135" s="257"/>
      <c r="Q135" s="1102"/>
      <c r="R135" s="188">
        <v>5000000</v>
      </c>
      <c r="S135" s="1102"/>
      <c r="T135" s="1102"/>
      <c r="U135" s="188"/>
      <c r="V135" s="188"/>
      <c r="W135" s="188"/>
      <c r="X135" s="188"/>
      <c r="Y135" s="188"/>
      <c r="Z135" s="188"/>
      <c r="AA135" s="188"/>
      <c r="AB135" s="941">
        <f t="shared" si="16"/>
        <v>5000000</v>
      </c>
      <c r="AC135" s="948">
        <f t="shared" si="17"/>
        <v>61000000</v>
      </c>
      <c r="AD135" s="1228">
        <v>91</v>
      </c>
      <c r="AE135" s="362" t="s">
        <v>301</v>
      </c>
      <c r="AF135" s="370" t="s">
        <v>701</v>
      </c>
      <c r="AG135" s="571">
        <f t="shared" si="14"/>
        <v>185</v>
      </c>
      <c r="AH135" s="356">
        <v>66000000</v>
      </c>
      <c r="AI135" s="1207">
        <f t="shared" si="15"/>
        <v>0</v>
      </c>
      <c r="AJ135" s="1262"/>
    </row>
    <row r="136" spans="1:36" s="9" customFormat="1">
      <c r="A136" s="99" t="s">
        <v>49</v>
      </c>
      <c r="B136" s="191">
        <f t="shared" si="13"/>
        <v>55000000</v>
      </c>
      <c r="C136" s="100" t="s">
        <v>44</v>
      </c>
      <c r="D136" s="100" t="s">
        <v>906</v>
      </c>
      <c r="E136" s="100" t="s">
        <v>45</v>
      </c>
      <c r="F136" s="98" t="s">
        <v>367</v>
      </c>
      <c r="G136" s="101" t="s">
        <v>46</v>
      </c>
      <c r="H136" s="1228">
        <v>92</v>
      </c>
      <c r="I136" s="182">
        <v>0</v>
      </c>
      <c r="J136" s="535"/>
      <c r="K136" s="117">
        <v>193</v>
      </c>
      <c r="L136" s="160">
        <v>55000000</v>
      </c>
      <c r="M136" s="117">
        <v>225</v>
      </c>
      <c r="N136" s="185">
        <v>55000000</v>
      </c>
      <c r="O136" s="264">
        <v>184</v>
      </c>
      <c r="P136" s="257"/>
      <c r="Q136" s="1102"/>
      <c r="R136" s="188">
        <v>4333333</v>
      </c>
      <c r="S136" s="1102"/>
      <c r="T136" s="1102"/>
      <c r="U136" s="188"/>
      <c r="V136" s="188"/>
      <c r="W136" s="188"/>
      <c r="X136" s="188"/>
      <c r="Y136" s="188"/>
      <c r="Z136" s="188"/>
      <c r="AA136" s="188"/>
      <c r="AB136" s="941">
        <f t="shared" si="16"/>
        <v>4333333</v>
      </c>
      <c r="AC136" s="948">
        <f t="shared" si="17"/>
        <v>50666667</v>
      </c>
      <c r="AD136" s="1228">
        <v>92</v>
      </c>
      <c r="AE136" s="362" t="s">
        <v>302</v>
      </c>
      <c r="AF136" s="370" t="s">
        <v>700</v>
      </c>
      <c r="AG136" s="571">
        <f t="shared" si="14"/>
        <v>184</v>
      </c>
      <c r="AH136" s="356">
        <v>55000000</v>
      </c>
      <c r="AI136" s="1207">
        <f t="shared" si="15"/>
        <v>0</v>
      </c>
      <c r="AJ136" s="1262"/>
    </row>
    <row r="137" spans="1:36" s="9" customFormat="1">
      <c r="A137" s="99" t="s">
        <v>49</v>
      </c>
      <c r="B137" s="191">
        <f t="shared" si="13"/>
        <v>20000000</v>
      </c>
      <c r="C137" s="100" t="s">
        <v>44</v>
      </c>
      <c r="D137" s="100" t="s">
        <v>906</v>
      </c>
      <c r="E137" s="100" t="s">
        <v>45</v>
      </c>
      <c r="F137" s="98" t="s">
        <v>367</v>
      </c>
      <c r="G137" s="101" t="s">
        <v>46</v>
      </c>
      <c r="H137" s="1228">
        <v>93</v>
      </c>
      <c r="I137" s="182">
        <v>0</v>
      </c>
      <c r="J137" s="535"/>
      <c r="K137" s="117">
        <v>301</v>
      </c>
      <c r="L137" s="160">
        <v>20000000</v>
      </c>
      <c r="M137" s="117">
        <v>340</v>
      </c>
      <c r="N137" s="175">
        <v>20000000</v>
      </c>
      <c r="O137" s="264">
        <v>262</v>
      </c>
      <c r="P137" s="257"/>
      <c r="Q137" s="1102"/>
      <c r="R137" s="188"/>
      <c r="S137" s="1102"/>
      <c r="T137" s="1102"/>
      <c r="U137" s="188"/>
      <c r="V137" s="188"/>
      <c r="W137" s="188"/>
      <c r="X137" s="188"/>
      <c r="Y137" s="188"/>
      <c r="Z137" s="188"/>
      <c r="AA137" s="188"/>
      <c r="AB137" s="941">
        <f t="shared" si="16"/>
        <v>0</v>
      </c>
      <c r="AC137" s="948">
        <f t="shared" si="17"/>
        <v>20000000</v>
      </c>
      <c r="AD137" s="1228">
        <v>93</v>
      </c>
      <c r="AE137" s="362" t="s">
        <v>303</v>
      </c>
      <c r="AF137" s="370" t="s">
        <v>859</v>
      </c>
      <c r="AG137" s="571">
        <f t="shared" si="14"/>
        <v>262</v>
      </c>
      <c r="AH137" s="356">
        <v>20000000</v>
      </c>
      <c r="AI137" s="1207">
        <f t="shared" si="15"/>
        <v>0</v>
      </c>
      <c r="AJ137" s="1262"/>
    </row>
    <row r="138" spans="1:36" s="9" customFormat="1">
      <c r="A138" s="99" t="s">
        <v>49</v>
      </c>
      <c r="B138" s="191">
        <f t="shared" si="13"/>
        <v>0</v>
      </c>
      <c r="C138" s="100" t="s">
        <v>44</v>
      </c>
      <c r="D138" s="100" t="s">
        <v>906</v>
      </c>
      <c r="E138" s="100" t="s">
        <v>45</v>
      </c>
      <c r="F138" s="98" t="s">
        <v>367</v>
      </c>
      <c r="G138" s="101" t="s">
        <v>46</v>
      </c>
      <c r="H138" s="1228">
        <v>94</v>
      </c>
      <c r="I138" s="182">
        <v>0</v>
      </c>
      <c r="J138" s="535"/>
      <c r="K138" s="117"/>
      <c r="L138" s="160"/>
      <c r="M138" s="117"/>
      <c r="N138" s="175"/>
      <c r="O138" s="264"/>
      <c r="P138" s="257"/>
      <c r="Q138" s="1102"/>
      <c r="R138" s="188"/>
      <c r="S138" s="1102"/>
      <c r="T138" s="1102"/>
      <c r="U138" s="188"/>
      <c r="V138" s="188"/>
      <c r="W138" s="188"/>
      <c r="X138" s="188"/>
      <c r="Y138" s="188"/>
      <c r="Z138" s="188"/>
      <c r="AA138" s="188"/>
      <c r="AB138" s="941">
        <f t="shared" si="16"/>
        <v>0</v>
      </c>
      <c r="AC138" s="948">
        <f t="shared" si="17"/>
        <v>0</v>
      </c>
      <c r="AD138" s="1698">
        <v>94</v>
      </c>
      <c r="AE138" s="362" t="s">
        <v>304</v>
      </c>
      <c r="AF138" s="370" t="s">
        <v>188</v>
      </c>
      <c r="AG138" s="571">
        <f t="shared" si="14"/>
        <v>0</v>
      </c>
      <c r="AH138" s="483">
        <f>447000000+150000000</f>
        <v>597000000</v>
      </c>
      <c r="AI138" s="1207">
        <f t="shared" si="15"/>
        <v>597000000</v>
      </c>
      <c r="AJ138" s="1262"/>
    </row>
    <row r="139" spans="1:36" s="9" customFormat="1">
      <c r="A139" s="99" t="s">
        <v>49</v>
      </c>
      <c r="B139" s="191">
        <f t="shared" si="13"/>
        <v>0</v>
      </c>
      <c r="C139" s="100" t="s">
        <v>44</v>
      </c>
      <c r="D139" s="100" t="s">
        <v>906</v>
      </c>
      <c r="E139" s="100" t="s">
        <v>45</v>
      </c>
      <c r="F139" s="98" t="s">
        <v>367</v>
      </c>
      <c r="G139" s="101" t="s">
        <v>46</v>
      </c>
      <c r="H139" s="1228">
        <v>99</v>
      </c>
      <c r="I139" s="182">
        <v>0</v>
      </c>
      <c r="J139" s="535"/>
      <c r="K139" s="117"/>
      <c r="L139" s="160"/>
      <c r="M139" s="117"/>
      <c r="N139" s="175"/>
      <c r="O139" s="264"/>
      <c r="P139" s="257"/>
      <c r="Q139" s="1102"/>
      <c r="R139" s="188"/>
      <c r="S139" s="1102"/>
      <c r="T139" s="1102"/>
      <c r="U139" s="188"/>
      <c r="V139" s="188"/>
      <c r="W139" s="188"/>
      <c r="X139" s="188"/>
      <c r="Y139" s="188"/>
      <c r="Z139" s="188"/>
      <c r="AA139" s="188"/>
      <c r="AB139" s="941">
        <f t="shared" si="16"/>
        <v>0</v>
      </c>
      <c r="AC139" s="948">
        <f t="shared" si="17"/>
        <v>0</v>
      </c>
      <c r="AD139" s="1228">
        <v>99</v>
      </c>
      <c r="AE139" s="362" t="s">
        <v>305</v>
      </c>
      <c r="AF139" s="370" t="s">
        <v>188</v>
      </c>
      <c r="AG139" s="571">
        <f t="shared" si="14"/>
        <v>0</v>
      </c>
      <c r="AH139" s="356">
        <v>25000000</v>
      </c>
      <c r="AI139" s="1207">
        <f t="shared" si="15"/>
        <v>25000000</v>
      </c>
      <c r="AJ139" s="1262"/>
    </row>
    <row r="140" spans="1:36" s="9" customFormat="1">
      <c r="A140" s="99" t="s">
        <v>49</v>
      </c>
      <c r="B140" s="191">
        <f t="shared" si="13"/>
        <v>15000000</v>
      </c>
      <c r="C140" s="100" t="s">
        <v>44</v>
      </c>
      <c r="D140" s="100" t="s">
        <v>906</v>
      </c>
      <c r="E140" s="100" t="s">
        <v>45</v>
      </c>
      <c r="F140" s="98" t="s">
        <v>367</v>
      </c>
      <c r="G140" s="101" t="s">
        <v>46</v>
      </c>
      <c r="H140" s="1228">
        <v>100</v>
      </c>
      <c r="I140" s="182">
        <v>0</v>
      </c>
      <c r="J140" s="535"/>
      <c r="K140" s="117">
        <v>231</v>
      </c>
      <c r="L140" s="160">
        <v>15000000</v>
      </c>
      <c r="M140" s="117">
        <f>VLOOKUP(K140,[4]RP!I$194:J$247,2,0)</f>
        <v>230</v>
      </c>
      <c r="N140" s="185">
        <v>15000000</v>
      </c>
      <c r="O140" s="264">
        <v>178</v>
      </c>
      <c r="P140" s="257"/>
      <c r="Q140" s="1102"/>
      <c r="R140" s="188">
        <v>1250000</v>
      </c>
      <c r="S140" s="1102"/>
      <c r="T140" s="1102"/>
      <c r="U140" s="188"/>
      <c r="V140" s="188"/>
      <c r="W140" s="188"/>
      <c r="X140" s="188"/>
      <c r="Y140" s="188"/>
      <c r="Z140" s="188"/>
      <c r="AA140" s="188"/>
      <c r="AB140" s="941">
        <f t="shared" si="16"/>
        <v>1250000</v>
      </c>
      <c r="AC140" s="948">
        <f t="shared" si="17"/>
        <v>13750000</v>
      </c>
      <c r="AD140" s="1228">
        <v>100</v>
      </c>
      <c r="AE140" s="362" t="s">
        <v>306</v>
      </c>
      <c r="AF140" s="370" t="s">
        <v>699</v>
      </c>
      <c r="AG140" s="571">
        <f t="shared" si="14"/>
        <v>178</v>
      </c>
      <c r="AH140" s="356">
        <v>15000000</v>
      </c>
      <c r="AI140" s="1207">
        <f t="shared" si="15"/>
        <v>0</v>
      </c>
      <c r="AJ140" s="1262"/>
    </row>
    <row r="141" spans="1:36" s="9" customFormat="1">
      <c r="A141" s="99" t="s">
        <v>49</v>
      </c>
      <c r="B141" s="191">
        <f t="shared" si="13"/>
        <v>0</v>
      </c>
      <c r="C141" s="100" t="s">
        <v>44</v>
      </c>
      <c r="D141" s="100" t="s">
        <v>906</v>
      </c>
      <c r="E141" s="100" t="s">
        <v>45</v>
      </c>
      <c r="F141" s="98" t="s">
        <v>367</v>
      </c>
      <c r="G141" s="101" t="s">
        <v>46</v>
      </c>
      <c r="H141" s="1228">
        <v>102</v>
      </c>
      <c r="I141" s="182">
        <v>0</v>
      </c>
      <c r="J141" s="535"/>
      <c r="K141" s="117"/>
      <c r="L141" s="160"/>
      <c r="M141" s="117"/>
      <c r="N141" s="175"/>
      <c r="O141" s="264"/>
      <c r="P141" s="257"/>
      <c r="Q141" s="1102"/>
      <c r="R141" s="188"/>
      <c r="S141" s="1102"/>
      <c r="T141" s="1102"/>
      <c r="U141" s="188"/>
      <c r="V141" s="188"/>
      <c r="W141" s="188"/>
      <c r="X141" s="188"/>
      <c r="Y141" s="188"/>
      <c r="Z141" s="188"/>
      <c r="AA141" s="188"/>
      <c r="AB141" s="941">
        <f t="shared" si="16"/>
        <v>0</v>
      </c>
      <c r="AC141" s="948">
        <f t="shared" si="17"/>
        <v>0</v>
      </c>
      <c r="AD141" s="1228">
        <v>102</v>
      </c>
      <c r="AE141" s="362" t="s">
        <v>307</v>
      </c>
      <c r="AF141" s="370" t="s">
        <v>188</v>
      </c>
      <c r="AG141" s="571">
        <f t="shared" si="14"/>
        <v>0</v>
      </c>
      <c r="AH141" s="356">
        <f>8400000-8400000</f>
        <v>0</v>
      </c>
      <c r="AI141" s="1207">
        <f t="shared" si="15"/>
        <v>0</v>
      </c>
      <c r="AJ141" s="1262"/>
    </row>
    <row r="142" spans="1:36" s="9" customFormat="1">
      <c r="A142" s="99" t="s">
        <v>49</v>
      </c>
      <c r="B142" s="191">
        <f t="shared" si="13"/>
        <v>0</v>
      </c>
      <c r="C142" s="100" t="s">
        <v>44</v>
      </c>
      <c r="D142" s="100" t="s">
        <v>906</v>
      </c>
      <c r="E142" s="100" t="s">
        <v>45</v>
      </c>
      <c r="F142" s="98" t="s">
        <v>367</v>
      </c>
      <c r="G142" s="101" t="s">
        <v>46</v>
      </c>
      <c r="H142" s="1228">
        <v>103</v>
      </c>
      <c r="I142" s="182">
        <v>0</v>
      </c>
      <c r="J142" s="535"/>
      <c r="K142" s="117"/>
      <c r="L142" s="160"/>
      <c r="M142" s="117"/>
      <c r="N142" s="175"/>
      <c r="O142" s="264"/>
      <c r="P142" s="257"/>
      <c r="Q142" s="1102"/>
      <c r="R142" s="188"/>
      <c r="S142" s="1102"/>
      <c r="T142" s="1102"/>
      <c r="U142" s="188"/>
      <c r="V142" s="188"/>
      <c r="W142" s="188"/>
      <c r="X142" s="188"/>
      <c r="Y142" s="188"/>
      <c r="Z142" s="188"/>
      <c r="AA142" s="188"/>
      <c r="AB142" s="941">
        <f t="shared" si="16"/>
        <v>0</v>
      </c>
      <c r="AC142" s="948">
        <f t="shared" si="17"/>
        <v>0</v>
      </c>
      <c r="AD142" s="1228">
        <v>103</v>
      </c>
      <c r="AE142" s="362" t="s">
        <v>308</v>
      </c>
      <c r="AF142" s="370" t="s">
        <v>188</v>
      </c>
      <c r="AG142" s="571">
        <f t="shared" si="14"/>
        <v>0</v>
      </c>
      <c r="AH142" s="356">
        <f>8400000-8400000</f>
        <v>0</v>
      </c>
      <c r="AI142" s="1207">
        <f t="shared" si="15"/>
        <v>0</v>
      </c>
      <c r="AJ142" s="1262"/>
    </row>
    <row r="143" spans="1:36" s="9" customFormat="1">
      <c r="A143" s="99" t="s">
        <v>49</v>
      </c>
      <c r="B143" s="191">
        <f t="shared" si="13"/>
        <v>0</v>
      </c>
      <c r="C143" s="100" t="s">
        <v>44</v>
      </c>
      <c r="D143" s="100" t="s">
        <v>906</v>
      </c>
      <c r="E143" s="100" t="s">
        <v>45</v>
      </c>
      <c r="F143" s="98" t="s">
        <v>367</v>
      </c>
      <c r="G143" s="101" t="s">
        <v>46</v>
      </c>
      <c r="H143" s="1228">
        <v>104</v>
      </c>
      <c r="I143" s="182">
        <v>0</v>
      </c>
      <c r="J143" s="535"/>
      <c r="K143" s="117"/>
      <c r="L143" s="160"/>
      <c r="M143" s="117"/>
      <c r="N143" s="175"/>
      <c r="O143" s="264"/>
      <c r="P143" s="257"/>
      <c r="Q143" s="1102"/>
      <c r="R143" s="188"/>
      <c r="S143" s="1102"/>
      <c r="T143" s="1102"/>
      <c r="U143" s="188"/>
      <c r="V143" s="188"/>
      <c r="W143" s="188"/>
      <c r="X143" s="188"/>
      <c r="Y143" s="188"/>
      <c r="Z143" s="188"/>
      <c r="AA143" s="188"/>
      <c r="AB143" s="941">
        <f t="shared" si="16"/>
        <v>0</v>
      </c>
      <c r="AC143" s="948">
        <f t="shared" si="17"/>
        <v>0</v>
      </c>
      <c r="AD143" s="1228">
        <v>104</v>
      </c>
      <c r="AE143" s="362" t="s">
        <v>308</v>
      </c>
      <c r="AF143" s="370" t="s">
        <v>188</v>
      </c>
      <c r="AG143" s="571">
        <f t="shared" si="14"/>
        <v>0</v>
      </c>
      <c r="AH143" s="356">
        <f>8400000+16800000</f>
        <v>25200000</v>
      </c>
      <c r="AI143" s="1207">
        <f t="shared" si="15"/>
        <v>25200000</v>
      </c>
      <c r="AJ143" s="1262"/>
    </row>
    <row r="144" spans="1:36" s="9" customFormat="1">
      <c r="A144" s="99" t="s">
        <v>49</v>
      </c>
      <c r="B144" s="191">
        <f t="shared" si="13"/>
        <v>15000000</v>
      </c>
      <c r="C144" s="100" t="s">
        <v>44</v>
      </c>
      <c r="D144" s="100" t="s">
        <v>906</v>
      </c>
      <c r="E144" s="100" t="s">
        <v>45</v>
      </c>
      <c r="F144" s="98" t="s">
        <v>367</v>
      </c>
      <c r="G144" s="101" t="s">
        <v>46</v>
      </c>
      <c r="H144" s="1228">
        <v>108</v>
      </c>
      <c r="I144" s="182">
        <v>0</v>
      </c>
      <c r="J144" s="535"/>
      <c r="K144" s="117">
        <v>232</v>
      </c>
      <c r="L144" s="160">
        <v>15000000</v>
      </c>
      <c r="M144" s="117">
        <f>VLOOKUP(K144,[4]RP!I$194:J$247,2,0)</f>
        <v>226</v>
      </c>
      <c r="N144" s="185">
        <v>15000000</v>
      </c>
      <c r="O144" s="264">
        <v>180</v>
      </c>
      <c r="P144" s="257"/>
      <c r="Q144" s="1102"/>
      <c r="R144" s="188">
        <v>1250000</v>
      </c>
      <c r="S144" s="1102"/>
      <c r="T144" s="1102"/>
      <c r="U144" s="188"/>
      <c r="V144" s="188"/>
      <c r="W144" s="188"/>
      <c r="X144" s="188"/>
      <c r="Y144" s="188"/>
      <c r="Z144" s="188"/>
      <c r="AA144" s="188"/>
      <c r="AB144" s="941">
        <f t="shared" si="16"/>
        <v>1250000</v>
      </c>
      <c r="AC144" s="948">
        <f t="shared" si="17"/>
        <v>13750000</v>
      </c>
      <c r="AD144" s="1228">
        <v>108</v>
      </c>
      <c r="AE144" s="362" t="s">
        <v>306</v>
      </c>
      <c r="AF144" s="370" t="s">
        <v>698</v>
      </c>
      <c r="AG144" s="571">
        <f t="shared" si="14"/>
        <v>180</v>
      </c>
      <c r="AH144" s="356">
        <v>15000000</v>
      </c>
      <c r="AI144" s="1207">
        <f t="shared" si="15"/>
        <v>0</v>
      </c>
      <c r="AJ144" s="1262"/>
    </row>
    <row r="145" spans="1:37" s="9" customFormat="1">
      <c r="A145" s="99" t="s">
        <v>49</v>
      </c>
      <c r="B145" s="191">
        <f t="shared" si="13"/>
        <v>85333333</v>
      </c>
      <c r="C145" s="100" t="s">
        <v>44</v>
      </c>
      <c r="D145" s="100" t="s">
        <v>906</v>
      </c>
      <c r="E145" s="100" t="s">
        <v>45</v>
      </c>
      <c r="F145" s="98" t="s">
        <v>367</v>
      </c>
      <c r="G145" s="101" t="s">
        <v>46</v>
      </c>
      <c r="H145" s="1228">
        <v>109</v>
      </c>
      <c r="I145" s="182">
        <v>0</v>
      </c>
      <c r="J145" s="535"/>
      <c r="K145" s="117">
        <v>250</v>
      </c>
      <c r="L145" s="160">
        <v>85333333</v>
      </c>
      <c r="M145" s="117">
        <f>VLOOKUP(K145,[4]RP!I$194:J$247,2,0)</f>
        <v>242</v>
      </c>
      <c r="N145" s="185">
        <v>85333333</v>
      </c>
      <c r="O145" s="264">
        <v>141</v>
      </c>
      <c r="P145" s="257"/>
      <c r="Q145" s="1102"/>
      <c r="R145" s="188">
        <v>6666667</v>
      </c>
      <c r="S145" s="1102"/>
      <c r="T145" s="1102"/>
      <c r="U145" s="188"/>
      <c r="V145" s="188"/>
      <c r="W145" s="188"/>
      <c r="X145" s="188"/>
      <c r="Y145" s="188"/>
      <c r="Z145" s="188"/>
      <c r="AA145" s="188"/>
      <c r="AB145" s="941">
        <f t="shared" si="16"/>
        <v>6666667</v>
      </c>
      <c r="AC145" s="948">
        <f t="shared" si="17"/>
        <v>78666666</v>
      </c>
      <c r="AD145" s="1228">
        <v>109</v>
      </c>
      <c r="AE145" s="362" t="s">
        <v>309</v>
      </c>
      <c r="AF145" s="370" t="s">
        <v>697</v>
      </c>
      <c r="AG145" s="571">
        <f t="shared" si="14"/>
        <v>141</v>
      </c>
      <c r="AH145" s="356">
        <v>88000000</v>
      </c>
      <c r="AI145" s="1207">
        <f t="shared" si="15"/>
        <v>2666667</v>
      </c>
      <c r="AJ145" s="1262"/>
    </row>
    <row r="146" spans="1:37" s="9" customFormat="1">
      <c r="A146" s="99" t="s">
        <v>49</v>
      </c>
      <c r="B146" s="191">
        <f t="shared" si="13"/>
        <v>72820000</v>
      </c>
      <c r="C146" s="100" t="s">
        <v>44</v>
      </c>
      <c r="D146" s="100" t="s">
        <v>906</v>
      </c>
      <c r="E146" s="100" t="s">
        <v>45</v>
      </c>
      <c r="F146" s="98" t="s">
        <v>367</v>
      </c>
      <c r="G146" s="101" t="s">
        <v>46</v>
      </c>
      <c r="H146" s="1228">
        <v>110</v>
      </c>
      <c r="I146" s="182">
        <v>0</v>
      </c>
      <c r="J146" s="535"/>
      <c r="K146" s="117">
        <v>40</v>
      </c>
      <c r="L146" s="160">
        <v>72820000</v>
      </c>
      <c r="M146" s="117">
        <v>42</v>
      </c>
      <c r="N146" s="185">
        <v>72820000</v>
      </c>
      <c r="O146" s="263">
        <v>32</v>
      </c>
      <c r="P146" s="257"/>
      <c r="Q146" s="188">
        <v>2206667</v>
      </c>
      <c r="R146" s="188">
        <v>6620000</v>
      </c>
      <c r="S146" s="1102"/>
      <c r="T146" s="1102"/>
      <c r="U146" s="188"/>
      <c r="V146" s="188"/>
      <c r="W146" s="188"/>
      <c r="X146" s="188"/>
      <c r="Y146" s="188"/>
      <c r="Z146" s="188"/>
      <c r="AA146" s="188"/>
      <c r="AB146" s="941">
        <f t="shared" si="16"/>
        <v>8826667</v>
      </c>
      <c r="AC146" s="948">
        <f t="shared" si="17"/>
        <v>63993333</v>
      </c>
      <c r="AD146" s="1228">
        <v>110</v>
      </c>
      <c r="AE146" s="362" t="s">
        <v>310</v>
      </c>
      <c r="AF146" s="313" t="str">
        <f>VLOOKUP(M146,[3]Hoja2!J$141:N$168,5,0)</f>
        <v>YESICA MILENA ACOSTA MOLINA</v>
      </c>
      <c r="AG146" s="571">
        <f t="shared" si="14"/>
        <v>32</v>
      </c>
      <c r="AH146" s="356">
        <v>72820176</v>
      </c>
      <c r="AI146" s="1207">
        <f t="shared" si="15"/>
        <v>176</v>
      </c>
      <c r="AJ146" s="1262"/>
    </row>
    <row r="147" spans="1:37" s="9" customFormat="1">
      <c r="A147" s="99" t="s">
        <v>49</v>
      </c>
      <c r="B147" s="191">
        <f t="shared" si="13"/>
        <v>77000000</v>
      </c>
      <c r="C147" s="100" t="s">
        <v>44</v>
      </c>
      <c r="D147" s="100" t="s">
        <v>906</v>
      </c>
      <c r="E147" s="100" t="s">
        <v>45</v>
      </c>
      <c r="F147" s="98" t="s">
        <v>367</v>
      </c>
      <c r="G147" s="101" t="s">
        <v>46</v>
      </c>
      <c r="H147" s="1228">
        <v>111</v>
      </c>
      <c r="I147" s="182">
        <v>0</v>
      </c>
      <c r="J147" s="535"/>
      <c r="K147" s="117">
        <v>41</v>
      </c>
      <c r="L147" s="160">
        <v>77000000</v>
      </c>
      <c r="M147" s="117">
        <v>38</v>
      </c>
      <c r="N147" s="185">
        <v>77000000</v>
      </c>
      <c r="O147" s="263">
        <v>24</v>
      </c>
      <c r="P147" s="257"/>
      <c r="Q147" s="188">
        <v>1866667</v>
      </c>
      <c r="R147" s="188">
        <v>7000000</v>
      </c>
      <c r="S147" s="1102"/>
      <c r="T147" s="1102"/>
      <c r="U147" s="188"/>
      <c r="V147" s="188"/>
      <c r="W147" s="188"/>
      <c r="X147" s="188"/>
      <c r="Y147" s="188"/>
      <c r="Z147" s="188"/>
      <c r="AA147" s="188"/>
      <c r="AB147" s="941">
        <f t="shared" si="16"/>
        <v>8866667</v>
      </c>
      <c r="AC147" s="948">
        <f t="shared" si="17"/>
        <v>68133333</v>
      </c>
      <c r="AD147" s="1228">
        <v>111</v>
      </c>
      <c r="AE147" s="362" t="s">
        <v>311</v>
      </c>
      <c r="AF147" s="313" t="str">
        <f>VLOOKUP(M147,[3]Hoja2!J$141:N$168,5,0)</f>
        <v>YOLANDA  LOPEZ CORREAL</v>
      </c>
      <c r="AG147" s="571">
        <f t="shared" si="14"/>
        <v>24</v>
      </c>
      <c r="AH147" s="356">
        <v>77000000</v>
      </c>
      <c r="AI147" s="1207">
        <f t="shared" si="15"/>
        <v>0</v>
      </c>
      <c r="AJ147" s="1262"/>
    </row>
    <row r="148" spans="1:37" s="9" customFormat="1">
      <c r="A148" s="99" t="s">
        <v>49</v>
      </c>
      <c r="B148" s="191">
        <f t="shared" si="13"/>
        <v>44800000</v>
      </c>
      <c r="C148" s="100" t="s">
        <v>44</v>
      </c>
      <c r="D148" s="100" t="s">
        <v>906</v>
      </c>
      <c r="E148" s="100" t="s">
        <v>45</v>
      </c>
      <c r="F148" s="98" t="s">
        <v>367</v>
      </c>
      <c r="G148" s="101" t="s">
        <v>46</v>
      </c>
      <c r="H148" s="1229">
        <v>433</v>
      </c>
      <c r="I148" s="182">
        <v>0</v>
      </c>
      <c r="J148" s="535"/>
      <c r="K148" s="117">
        <v>283</v>
      </c>
      <c r="L148" s="160">
        <v>44800000</v>
      </c>
      <c r="M148" s="117">
        <v>274</v>
      </c>
      <c r="N148" s="175">
        <v>44800000</v>
      </c>
      <c r="O148" s="264">
        <v>245</v>
      </c>
      <c r="P148" s="257"/>
      <c r="Q148" s="188"/>
      <c r="R148" s="188">
        <v>2380000</v>
      </c>
      <c r="S148" s="188"/>
      <c r="T148" s="188"/>
      <c r="U148" s="188"/>
      <c r="V148" s="188"/>
      <c r="W148" s="188"/>
      <c r="X148" s="188"/>
      <c r="Y148" s="188"/>
      <c r="Z148" s="188"/>
      <c r="AA148" s="188"/>
      <c r="AB148" s="941">
        <f t="shared" si="16"/>
        <v>2380000</v>
      </c>
      <c r="AC148" s="948">
        <f t="shared" si="17"/>
        <v>42420000</v>
      </c>
      <c r="AD148" s="1229">
        <v>433</v>
      </c>
      <c r="AE148" s="370" t="s">
        <v>537</v>
      </c>
      <c r="AF148" s="370" t="s">
        <v>693</v>
      </c>
      <c r="AG148" s="571">
        <f t="shared" si="14"/>
        <v>245</v>
      </c>
      <c r="AH148" s="356">
        <v>46200000</v>
      </c>
      <c r="AI148" s="1207">
        <f t="shared" si="15"/>
        <v>1400000</v>
      </c>
      <c r="AJ148" s="1262"/>
    </row>
    <row r="149" spans="1:37" s="9" customFormat="1">
      <c r="A149" s="99" t="s">
        <v>49</v>
      </c>
      <c r="B149" s="191">
        <f t="shared" si="13"/>
        <v>88000000</v>
      </c>
      <c r="C149" s="100" t="s">
        <v>44</v>
      </c>
      <c r="D149" s="100" t="s">
        <v>906</v>
      </c>
      <c r="E149" s="100" t="s">
        <v>45</v>
      </c>
      <c r="F149" s="98" t="s">
        <v>367</v>
      </c>
      <c r="G149" s="101" t="s">
        <v>46</v>
      </c>
      <c r="H149" s="1229">
        <v>440</v>
      </c>
      <c r="I149" s="182"/>
      <c r="J149" s="535"/>
      <c r="K149" s="117">
        <v>371</v>
      </c>
      <c r="L149" s="160">
        <v>88000000</v>
      </c>
      <c r="M149" s="117">
        <v>390</v>
      </c>
      <c r="N149" s="528">
        <v>88000000</v>
      </c>
      <c r="O149" s="264">
        <v>305</v>
      </c>
      <c r="P149" s="514"/>
      <c r="Q149" s="515"/>
      <c r="R149" s="515"/>
      <c r="S149" s="515"/>
      <c r="T149" s="515"/>
      <c r="U149" s="515"/>
      <c r="V149" s="515"/>
      <c r="W149" s="515"/>
      <c r="X149" s="515"/>
      <c r="Y149" s="515"/>
      <c r="Z149" s="515"/>
      <c r="AA149" s="515"/>
      <c r="AB149" s="941">
        <f t="shared" si="16"/>
        <v>0</v>
      </c>
      <c r="AC149" s="948">
        <f t="shared" si="17"/>
        <v>88000000</v>
      </c>
      <c r="AD149" s="1229">
        <v>440</v>
      </c>
      <c r="AE149" s="370" t="s">
        <v>320</v>
      </c>
      <c r="AF149" s="370" t="s">
        <v>894</v>
      </c>
      <c r="AG149" s="571">
        <f t="shared" si="14"/>
        <v>305</v>
      </c>
      <c r="AH149" s="356">
        <v>88000000</v>
      </c>
      <c r="AI149" s="1207">
        <f t="shared" si="15"/>
        <v>0</v>
      </c>
      <c r="AJ149" s="1262"/>
    </row>
    <row r="150" spans="1:37" s="9" customFormat="1">
      <c r="A150" s="189" t="s">
        <v>31</v>
      </c>
      <c r="B150" s="195">
        <f>B99-SUM(B100:B149)</f>
        <v>743451843</v>
      </c>
      <c r="C150" s="102"/>
      <c r="D150" s="102"/>
      <c r="E150" s="102"/>
      <c r="F150" s="102"/>
      <c r="G150" s="103"/>
      <c r="H150" s="1310"/>
      <c r="I150" s="56"/>
      <c r="J150" s="531"/>
      <c r="K150" s="401"/>
      <c r="L150" s="184">
        <f>SUM(L100:L149)</f>
        <v>2043181714</v>
      </c>
      <c r="M150" s="401"/>
      <c r="N150" s="184">
        <f>SUM(N100:N149)</f>
        <v>2035681714</v>
      </c>
      <c r="O150" s="205"/>
      <c r="P150" s="184">
        <f>SUM(P100:P149)</f>
        <v>0</v>
      </c>
      <c r="Q150" s="184">
        <f t="shared" ref="Q150:AA150" si="18">SUM(Q100:Q149)</f>
        <v>12385334</v>
      </c>
      <c r="R150" s="184">
        <f t="shared" si="18"/>
        <v>143464000</v>
      </c>
      <c r="S150" s="184">
        <f t="shared" si="18"/>
        <v>0</v>
      </c>
      <c r="T150" s="184">
        <f t="shared" si="18"/>
        <v>0</v>
      </c>
      <c r="U150" s="184">
        <f t="shared" si="18"/>
        <v>0</v>
      </c>
      <c r="V150" s="184">
        <f t="shared" si="18"/>
        <v>0</v>
      </c>
      <c r="W150" s="184">
        <f t="shared" si="18"/>
        <v>0</v>
      </c>
      <c r="X150" s="184">
        <f t="shared" si="18"/>
        <v>0</v>
      </c>
      <c r="Y150" s="184">
        <f t="shared" si="18"/>
        <v>0</v>
      </c>
      <c r="Z150" s="184">
        <f t="shared" si="18"/>
        <v>0</v>
      </c>
      <c r="AA150" s="184">
        <f t="shared" si="18"/>
        <v>0</v>
      </c>
      <c r="AB150" s="184">
        <f>SUM(AB100:AB149)</f>
        <v>155849334</v>
      </c>
      <c r="AC150" s="184">
        <f>SUM(AC100:AC149)</f>
        <v>1879832380</v>
      </c>
      <c r="AD150" s="1202"/>
      <c r="AE150" s="353"/>
      <c r="AF150" s="353"/>
      <c r="AG150" s="579"/>
      <c r="AH150" s="184">
        <f>SUM(AH100:AH149)</f>
        <v>2786633557</v>
      </c>
      <c r="AI150" s="184">
        <f>SUM(AI100:AI149)</f>
        <v>750951843</v>
      </c>
      <c r="AJ150" s="1104">
        <f>B99-AH150</f>
        <v>0</v>
      </c>
      <c r="AK150" s="357"/>
    </row>
    <row r="151" spans="1:37" s="9" customFormat="1" ht="51">
      <c r="A151" s="932" t="s">
        <v>49</v>
      </c>
      <c r="B151" s="194">
        <v>63000000</v>
      </c>
      <c r="C151" s="687" t="s">
        <v>62</v>
      </c>
      <c r="D151" s="687" t="s">
        <v>906</v>
      </c>
      <c r="E151" s="687" t="s">
        <v>45</v>
      </c>
      <c r="F151" s="687" t="s">
        <v>367</v>
      </c>
      <c r="G151" s="688" t="s">
        <v>46</v>
      </c>
      <c r="H151" s="1308"/>
      <c r="I151" s="494">
        <v>0</v>
      </c>
      <c r="J151" s="549"/>
      <c r="K151" s="1325"/>
      <c r="L151" s="495"/>
      <c r="M151" s="1325"/>
      <c r="N151" s="496"/>
      <c r="O151" s="438"/>
      <c r="P151" s="487"/>
      <c r="Q151" s="488"/>
      <c r="R151" s="488"/>
      <c r="S151" s="488"/>
      <c r="T151" s="488"/>
      <c r="U151" s="488"/>
      <c r="V151" s="488"/>
      <c r="W151" s="488"/>
      <c r="X151" s="488"/>
      <c r="Y151" s="488"/>
      <c r="Z151" s="488"/>
      <c r="AA151" s="488"/>
      <c r="AB151" s="944"/>
      <c r="AC151" s="985"/>
      <c r="AD151" s="1242"/>
      <c r="AE151" s="492"/>
      <c r="AF151" s="492"/>
      <c r="AG151" s="1452"/>
      <c r="AH151" s="493"/>
      <c r="AI151" s="1241"/>
      <c r="AJ151" s="1262"/>
    </row>
    <row r="152" spans="1:37" s="9" customFormat="1">
      <c r="A152" s="99" t="s">
        <v>49</v>
      </c>
      <c r="B152" s="191">
        <f>L152</f>
        <v>0</v>
      </c>
      <c r="C152" s="98" t="s">
        <v>62</v>
      </c>
      <c r="D152" s="100" t="s">
        <v>906</v>
      </c>
      <c r="E152" s="100" t="s">
        <v>45</v>
      </c>
      <c r="F152" s="98" t="s">
        <v>367</v>
      </c>
      <c r="G152" s="101" t="s">
        <v>46</v>
      </c>
      <c r="H152" s="1228">
        <v>94</v>
      </c>
      <c r="I152" s="669">
        <v>0</v>
      </c>
      <c r="J152" s="160"/>
      <c r="K152" s="1326"/>
      <c r="L152" s="160"/>
      <c r="M152" s="1326"/>
      <c r="N152" s="160"/>
      <c r="O152" s="266"/>
      <c r="P152" s="257"/>
      <c r="Q152" s="188"/>
      <c r="R152" s="188"/>
      <c r="S152" s="188"/>
      <c r="T152" s="188"/>
      <c r="U152" s="188"/>
      <c r="V152" s="188"/>
      <c r="W152" s="188"/>
      <c r="X152" s="188"/>
      <c r="Y152" s="188"/>
      <c r="Z152" s="188"/>
      <c r="AA152" s="188"/>
      <c r="AB152" s="941">
        <f>SUM(P152:AA152)</f>
        <v>0</v>
      </c>
      <c r="AC152" s="948">
        <f>N152-AB152</f>
        <v>0</v>
      </c>
      <c r="AD152" s="1228">
        <v>94</v>
      </c>
      <c r="AE152" s="362" t="s">
        <v>304</v>
      </c>
      <c r="AF152" s="370" t="s">
        <v>188</v>
      </c>
      <c r="AG152" s="571">
        <f>O152</f>
        <v>0</v>
      </c>
      <c r="AH152" s="356">
        <v>63000000</v>
      </c>
      <c r="AI152" s="1207">
        <f>AH152-N152</f>
        <v>63000000</v>
      </c>
      <c r="AJ152" s="1262"/>
    </row>
    <row r="153" spans="1:37" s="9" customFormat="1">
      <c r="A153" s="99" t="s">
        <v>49</v>
      </c>
      <c r="B153" s="191">
        <f>L153</f>
        <v>0</v>
      </c>
      <c r="C153" s="98" t="s">
        <v>62</v>
      </c>
      <c r="D153" s="100" t="s">
        <v>906</v>
      </c>
      <c r="E153" s="100" t="s">
        <v>45</v>
      </c>
      <c r="F153" s="98" t="s">
        <v>367</v>
      </c>
      <c r="G153" s="101" t="s">
        <v>46</v>
      </c>
      <c r="H153" s="1337" t="s">
        <v>188</v>
      </c>
      <c r="I153" s="669">
        <v>0</v>
      </c>
      <c r="J153" s="322"/>
      <c r="K153" s="318"/>
      <c r="L153" s="221"/>
      <c r="M153" s="318"/>
      <c r="N153" s="188"/>
      <c r="O153" s="263"/>
      <c r="P153" s="257"/>
      <c r="Q153" s="188"/>
      <c r="R153" s="188"/>
      <c r="S153" s="188"/>
      <c r="T153" s="188"/>
      <c r="U153" s="188"/>
      <c r="V153" s="188"/>
      <c r="W153" s="188"/>
      <c r="X153" s="188"/>
      <c r="Y153" s="188"/>
      <c r="Z153" s="188"/>
      <c r="AA153" s="188"/>
      <c r="AB153" s="941">
        <f>SUM(P153:AA153)</f>
        <v>0</v>
      </c>
      <c r="AC153" s="948">
        <f>N153-AB153</f>
        <v>0</v>
      </c>
      <c r="AD153" s="1229"/>
      <c r="AE153" s="313"/>
      <c r="AF153" s="291"/>
      <c r="AG153" s="571">
        <f>O153</f>
        <v>0</v>
      </c>
      <c r="AH153" s="356"/>
      <c r="AI153" s="1207"/>
      <c r="AJ153" s="1262"/>
    </row>
    <row r="154" spans="1:37" s="9" customFormat="1" ht="11.25" customHeight="1">
      <c r="A154" s="62" t="s">
        <v>31</v>
      </c>
      <c r="B154" s="11">
        <f>B151-SUM(B152:B153)</f>
        <v>63000000</v>
      </c>
      <c r="C154" s="14"/>
      <c r="D154" s="14"/>
      <c r="E154" s="14"/>
      <c r="F154" s="14"/>
      <c r="G154" s="63"/>
      <c r="H154" s="1311"/>
      <c r="I154" s="58"/>
      <c r="J154" s="325"/>
      <c r="K154" s="119"/>
      <c r="L154" s="164">
        <f>SUM(L152:L153)</f>
        <v>0</v>
      </c>
      <c r="M154" s="119"/>
      <c r="N154" s="164">
        <f>SUM(N152:N153)</f>
        <v>0</v>
      </c>
      <c r="O154" s="206"/>
      <c r="P154" s="259">
        <f t="shared" ref="P154:AA154" si="19">SUM(P152:P153)</f>
        <v>0</v>
      </c>
      <c r="Q154" s="164">
        <f t="shared" si="19"/>
        <v>0</v>
      </c>
      <c r="R154" s="164">
        <f t="shared" si="19"/>
        <v>0</v>
      </c>
      <c r="S154" s="164">
        <f t="shared" si="19"/>
        <v>0</v>
      </c>
      <c r="T154" s="164">
        <f t="shared" si="19"/>
        <v>0</v>
      </c>
      <c r="U154" s="164">
        <f t="shared" si="19"/>
        <v>0</v>
      </c>
      <c r="V154" s="164">
        <f t="shared" si="19"/>
        <v>0</v>
      </c>
      <c r="W154" s="164">
        <f t="shared" si="19"/>
        <v>0</v>
      </c>
      <c r="X154" s="164">
        <f t="shared" si="19"/>
        <v>0</v>
      </c>
      <c r="Y154" s="164">
        <f t="shared" si="19"/>
        <v>0</v>
      </c>
      <c r="Z154" s="164">
        <f t="shared" si="19"/>
        <v>0</v>
      </c>
      <c r="AA154" s="164">
        <f t="shared" si="19"/>
        <v>0</v>
      </c>
      <c r="AB154" s="164">
        <f>SUM(AB152:AB153)</f>
        <v>0</v>
      </c>
      <c r="AC154" s="949">
        <f>SUM(AC152:AC153)</f>
        <v>0</v>
      </c>
      <c r="AD154" s="1180"/>
      <c r="AE154" s="353"/>
      <c r="AF154" s="353"/>
      <c r="AG154" s="579"/>
      <c r="AH154" s="15">
        <f>SUM(AH152:AH153)</f>
        <v>63000000</v>
      </c>
      <c r="AI154" s="206">
        <f>SUM(AI152:AI153)</f>
        <v>63000000</v>
      </c>
      <c r="AJ154" s="1104">
        <f>B151-AH154</f>
        <v>0</v>
      </c>
      <c r="AK154" s="357"/>
    </row>
    <row r="155" spans="1:37" s="9" customFormat="1" ht="11.25" customHeight="1">
      <c r="A155" s="199"/>
      <c r="B155" s="200"/>
      <c r="C155" s="167"/>
      <c r="D155" s="168"/>
      <c r="E155" s="167"/>
      <c r="F155" s="167"/>
      <c r="G155" s="201"/>
      <c r="H155" s="239"/>
      <c r="I155" s="168"/>
      <c r="J155" s="550"/>
      <c r="K155" s="1327"/>
      <c r="L155" s="173"/>
      <c r="M155" s="116"/>
      <c r="N155" s="159"/>
      <c r="O155" s="208"/>
      <c r="P155" s="261"/>
      <c r="Q155" s="159"/>
      <c r="R155" s="159"/>
      <c r="S155" s="159"/>
      <c r="T155" s="159"/>
      <c r="U155" s="159"/>
      <c r="V155" s="159"/>
      <c r="W155" s="159"/>
      <c r="X155" s="159"/>
      <c r="Y155" s="159"/>
      <c r="Z155" s="159"/>
      <c r="AA155" s="159"/>
      <c r="AB155" s="941"/>
      <c r="AC155" s="948"/>
      <c r="AD155" s="1231"/>
      <c r="AE155" s="291"/>
      <c r="AF155" s="291"/>
      <c r="AG155" s="571"/>
      <c r="AH155" s="356"/>
      <c r="AI155" s="1243"/>
      <c r="AJ155" s="1262"/>
    </row>
    <row r="156" spans="1:37" s="1105" customFormat="1" ht="15.75" thickBot="1">
      <c r="A156" s="1074" t="s">
        <v>185</v>
      </c>
      <c r="B156" s="209">
        <f>B16+B78+B98</f>
        <v>6976000000</v>
      </c>
      <c r="C156" s="210"/>
      <c r="D156" s="211"/>
      <c r="E156" s="210"/>
      <c r="F156" s="210"/>
      <c r="G156" s="212"/>
      <c r="H156" s="1312"/>
      <c r="I156" s="211"/>
      <c r="J156" s="551"/>
      <c r="K156" s="1328"/>
      <c r="L156" s="602">
        <f>L69+L73+L77+L97+L150+L154</f>
        <v>3611528012</v>
      </c>
      <c r="M156" s="1334"/>
      <c r="N156" s="602">
        <f>N69+N73+N77+N97+N150+N154</f>
        <v>2978679897</v>
      </c>
      <c r="O156" s="213"/>
      <c r="P156" s="602">
        <f t="shared" ref="P156:AB156" si="20">P69+P73+P77+P97+P150+P154</f>
        <v>0</v>
      </c>
      <c r="Q156" s="602">
        <f t="shared" si="20"/>
        <v>15342667</v>
      </c>
      <c r="R156" s="602">
        <f t="shared" si="20"/>
        <v>245383835</v>
      </c>
      <c r="S156" s="602">
        <f t="shared" si="20"/>
        <v>0</v>
      </c>
      <c r="T156" s="602">
        <f t="shared" si="20"/>
        <v>0</v>
      </c>
      <c r="U156" s="602">
        <f t="shared" si="20"/>
        <v>0</v>
      </c>
      <c r="V156" s="602">
        <f t="shared" si="20"/>
        <v>0</v>
      </c>
      <c r="W156" s="602">
        <f t="shared" si="20"/>
        <v>0</v>
      </c>
      <c r="X156" s="602">
        <f t="shared" si="20"/>
        <v>0</v>
      </c>
      <c r="Y156" s="602">
        <f t="shared" si="20"/>
        <v>0</v>
      </c>
      <c r="Z156" s="602">
        <f t="shared" si="20"/>
        <v>0</v>
      </c>
      <c r="AA156" s="602">
        <f t="shared" si="20"/>
        <v>0</v>
      </c>
      <c r="AB156" s="602">
        <f t="shared" si="20"/>
        <v>260726502</v>
      </c>
      <c r="AC156" s="950">
        <f>AC69+AC73+AC77+AC97+AC150+AC154</f>
        <v>2701901945</v>
      </c>
      <c r="AD156" s="1244"/>
      <c r="AE156" s="1245"/>
      <c r="AF156" s="1245"/>
      <c r="AG156" s="1453"/>
      <c r="AH156" s="1246">
        <f>AH69+AH73+AH77++AH97+AH150+AH154</f>
        <v>6938000000</v>
      </c>
      <c r="AI156" s="1247">
        <f>AI69+AI73+AI77+AI97+AI150+AI154</f>
        <v>3857332103</v>
      </c>
      <c r="AJ156" s="1260">
        <f>AJ69+AJ73+AJ77+AJ97+AJ150+AJ154</f>
        <v>38000000</v>
      </c>
    </row>
    <row r="157" spans="1:37" hidden="1">
      <c r="A157" s="20"/>
      <c r="B157" s="21"/>
      <c r="C157" s="1106"/>
      <c r="D157" s="1106"/>
      <c r="E157" s="1106"/>
      <c r="F157" s="1106"/>
      <c r="G157" s="1106"/>
      <c r="H157" s="240"/>
      <c r="I157" s="1106"/>
      <c r="J157" s="144"/>
      <c r="K157" s="1329"/>
      <c r="L157" s="129"/>
      <c r="M157" s="121"/>
      <c r="N157" s="553"/>
      <c r="O157" s="253"/>
      <c r="P157" s="656"/>
      <c r="Q157" s="656"/>
      <c r="R157" s="656"/>
      <c r="S157" s="656"/>
      <c r="T157" s="656"/>
      <c r="U157" s="656"/>
      <c r="V157" s="656"/>
      <c r="W157" s="656"/>
      <c r="X157" s="656"/>
      <c r="Y157" s="656"/>
      <c r="Z157" s="656"/>
      <c r="AA157" s="656"/>
      <c r="AB157" s="204"/>
      <c r="AC157" s="986"/>
    </row>
    <row r="158" spans="1:37" hidden="1">
      <c r="A158" s="20"/>
      <c r="B158" s="21"/>
      <c r="C158" s="1106"/>
      <c r="D158" s="1106"/>
      <c r="E158" s="1106"/>
      <c r="F158" s="1106"/>
      <c r="G158" s="1106"/>
      <c r="H158" s="240"/>
      <c r="I158" s="1106"/>
      <c r="J158" s="144"/>
      <c r="K158" s="1329"/>
      <c r="L158" s="129"/>
      <c r="M158" s="121"/>
      <c r="N158" s="553"/>
      <c r="O158" s="253"/>
      <c r="P158" s="656"/>
      <c r="Q158" s="656"/>
      <c r="R158" s="656"/>
      <c r="S158" s="656"/>
      <c r="T158" s="656"/>
      <c r="U158" s="656"/>
      <c r="V158" s="656"/>
      <c r="W158" s="656"/>
      <c r="X158" s="656"/>
      <c r="Y158" s="656"/>
      <c r="Z158" s="656"/>
      <c r="AA158" s="656"/>
      <c r="AB158" s="204"/>
      <c r="AC158" s="986"/>
    </row>
    <row r="159" spans="1:37">
      <c r="A159" s="20"/>
      <c r="B159" s="21"/>
      <c r="C159" s="1106"/>
      <c r="D159" s="1106"/>
      <c r="E159" s="1106"/>
      <c r="F159" s="1106"/>
      <c r="G159" s="1106"/>
      <c r="H159" s="240"/>
      <c r="I159" s="1106"/>
      <c r="J159" s="144"/>
      <c r="K159" s="1329"/>
      <c r="L159" s="129"/>
      <c r="M159" s="121"/>
      <c r="N159" s="553"/>
      <c r="O159" s="253"/>
      <c r="P159" s="656"/>
      <c r="Q159" s="656"/>
      <c r="R159" s="656"/>
      <c r="S159" s="656"/>
      <c r="T159" s="656"/>
      <c r="U159" s="656"/>
      <c r="V159" s="656"/>
      <c r="W159" s="656"/>
      <c r="X159" s="656"/>
      <c r="Y159" s="656"/>
      <c r="Z159" s="656"/>
      <c r="AA159" s="656"/>
      <c r="AB159" s="204"/>
      <c r="AC159" s="986"/>
    </row>
    <row r="160" spans="1:37">
      <c r="A160" s="20"/>
      <c r="B160" s="21"/>
      <c r="C160" s="1106"/>
      <c r="D160" s="1106"/>
      <c r="E160" s="1106"/>
      <c r="F160" s="1106"/>
      <c r="G160" s="1106"/>
      <c r="H160" s="240"/>
      <c r="I160" s="1106"/>
      <c r="J160" s="144"/>
      <c r="K160" s="1329"/>
      <c r="L160" s="129"/>
      <c r="M160" s="121"/>
      <c r="N160" s="553"/>
      <c r="O160" s="253"/>
      <c r="P160" s="656"/>
      <c r="Q160" s="656"/>
      <c r="R160" s="656"/>
      <c r="S160" s="656"/>
      <c r="T160" s="656"/>
      <c r="U160" s="656"/>
      <c r="V160" s="656"/>
      <c r="W160" s="656"/>
      <c r="X160" s="656"/>
      <c r="Y160" s="656"/>
      <c r="Z160" s="656"/>
      <c r="AA160" s="656"/>
      <c r="AB160" s="204"/>
      <c r="AC160" s="986"/>
      <c r="AH160" s="364">
        <f>B156-AH156</f>
        <v>38000000</v>
      </c>
    </row>
    <row r="161" spans="1:37" s="148" customFormat="1" ht="28.5" customHeight="1">
      <c r="A161" s="24" t="s">
        <v>37</v>
      </c>
      <c r="B161" s="25" t="s">
        <v>19</v>
      </c>
      <c r="C161" s="604"/>
      <c r="D161" s="604"/>
      <c r="E161" s="604"/>
      <c r="F161" s="604"/>
      <c r="G161" s="604"/>
      <c r="H161" s="1313"/>
      <c r="I161" s="80"/>
      <c r="J161" s="544"/>
      <c r="K161" s="1330"/>
      <c r="L161" s="130" t="s">
        <v>24</v>
      </c>
      <c r="M161" s="403" t="s">
        <v>25</v>
      </c>
      <c r="N161" s="26" t="s">
        <v>26</v>
      </c>
      <c r="O161" s="611" t="s">
        <v>136</v>
      </c>
      <c r="P161" s="610"/>
      <c r="Q161" s="610">
        <v>15342667</v>
      </c>
      <c r="R161" s="610">
        <v>245383835</v>
      </c>
      <c r="S161" s="610"/>
      <c r="T161" s="610"/>
      <c r="U161" s="610"/>
      <c r="V161" s="610"/>
      <c r="W161" s="610"/>
      <c r="X161" s="610"/>
      <c r="Y161" s="610"/>
      <c r="Z161" s="610"/>
      <c r="AA161" s="610"/>
      <c r="AB161" s="945">
        <f>SUM(P161:AA161)</f>
        <v>260726502</v>
      </c>
      <c r="AC161" s="951">
        <f>N156-AB161</f>
        <v>2717953395</v>
      </c>
      <c r="AD161" s="605"/>
      <c r="AG161" s="609"/>
      <c r="AH161" s="606"/>
      <c r="AJ161" s="1263"/>
    </row>
    <row r="162" spans="1:37">
      <c r="A162" s="20"/>
      <c r="B162" s="21"/>
      <c r="C162" s="1747"/>
      <c r="D162" s="1747"/>
      <c r="E162" s="1747"/>
      <c r="F162" s="652"/>
      <c r="G162" s="652"/>
      <c r="H162" s="1294"/>
      <c r="I162" s="1106"/>
      <c r="J162" s="144"/>
      <c r="K162" s="1329"/>
      <c r="L162" s="131">
        <f>L156</f>
        <v>3611528012</v>
      </c>
      <c r="M162" s="131">
        <f>N156</f>
        <v>2978679897</v>
      </c>
      <c r="N162" s="131">
        <f>AB156</f>
        <v>260726502</v>
      </c>
      <c r="O162" s="253"/>
      <c r="P162" s="656"/>
      <c r="Q162" s="656"/>
      <c r="R162" s="656"/>
      <c r="S162" s="656"/>
      <c r="T162" s="656"/>
      <c r="U162" s="656"/>
      <c r="V162" s="656"/>
      <c r="W162" s="656"/>
      <c r="X162" s="656">
        <f>X161-X156</f>
        <v>0</v>
      </c>
      <c r="Y162" s="656"/>
      <c r="Z162" s="656"/>
      <c r="AA162" s="656"/>
      <c r="AB162" s="204"/>
      <c r="AC162" s="986"/>
    </row>
    <row r="163" spans="1:37" ht="24.75" customHeight="1">
      <c r="A163" s="27" t="s">
        <v>38</v>
      </c>
      <c r="B163" s="28">
        <f>B16+B78+B98</f>
        <v>6976000000</v>
      </c>
      <c r="C163" s="1716" t="s">
        <v>140</v>
      </c>
      <c r="D163" s="1748"/>
      <c r="E163" s="1748" t="s">
        <v>141</v>
      </c>
      <c r="F163" s="1748"/>
      <c r="G163" s="1748"/>
      <c r="H163" s="1314"/>
      <c r="I163" s="202"/>
      <c r="J163" s="552"/>
      <c r="K163" s="323"/>
      <c r="L163" s="81"/>
      <c r="M163" s="526" t="s">
        <v>38</v>
      </c>
      <c r="N163" s="131">
        <f>N69+N73+N77+N97+N150+N154</f>
        <v>2978679897</v>
      </c>
      <c r="O163" s="253"/>
      <c r="P163" s="131">
        <f t="shared" ref="P163:AB163" si="21">P69+P73+P77+P97+P150+P154</f>
        <v>0</v>
      </c>
      <c r="Q163" s="131">
        <f t="shared" si="21"/>
        <v>15342667</v>
      </c>
      <c r="R163" s="131">
        <f t="shared" si="21"/>
        <v>245383835</v>
      </c>
      <c r="S163" s="131">
        <f>S69+S73+S77+S97+S150+S154</f>
        <v>0</v>
      </c>
      <c r="T163" s="131">
        <f t="shared" si="21"/>
        <v>0</v>
      </c>
      <c r="U163" s="131">
        <f t="shared" si="21"/>
        <v>0</v>
      </c>
      <c r="V163" s="131">
        <f t="shared" si="21"/>
        <v>0</v>
      </c>
      <c r="W163" s="131">
        <f t="shared" si="21"/>
        <v>0</v>
      </c>
      <c r="X163" s="131">
        <f t="shared" si="21"/>
        <v>0</v>
      </c>
      <c r="Y163" s="131">
        <f t="shared" si="21"/>
        <v>0</v>
      </c>
      <c r="Z163" s="131">
        <f t="shared" si="21"/>
        <v>0</v>
      </c>
      <c r="AA163" s="131">
        <f t="shared" si="21"/>
        <v>0</v>
      </c>
      <c r="AB163" s="946">
        <f t="shared" si="21"/>
        <v>260726502</v>
      </c>
      <c r="AC163" s="952">
        <f>N163-AB163</f>
        <v>2717953395</v>
      </c>
      <c r="AD163" s="352"/>
    </row>
    <row r="164" spans="1:37" s="9" customFormat="1" ht="14.25">
      <c r="A164" s="460"/>
      <c r="B164" s="461"/>
      <c r="C164" s="1749" t="s">
        <v>453</v>
      </c>
      <c r="D164" s="1749"/>
      <c r="E164" s="1749" t="s">
        <v>142</v>
      </c>
      <c r="F164" s="1749"/>
      <c r="G164" s="1749"/>
      <c r="H164" s="1315"/>
      <c r="I164" s="324"/>
      <c r="J164" s="254"/>
      <c r="K164" s="323"/>
      <c r="L164" s="81"/>
      <c r="M164" s="1335"/>
      <c r="N164" s="462"/>
      <c r="O164" s="251"/>
      <c r="P164" s="462"/>
      <c r="Q164" s="462"/>
      <c r="R164" s="462"/>
      <c r="S164" s="462"/>
      <c r="T164" s="462"/>
      <c r="U164" s="462"/>
      <c r="V164" s="462"/>
      <c r="W164" s="462"/>
      <c r="X164" s="462"/>
      <c r="Y164" s="462"/>
      <c r="Z164" s="462"/>
      <c r="AA164" s="462"/>
      <c r="AB164" s="462"/>
      <c r="AC164" s="657"/>
      <c r="AD164" s="179"/>
      <c r="AG164" s="581"/>
      <c r="AH164" s="463"/>
      <c r="AJ164" s="1262"/>
    </row>
    <row r="165" spans="1:37" s="9" customFormat="1">
      <c r="A165" s="658" t="s">
        <v>39</v>
      </c>
      <c r="B165" s="461"/>
      <c r="C165" s="177"/>
      <c r="D165" s="177"/>
      <c r="E165" s="177"/>
      <c r="F165" s="177"/>
      <c r="G165" s="635"/>
      <c r="H165" s="1316"/>
      <c r="I165" s="324"/>
      <c r="J165" s="254"/>
      <c r="K165" s="323"/>
      <c r="L165" s="81"/>
      <c r="M165" s="1335"/>
      <c r="N165" s="462"/>
      <c r="O165" s="251"/>
      <c r="P165" s="462"/>
      <c r="Q165" s="462"/>
      <c r="R165" s="462"/>
      <c r="S165" s="462"/>
      <c r="T165" s="462"/>
      <c r="U165" s="462"/>
      <c r="V165" s="462"/>
      <c r="W165" s="462"/>
      <c r="X165" s="462"/>
      <c r="Y165" s="462"/>
      <c r="Z165" s="462"/>
      <c r="AA165" s="462"/>
      <c r="AB165" s="462"/>
      <c r="AC165" s="657">
        <f>AC163-AC161</f>
        <v>0</v>
      </c>
      <c r="AD165" s="179"/>
      <c r="AG165" s="581"/>
      <c r="AH165" s="463"/>
      <c r="AJ165" s="1262"/>
    </row>
    <row r="166" spans="1:37" s="9" customFormat="1" ht="13.5" thickBot="1">
      <c r="A166" s="659"/>
      <c r="B166" s="660"/>
      <c r="C166" s="661"/>
      <c r="D166" s="661"/>
      <c r="E166" s="661"/>
      <c r="F166" s="661"/>
      <c r="G166" s="662"/>
      <c r="H166" s="1317"/>
      <c r="I166" s="663"/>
      <c r="J166" s="664"/>
      <c r="K166" s="1331"/>
      <c r="L166" s="665"/>
      <c r="M166" s="1336"/>
      <c r="N166" s="666"/>
      <c r="O166" s="667"/>
      <c r="P166" s="666"/>
      <c r="Q166" s="666"/>
      <c r="R166" s="666"/>
      <c r="S166" s="666"/>
      <c r="T166" s="666"/>
      <c r="U166" s="666"/>
      <c r="V166" s="666"/>
      <c r="W166" s="666"/>
      <c r="X166" s="666"/>
      <c r="Y166" s="666"/>
      <c r="Z166" s="666"/>
      <c r="AA166" s="666"/>
      <c r="AB166" s="666"/>
      <c r="AC166" s="668"/>
      <c r="AD166" s="179"/>
      <c r="AG166" s="581"/>
      <c r="AH166" s="463"/>
      <c r="AJ166" s="1262"/>
    </row>
    <row r="167" spans="1:37" s="9" customFormat="1">
      <c r="A167" s="460"/>
      <c r="B167" s="461"/>
      <c r="C167" s="177"/>
      <c r="D167" s="177"/>
      <c r="E167" s="177"/>
      <c r="F167" s="177"/>
      <c r="H167" s="1318"/>
      <c r="I167" s="324"/>
      <c r="J167" s="254"/>
      <c r="K167" s="323"/>
      <c r="L167" s="81">
        <v>3611528012</v>
      </c>
      <c r="M167" s="81">
        <v>2978679897</v>
      </c>
      <c r="N167" s="462">
        <f>N162</f>
        <v>260726502</v>
      </c>
      <c r="O167" s="197"/>
      <c r="P167" s="462"/>
      <c r="Q167" s="462"/>
      <c r="R167" s="462"/>
      <c r="S167" s="462"/>
      <c r="T167" s="462"/>
      <c r="U167" s="462"/>
      <c r="V167" s="462"/>
      <c r="W167" s="462"/>
      <c r="X167" s="462"/>
      <c r="Y167" s="462"/>
      <c r="Z167" s="462"/>
      <c r="AA167" s="462"/>
      <c r="AB167" s="462"/>
      <c r="AC167" s="179"/>
      <c r="AD167" s="179"/>
      <c r="AG167" s="581"/>
      <c r="AH167" s="463"/>
      <c r="AJ167" s="1262"/>
    </row>
    <row r="168" spans="1:37" s="9" customFormat="1">
      <c r="A168" s="460"/>
      <c r="B168" s="461"/>
      <c r="C168" s="177"/>
      <c r="D168" s="177"/>
      <c r="E168" s="177"/>
      <c r="F168" s="177"/>
      <c r="H168" s="1318"/>
      <c r="I168" s="324"/>
      <c r="J168" s="254"/>
      <c r="K168" s="323"/>
      <c r="L168" s="81">
        <f>L167-L162</f>
        <v>0</v>
      </c>
      <c r="M168" s="81">
        <f>M167-M162</f>
        <v>0</v>
      </c>
      <c r="N168" s="81">
        <f>N167-N162</f>
        <v>0</v>
      </c>
      <c r="O168" s="197"/>
      <c r="P168" s="462"/>
      <c r="Q168" s="462"/>
      <c r="R168" s="462"/>
      <c r="S168" s="462"/>
      <c r="T168" s="462"/>
      <c r="U168" s="462"/>
      <c r="V168" s="462"/>
      <c r="W168" s="462"/>
      <c r="X168" s="462"/>
      <c r="Y168" s="462"/>
      <c r="Z168" s="462"/>
      <c r="AA168" s="462"/>
      <c r="AB168" s="462"/>
      <c r="AC168" s="179"/>
      <c r="AD168" s="179"/>
      <c r="AG168" s="581"/>
      <c r="AH168" s="463"/>
      <c r="AJ168" s="1262"/>
    </row>
    <row r="169" spans="1:37" s="9" customFormat="1">
      <c r="A169" s="460"/>
      <c r="B169" s="461"/>
      <c r="C169" s="177"/>
      <c r="D169" s="177"/>
      <c r="E169" s="177"/>
      <c r="F169" s="177"/>
      <c r="H169" s="1318"/>
      <c r="I169" s="324"/>
      <c r="J169" s="254"/>
      <c r="K169" s="323"/>
      <c r="L169" s="81"/>
      <c r="M169" s="1335"/>
      <c r="N169" s="462"/>
      <c r="O169" s="197"/>
      <c r="P169" s="462"/>
      <c r="Q169" s="462"/>
      <c r="R169" s="462"/>
      <c r="S169" s="462"/>
      <c r="T169" s="462"/>
      <c r="U169" s="462"/>
      <c r="V169" s="462"/>
      <c r="W169" s="462"/>
      <c r="X169" s="462"/>
      <c r="Y169" s="462"/>
      <c r="Z169" s="462"/>
      <c r="AA169" s="462"/>
      <c r="AB169" s="462"/>
      <c r="AC169" s="179"/>
      <c r="AD169" s="179"/>
      <c r="AG169" s="581"/>
      <c r="AH169" s="463"/>
      <c r="AJ169" s="1262"/>
    </row>
    <row r="170" spans="1:37" s="9" customFormat="1">
      <c r="A170" s="460"/>
      <c r="B170" s="461"/>
      <c r="C170" s="177"/>
      <c r="D170" s="177"/>
      <c r="E170" s="177"/>
      <c r="F170" s="177"/>
      <c r="H170" s="1318"/>
      <c r="I170" s="324"/>
      <c r="J170" s="254"/>
      <c r="K170" s="323"/>
      <c r="L170" s="81"/>
      <c r="M170" s="1335"/>
      <c r="N170" s="462"/>
      <c r="O170" s="197"/>
      <c r="P170" s="462"/>
      <c r="Q170" s="462"/>
      <c r="R170" s="462">
        <f>R161-R156</f>
        <v>0</v>
      </c>
      <c r="S170" s="462"/>
      <c r="T170" s="462"/>
      <c r="U170" s="462"/>
      <c r="V170" s="462"/>
      <c r="W170" s="462"/>
      <c r="X170" s="462"/>
      <c r="Y170" s="462"/>
      <c r="Z170" s="462"/>
      <c r="AA170" s="462"/>
      <c r="AB170" s="462"/>
      <c r="AC170" s="179"/>
      <c r="AD170" s="179"/>
      <c r="AG170" s="581"/>
      <c r="AH170" s="463"/>
      <c r="AJ170" s="1262"/>
    </row>
    <row r="171" spans="1:37">
      <c r="A171" s="64"/>
      <c r="B171" s="65"/>
      <c r="C171" s="66"/>
      <c r="D171" s="66"/>
      <c r="E171" s="66"/>
      <c r="F171" s="66"/>
      <c r="G171" s="66"/>
      <c r="H171" s="1319"/>
      <c r="I171" s="67"/>
      <c r="J171" s="553"/>
      <c r="K171" s="404"/>
      <c r="L171" s="364"/>
      <c r="M171" s="404"/>
      <c r="U171" s="187">
        <f>U163-U156</f>
        <v>0</v>
      </c>
    </row>
    <row r="172" spans="1:37" s="186" customFormat="1">
      <c r="A172"/>
      <c r="B172" s="29"/>
      <c r="C172"/>
      <c r="D172"/>
      <c r="E172"/>
      <c r="F172" s="30"/>
      <c r="G172"/>
      <c r="H172" s="1298"/>
      <c r="I172" s="73"/>
      <c r="K172" s="122"/>
      <c r="L172" s="132"/>
      <c r="M172" s="122"/>
      <c r="O172" s="198"/>
      <c r="P172" s="187"/>
      <c r="Q172" s="187"/>
      <c r="R172" s="187"/>
      <c r="S172" s="187"/>
      <c r="T172" s="187"/>
      <c r="U172" s="187"/>
      <c r="V172" s="187"/>
      <c r="W172" s="187"/>
      <c r="X172" s="187"/>
      <c r="Y172" s="187"/>
      <c r="Z172" s="187"/>
      <c r="AA172" s="187"/>
      <c r="AB172" s="412"/>
      <c r="AC172" s="605"/>
      <c r="AD172" s="73"/>
      <c r="AE172"/>
      <c r="AF172"/>
      <c r="AG172" s="578"/>
      <c r="AH172" s="364"/>
      <c r="AI172"/>
      <c r="AJ172" s="1261"/>
      <c r="AK172"/>
    </row>
    <row r="173" spans="1:37" s="186" customFormat="1">
      <c r="A173"/>
      <c r="B173" s="29"/>
      <c r="C173" s="252"/>
      <c r="D173" s="252"/>
      <c r="E173" s="252"/>
      <c r="F173" s="252"/>
      <c r="G173" s="147"/>
      <c r="H173" s="1320"/>
      <c r="I173" s="73"/>
      <c r="K173" s="122"/>
      <c r="L173" s="132"/>
      <c r="M173" s="122"/>
      <c r="O173" s="198"/>
      <c r="P173" s="187"/>
      <c r="Q173" s="187"/>
      <c r="R173" s="187"/>
      <c r="S173" s="187"/>
      <c r="T173" s="187"/>
      <c r="U173" s="187"/>
      <c r="V173" s="187"/>
      <c r="W173" s="187"/>
      <c r="X173" s="187"/>
      <c r="Y173" s="187"/>
      <c r="Z173" s="187"/>
      <c r="AA173" s="187"/>
      <c r="AB173" s="412"/>
      <c r="AC173" s="605"/>
      <c r="AD173" s="73"/>
      <c r="AE173"/>
      <c r="AF173"/>
      <c r="AG173" s="578"/>
      <c r="AH173" s="364"/>
      <c r="AI173"/>
      <c r="AJ173" s="1261"/>
      <c r="AK173"/>
    </row>
    <row r="174" spans="1:37" s="186" customFormat="1">
      <c r="A174"/>
      <c r="B174" s="29"/>
      <c r="C174" s="252"/>
      <c r="D174" s="252"/>
      <c r="E174" s="252"/>
      <c r="F174" s="252"/>
      <c r="G174" s="147"/>
      <c r="H174" s="1320"/>
      <c r="I174" s="73"/>
      <c r="K174" s="122"/>
      <c r="L174" s="132"/>
      <c r="M174" s="122"/>
      <c r="O174" s="198"/>
      <c r="P174" s="187"/>
      <c r="Q174" s="187"/>
      <c r="R174" s="187"/>
      <c r="S174" s="187"/>
      <c r="T174" s="187"/>
      <c r="U174" s="187"/>
      <c r="V174" s="187"/>
      <c r="W174" s="187"/>
      <c r="X174" s="187"/>
      <c r="Y174" s="187"/>
      <c r="Z174" s="187"/>
      <c r="AA174" s="187"/>
      <c r="AB174" s="412"/>
      <c r="AC174" s="605"/>
      <c r="AD174" s="73"/>
      <c r="AE174"/>
      <c r="AF174"/>
      <c r="AG174" s="578"/>
      <c r="AH174" s="364"/>
      <c r="AI174"/>
      <c r="AJ174" s="1261"/>
      <c r="AK174"/>
    </row>
    <row r="175" spans="1:37" s="186" customFormat="1">
      <c r="A175"/>
      <c r="B175" s="29"/>
      <c r="C175" s="252"/>
      <c r="D175" s="252"/>
      <c r="E175" s="252"/>
      <c r="F175" s="252"/>
      <c r="G175" s="147"/>
      <c r="H175" s="1320"/>
      <c r="I175" s="73"/>
      <c r="K175" s="122"/>
      <c r="L175" s="132"/>
      <c r="M175" s="122"/>
      <c r="O175" s="198"/>
      <c r="P175" s="187"/>
      <c r="Q175" s="187"/>
      <c r="R175" s="187"/>
      <c r="S175" s="187"/>
      <c r="T175" s="187"/>
      <c r="U175" s="187"/>
      <c r="V175" s="187"/>
      <c r="W175" s="187"/>
      <c r="X175" s="187"/>
      <c r="Y175" s="187"/>
      <c r="Z175" s="187"/>
      <c r="AA175" s="187"/>
      <c r="AB175" s="412"/>
      <c r="AC175" s="605"/>
      <c r="AD175" s="73"/>
      <c r="AE175"/>
      <c r="AF175"/>
      <c r="AG175" s="578"/>
      <c r="AH175" s="364"/>
      <c r="AI175"/>
      <c r="AJ175" s="1261"/>
      <c r="AK175"/>
    </row>
    <row r="176" spans="1:37" s="186" customFormat="1">
      <c r="A176" s="31"/>
      <c r="B176" s="1068"/>
      <c r="C176" s="252"/>
      <c r="D176" s="252"/>
      <c r="E176" s="252"/>
      <c r="F176" s="252"/>
      <c r="G176" s="147"/>
      <c r="H176" s="1320"/>
      <c r="I176" s="73"/>
      <c r="K176" s="122"/>
      <c r="L176" s="132"/>
      <c r="M176" s="122"/>
      <c r="O176" s="198"/>
      <c r="P176" s="187"/>
      <c r="Q176" s="187"/>
      <c r="R176" s="187"/>
      <c r="S176" s="187"/>
      <c r="T176" s="187"/>
      <c r="U176" s="187"/>
      <c r="V176" s="187"/>
      <c r="W176" s="187"/>
      <c r="X176" s="187"/>
      <c r="Y176" s="187"/>
      <c r="Z176" s="187"/>
      <c r="AA176" s="187"/>
      <c r="AB176" s="412"/>
      <c r="AC176" s="605"/>
      <c r="AD176" s="73"/>
      <c r="AE176"/>
      <c r="AF176"/>
      <c r="AG176" s="578"/>
      <c r="AH176" s="364"/>
      <c r="AI176"/>
      <c r="AJ176" s="1261"/>
      <c r="AK176"/>
    </row>
    <row r="177" spans="1:37" s="186" customFormat="1">
      <c r="A177" s="31"/>
      <c r="B177" s="1068"/>
      <c r="C177" s="252"/>
      <c r="D177" s="252"/>
      <c r="E177" s="252"/>
      <c r="F177" s="252"/>
      <c r="G177"/>
      <c r="H177" s="1298"/>
      <c r="I177" s="73"/>
      <c r="K177" s="122"/>
      <c r="L177" s="132"/>
      <c r="M177" s="122"/>
      <c r="O177" s="198"/>
      <c r="P177" s="187"/>
      <c r="Q177" s="187"/>
      <c r="R177" s="187"/>
      <c r="S177" s="187"/>
      <c r="T177" s="187"/>
      <c r="U177" s="187"/>
      <c r="V177" s="187"/>
      <c r="W177" s="187"/>
      <c r="X177" s="187"/>
      <c r="Y177" s="187"/>
      <c r="Z177" s="187"/>
      <c r="AA177" s="187"/>
      <c r="AB177" s="412"/>
      <c r="AC177" s="605"/>
      <c r="AD177" s="73"/>
      <c r="AE177"/>
      <c r="AF177"/>
      <c r="AG177" s="578"/>
      <c r="AH177" s="364"/>
      <c r="AI177"/>
      <c r="AJ177" s="1261"/>
      <c r="AK177"/>
    </row>
    <row r="178" spans="1:37" s="186" customFormat="1">
      <c r="A178" s="31"/>
      <c r="B178" s="1068"/>
      <c r="C178" s="252"/>
      <c r="D178" s="252"/>
      <c r="E178" s="252"/>
      <c r="F178" s="252"/>
      <c r="G178"/>
      <c r="H178" s="1298"/>
      <c r="I178" s="73"/>
      <c r="K178" s="122"/>
      <c r="L178" s="132"/>
      <c r="M178" s="122"/>
      <c r="O178" s="198"/>
      <c r="P178" s="187"/>
      <c r="Q178" s="187"/>
      <c r="R178" s="187"/>
      <c r="S178" s="187"/>
      <c r="T178" s="187"/>
      <c r="U178" s="187"/>
      <c r="V178" s="187"/>
      <c r="W178" s="187"/>
      <c r="X178" s="187"/>
      <c r="Y178" s="187"/>
      <c r="Z178" s="187"/>
      <c r="AA178" s="187"/>
      <c r="AB178" s="412"/>
      <c r="AC178" s="605"/>
      <c r="AD178" s="73"/>
      <c r="AE178"/>
      <c r="AF178"/>
      <c r="AG178" s="578"/>
      <c r="AH178" s="364"/>
      <c r="AI178"/>
      <c r="AJ178" s="1261"/>
      <c r="AK178"/>
    </row>
    <row r="179" spans="1:37" s="186" customFormat="1">
      <c r="A179" s="35"/>
      <c r="B179" s="32"/>
      <c r="C179" s="32"/>
      <c r="D179" s="252"/>
      <c r="E179" s="252"/>
      <c r="F179" s="252"/>
      <c r="G179"/>
      <c r="H179" s="1298"/>
      <c r="I179" s="73"/>
      <c r="K179" s="122"/>
      <c r="L179" s="132"/>
      <c r="M179" s="122"/>
      <c r="O179" s="198"/>
      <c r="P179" s="187"/>
      <c r="Q179" s="187"/>
      <c r="R179" s="187"/>
      <c r="S179" s="187"/>
      <c r="T179" s="187"/>
      <c r="U179" s="187"/>
      <c r="V179" s="187"/>
      <c r="W179" s="187"/>
      <c r="X179" s="187"/>
      <c r="Y179" s="187"/>
      <c r="Z179" s="187"/>
      <c r="AA179" s="187"/>
      <c r="AB179" s="412"/>
      <c r="AC179" s="605"/>
      <c r="AD179" s="73"/>
      <c r="AE179"/>
      <c r="AF179"/>
      <c r="AG179" s="578"/>
      <c r="AH179" s="364"/>
      <c r="AI179"/>
      <c r="AJ179" s="1261"/>
      <c r="AK179"/>
    </row>
    <row r="180" spans="1:37" s="186" customFormat="1">
      <c r="A180"/>
      <c r="B180" s="29"/>
      <c r="C180" s="252"/>
      <c r="D180" s="252"/>
      <c r="E180" s="252"/>
      <c r="F180" s="252"/>
      <c r="G180"/>
      <c r="H180" s="1298"/>
      <c r="I180" s="73"/>
      <c r="K180" s="122"/>
      <c r="L180" s="132"/>
      <c r="M180" s="122"/>
      <c r="O180" s="198"/>
      <c r="P180" s="187"/>
      <c r="Q180" s="187"/>
      <c r="R180" s="187"/>
      <c r="S180" s="187"/>
      <c r="T180" s="187"/>
      <c r="U180" s="187"/>
      <c r="V180" s="187"/>
      <c r="W180" s="187"/>
      <c r="X180" s="187"/>
      <c r="Y180" s="187"/>
      <c r="Z180" s="187"/>
      <c r="AA180" s="187"/>
      <c r="AB180" s="412"/>
      <c r="AC180" s="605"/>
      <c r="AD180" s="73"/>
      <c r="AE180"/>
      <c r="AF180"/>
      <c r="AG180" s="578"/>
      <c r="AH180" s="364"/>
      <c r="AI180"/>
      <c r="AJ180" s="1261"/>
      <c r="AK180"/>
    </row>
    <row r="181" spans="1:37" s="186" customFormat="1">
      <c r="A181"/>
      <c r="B181" s="29"/>
      <c r="C181" s="252"/>
      <c r="D181" s="252"/>
      <c r="E181" s="252"/>
      <c r="F181" s="252"/>
      <c r="G181"/>
      <c r="H181" s="1298"/>
      <c r="I181" s="73"/>
      <c r="K181" s="122"/>
      <c r="L181" s="132"/>
      <c r="M181" s="122"/>
      <c r="O181" s="198"/>
      <c r="P181" s="187"/>
      <c r="Q181" s="187"/>
      <c r="R181" s="187"/>
      <c r="S181" s="187"/>
      <c r="T181" s="187"/>
      <c r="U181" s="187"/>
      <c r="V181" s="187"/>
      <c r="W181" s="187"/>
      <c r="X181" s="187"/>
      <c r="Y181" s="187"/>
      <c r="Z181" s="187"/>
      <c r="AA181" s="187"/>
      <c r="AB181" s="412"/>
      <c r="AC181" s="605"/>
      <c r="AD181" s="73"/>
      <c r="AE181"/>
      <c r="AF181"/>
      <c r="AG181" s="578"/>
      <c r="AH181" s="364"/>
      <c r="AI181"/>
      <c r="AJ181" s="1261"/>
      <c r="AK181"/>
    </row>
    <row r="182" spans="1:37" s="186" customFormat="1">
      <c r="A182"/>
      <c r="B182" s="29"/>
      <c r="C182" s="252"/>
      <c r="D182" s="252"/>
      <c r="E182" s="252"/>
      <c r="F182" s="252"/>
      <c r="G182"/>
      <c r="H182" s="1298"/>
      <c r="I182" s="73"/>
      <c r="K182" s="122"/>
      <c r="L182" s="132"/>
      <c r="M182" s="122"/>
      <c r="O182" s="198"/>
      <c r="P182" s="187"/>
      <c r="Q182" s="187"/>
      <c r="R182" s="187"/>
      <c r="S182" s="187"/>
      <c r="T182" s="187"/>
      <c r="U182" s="187"/>
      <c r="V182" s="187"/>
      <c r="W182" s="187"/>
      <c r="X182" s="187"/>
      <c r="Y182" s="187"/>
      <c r="Z182" s="187"/>
      <c r="AA182" s="187"/>
      <c r="AB182" s="412"/>
      <c r="AC182" s="605"/>
      <c r="AD182" s="73"/>
      <c r="AE182"/>
      <c r="AF182"/>
      <c r="AG182" s="578"/>
      <c r="AH182" s="364"/>
      <c r="AI182"/>
      <c r="AJ182" s="1261"/>
      <c r="AK182"/>
    </row>
    <row r="183" spans="1:37" s="186" customFormat="1">
      <c r="A183"/>
      <c r="B183" s="29"/>
      <c r="C183" s="252"/>
      <c r="D183" s="252"/>
      <c r="E183" s="252"/>
      <c r="F183" s="252"/>
      <c r="G183"/>
      <c r="H183" s="1298"/>
      <c r="I183" s="73"/>
      <c r="K183" s="122"/>
      <c r="L183" s="132"/>
      <c r="M183" s="122"/>
      <c r="O183" s="198"/>
      <c r="P183" s="187"/>
      <c r="Q183" s="187"/>
      <c r="R183" s="187"/>
      <c r="S183" s="187"/>
      <c r="T183" s="187"/>
      <c r="U183" s="187"/>
      <c r="V183" s="187"/>
      <c r="W183" s="187"/>
      <c r="X183" s="187"/>
      <c r="Y183" s="187"/>
      <c r="Z183" s="187"/>
      <c r="AA183" s="187"/>
      <c r="AB183" s="412"/>
      <c r="AC183" s="605"/>
      <c r="AD183" s="73"/>
      <c r="AE183"/>
      <c r="AF183"/>
      <c r="AG183" s="578"/>
      <c r="AH183" s="364"/>
      <c r="AI183"/>
      <c r="AJ183" s="1261"/>
      <c r="AK183"/>
    </row>
    <row r="184" spans="1:37" s="186" customFormat="1">
      <c r="A184"/>
      <c r="B184" s="29"/>
      <c r="C184" s="252"/>
      <c r="D184" s="252"/>
      <c r="E184" s="252"/>
      <c r="F184" s="252"/>
      <c r="G184"/>
      <c r="H184" s="1298"/>
      <c r="I184" s="73"/>
      <c r="K184" s="122"/>
      <c r="L184" s="132"/>
      <c r="M184" s="122"/>
      <c r="O184" s="198"/>
      <c r="P184" s="187"/>
      <c r="Q184" s="187"/>
      <c r="R184" s="187"/>
      <c r="S184" s="187"/>
      <c r="T184" s="187"/>
      <c r="U184" s="187"/>
      <c r="V184" s="187"/>
      <c r="W184" s="187"/>
      <c r="X184" s="187"/>
      <c r="Y184" s="187"/>
      <c r="Z184" s="187"/>
      <c r="AA184" s="187"/>
      <c r="AB184" s="412"/>
      <c r="AC184" s="605"/>
      <c r="AD184" s="73"/>
      <c r="AE184"/>
      <c r="AF184"/>
      <c r="AG184" s="578"/>
      <c r="AH184" s="364"/>
      <c r="AI184"/>
      <c r="AJ184" s="1261"/>
      <c r="AK184"/>
    </row>
    <row r="185" spans="1:37">
      <c r="C185" s="252"/>
      <c r="D185" s="252"/>
      <c r="E185" s="252"/>
      <c r="F185" s="252"/>
    </row>
    <row r="187" spans="1:37">
      <c r="A187" s="31"/>
      <c r="B187" s="32"/>
    </row>
    <row r="188" spans="1:37">
      <c r="A188" s="35"/>
      <c r="B188" s="36"/>
      <c r="F188" s="39"/>
    </row>
    <row r="189" spans="1:37">
      <c r="A189" s="35"/>
      <c r="B189" s="36"/>
      <c r="F189" s="39"/>
    </row>
    <row r="190" spans="1:37">
      <c r="A190" s="35"/>
      <c r="B190" s="36"/>
      <c r="F190" s="39"/>
    </row>
    <row r="191" spans="1:37">
      <c r="A191" s="35"/>
      <c r="B191" s="36"/>
      <c r="F191" s="39"/>
    </row>
    <row r="198" spans="1:2">
      <c r="A198" s="35"/>
      <c r="B198" s="36"/>
    </row>
    <row r="199" spans="1:2">
      <c r="A199" s="35"/>
      <c r="B199" s="36"/>
    </row>
    <row r="200" spans="1:2">
      <c r="A200" s="35"/>
      <c r="B200" s="36"/>
    </row>
    <row r="201" spans="1:2">
      <c r="A201" s="35"/>
      <c r="B201" s="36"/>
    </row>
    <row r="202" spans="1:2">
      <c r="A202" s="35"/>
      <c r="B202" s="36"/>
    </row>
    <row r="203" spans="1:2">
      <c r="A203" s="35"/>
      <c r="B203" s="36"/>
    </row>
    <row r="204" spans="1:2">
      <c r="A204" s="35"/>
      <c r="B204" s="36"/>
    </row>
    <row r="205" spans="1:2">
      <c r="A205" s="35"/>
      <c r="B205" s="36"/>
    </row>
    <row r="206" spans="1:2">
      <c r="A206" s="35"/>
      <c r="B206" s="36"/>
    </row>
    <row r="207" spans="1:2">
      <c r="A207" s="35"/>
      <c r="B207" s="36"/>
    </row>
    <row r="208" spans="1:2">
      <c r="A208" s="35"/>
      <c r="B208" s="36"/>
    </row>
    <row r="209" spans="1:2">
      <c r="A209" s="35"/>
      <c r="B209" s="36"/>
    </row>
    <row r="210" spans="1:2">
      <c r="A210" s="35"/>
      <c r="B210" s="36"/>
    </row>
    <row r="211" spans="1:2">
      <c r="A211" s="35"/>
      <c r="B211" s="36"/>
    </row>
    <row r="212" spans="1:2">
      <c r="A212" s="35"/>
      <c r="B212" s="36"/>
    </row>
    <row r="213" spans="1:2">
      <c r="A213" s="35"/>
      <c r="B213" s="36"/>
    </row>
    <row r="214" spans="1:2">
      <c r="A214" s="35"/>
      <c r="B214" s="36"/>
    </row>
    <row r="215" spans="1:2">
      <c r="A215" s="35"/>
      <c r="B215" s="36"/>
    </row>
    <row r="216" spans="1:2">
      <c r="A216" s="35"/>
      <c r="B216" s="36"/>
    </row>
  </sheetData>
  <autoFilter ref="A15:AK154"/>
  <mergeCells count="29">
    <mergeCell ref="A1:A2"/>
    <mergeCell ref="C1:M1"/>
    <mergeCell ref="Z1:AA1"/>
    <mergeCell ref="AB1:AC1"/>
    <mergeCell ref="C2:M2"/>
    <mergeCell ref="Z2:AA2"/>
    <mergeCell ref="AB2:AC2"/>
    <mergeCell ref="A3:G3"/>
    <mergeCell ref="N3:AC13"/>
    <mergeCell ref="A4:G4"/>
    <mergeCell ref="A5:G5"/>
    <mergeCell ref="A6:G6"/>
    <mergeCell ref="A7:G7"/>
    <mergeCell ref="A8:G8"/>
    <mergeCell ref="B9:D9"/>
    <mergeCell ref="B10:G10"/>
    <mergeCell ref="B11:G11"/>
    <mergeCell ref="C162:E162"/>
    <mergeCell ref="C163:D163"/>
    <mergeCell ref="E163:G163"/>
    <mergeCell ref="C164:D164"/>
    <mergeCell ref="E164:G164"/>
    <mergeCell ref="AH22:AH23"/>
    <mergeCell ref="AI22:AI23"/>
    <mergeCell ref="H22:H23"/>
    <mergeCell ref="K22:K23"/>
    <mergeCell ref="L22:L23"/>
    <mergeCell ref="AD22:AD23"/>
    <mergeCell ref="AE22:AE23"/>
  </mergeCells>
  <conditionalFormatting sqref="M169:M1048576 M163:M166 M78:M161 M3:M73">
    <cfRule type="duplicateValues" dxfId="122" priority="8"/>
  </conditionalFormatting>
  <conditionalFormatting sqref="AC151:AC155 AC98:AC149 AC1:AC96 AC157:AC1048576">
    <cfRule type="cellIs" dxfId="121" priority="7" operator="lessThan">
      <formula>0</formula>
    </cfRule>
  </conditionalFormatting>
  <conditionalFormatting sqref="M74:M77">
    <cfRule type="duplicateValues" dxfId="120" priority="6"/>
  </conditionalFormatting>
  <conditionalFormatting sqref="AC74">
    <cfRule type="cellIs" dxfId="119" priority="5" operator="lessThan">
      <formula>0</formula>
    </cfRule>
  </conditionalFormatting>
  <conditionalFormatting sqref="AC75:AC76">
    <cfRule type="cellIs" dxfId="118" priority="4" operator="lessThan">
      <formula>0</formula>
    </cfRule>
  </conditionalFormatting>
  <conditionalFormatting sqref="N162">
    <cfRule type="duplicateValues" dxfId="117" priority="3"/>
  </conditionalFormatting>
  <conditionalFormatting sqref="AC74">
    <cfRule type="cellIs" dxfId="116" priority="2" operator="lessThan">
      <formula>0</formula>
    </cfRule>
  </conditionalFormatting>
  <conditionalFormatting sqref="K1:K22 K24:K1048576">
    <cfRule type="duplicateValues" dxfId="115" priority="1"/>
  </conditionalFormatting>
  <printOptions horizontalCentered="1" verticalCentered="1"/>
  <pageMargins left="0.28999999999999998" right="0.34" top="0" bottom="0" header="0" footer="0"/>
  <pageSetup scale="45" fitToHeight="2" orientation="landscape" r:id="rId1"/>
  <headerFooter alignWithMargins="0"/>
  <ignoredErrors>
    <ignoredError sqref="AB44:AB5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K168"/>
  <sheetViews>
    <sheetView zoomScale="80" zoomScaleNormal="80" zoomScaleSheetLayoutView="85" workbookViewId="0">
      <selection sqref="A1:A2"/>
    </sheetView>
  </sheetViews>
  <sheetFormatPr baseColWidth="10" defaultRowHeight="12.75"/>
  <cols>
    <col min="1" max="1" width="29.140625" customWidth="1"/>
    <col min="2" max="2" width="17.85546875" style="132" customWidth="1"/>
    <col min="3" max="3" width="35.140625" customWidth="1"/>
    <col min="4" max="4" width="27.5703125" customWidth="1"/>
    <col min="5" max="5" width="40.7109375" customWidth="1"/>
    <col min="6" max="6" width="40.42578125" customWidth="1"/>
    <col min="7" max="7" width="30.140625" customWidth="1"/>
    <col min="8" max="8" width="13.140625" style="1298" customWidth="1"/>
    <col min="9" max="9" width="13.42578125" style="198" customWidth="1"/>
    <col min="10" max="10" width="13.42578125" style="186" customWidth="1"/>
    <col min="11" max="11" width="7.7109375" style="609" customWidth="1"/>
    <col min="12" max="12" width="18.85546875" style="132" bestFit="1" customWidth="1"/>
    <col min="13" max="13" width="15.42578125" style="578" customWidth="1"/>
    <col min="14" max="14" width="17.140625" style="134" customWidth="1"/>
    <col min="15" max="15" width="10.85546875" style="198" customWidth="1"/>
    <col min="16" max="16" width="11.42578125" style="134" customWidth="1"/>
    <col min="17" max="17" width="15" style="134" customWidth="1"/>
    <col min="18" max="21" width="14.28515625" style="134" customWidth="1"/>
    <col min="22" max="22" width="13.85546875" style="134" customWidth="1"/>
    <col min="23" max="23" width="14.28515625" style="134" customWidth="1"/>
    <col min="24" max="24" width="18.5703125" style="134" customWidth="1"/>
    <col min="25" max="27" width="11.42578125" style="134" customWidth="1"/>
    <col min="28" max="28" width="18" style="134" customWidth="1"/>
    <col min="29" max="29" width="16.28515625" style="134" customWidth="1"/>
    <col min="30" max="30" width="2" customWidth="1"/>
    <col min="31" max="31" width="8.140625" style="73" customWidth="1"/>
    <col min="33" max="33" width="13.5703125" bestFit="1" customWidth="1"/>
    <col min="34" max="34" width="11.42578125" style="122"/>
    <col min="35" max="35" width="17.28515625" style="132" bestFit="1" customWidth="1"/>
    <col min="36" max="36" width="15.85546875" style="132" bestFit="1" customWidth="1"/>
    <col min="37" max="37" width="13.85546875" style="1138" bestFit="1" customWidth="1"/>
  </cols>
  <sheetData>
    <row r="1" spans="1:36" ht="42" customHeight="1">
      <c r="A1" s="1720"/>
      <c r="B1" s="619" t="s">
        <v>0</v>
      </c>
      <c r="C1" s="1728" t="s">
        <v>1</v>
      </c>
      <c r="D1" s="1729"/>
      <c r="E1" s="1729"/>
      <c r="F1" s="1729"/>
      <c r="G1" s="1729"/>
      <c r="H1" s="1729"/>
      <c r="I1" s="1729"/>
      <c r="J1" s="1729"/>
      <c r="K1" s="1729"/>
      <c r="L1" s="1729"/>
      <c r="M1" s="1729"/>
      <c r="N1" s="1395"/>
      <c r="O1" s="700"/>
      <c r="P1" s="933"/>
      <c r="Q1" s="933"/>
      <c r="R1" s="933"/>
      <c r="S1" s="933"/>
      <c r="T1" s="933"/>
      <c r="U1" s="933"/>
      <c r="V1" s="700"/>
      <c r="W1" s="700"/>
      <c r="X1" s="700"/>
      <c r="Y1" s="701"/>
      <c r="Z1" s="1722" t="s">
        <v>2</v>
      </c>
      <c r="AA1" s="1722"/>
      <c r="AB1" s="1723" t="s">
        <v>3</v>
      </c>
      <c r="AC1" s="1724"/>
    </row>
    <row r="2" spans="1:36" ht="42" customHeight="1">
      <c r="A2" s="1721"/>
      <c r="B2" s="137" t="s">
        <v>4</v>
      </c>
      <c r="C2" s="1730" t="s">
        <v>5</v>
      </c>
      <c r="D2" s="1731"/>
      <c r="E2" s="1731"/>
      <c r="F2" s="1731"/>
      <c r="G2" s="1731"/>
      <c r="H2" s="1731"/>
      <c r="I2" s="1731"/>
      <c r="J2" s="1731"/>
      <c r="K2" s="1731"/>
      <c r="L2" s="1731"/>
      <c r="M2" s="1731"/>
      <c r="N2" s="1463"/>
      <c r="O2" s="698"/>
      <c r="P2" s="1277"/>
      <c r="Q2" s="1277"/>
      <c r="R2" s="1277"/>
      <c r="S2" s="1277"/>
      <c r="T2" s="1277"/>
      <c r="U2" s="1277"/>
      <c r="V2" s="698"/>
      <c r="W2" s="698"/>
      <c r="X2" s="698"/>
      <c r="Y2" s="699"/>
      <c r="Z2" s="1725" t="s">
        <v>6</v>
      </c>
      <c r="AA2" s="1725"/>
      <c r="AB2" s="1726">
        <v>1</v>
      </c>
      <c r="AC2" s="1727"/>
    </row>
    <row r="3" spans="1:36">
      <c r="A3" s="1772" t="s">
        <v>7</v>
      </c>
      <c r="B3" s="1762"/>
      <c r="C3" s="1762"/>
      <c r="D3" s="1762"/>
      <c r="E3" s="1762"/>
      <c r="F3" s="1762"/>
      <c r="G3" s="1762"/>
      <c r="H3" s="229"/>
      <c r="I3" s="229"/>
      <c r="J3" s="1107"/>
      <c r="K3" s="1362"/>
      <c r="L3" s="319"/>
      <c r="M3" s="1359"/>
      <c r="N3" s="223"/>
      <c r="O3" s="241"/>
      <c r="P3" s="223"/>
      <c r="Q3" s="223"/>
      <c r="R3" s="223"/>
      <c r="S3" s="223"/>
      <c r="T3" s="223"/>
      <c r="U3" s="223"/>
      <c r="V3" s="223"/>
      <c r="W3" s="223"/>
      <c r="X3" s="223"/>
      <c r="Y3" s="223"/>
      <c r="Z3" s="223"/>
      <c r="AA3" s="223"/>
      <c r="AB3" s="224"/>
      <c r="AC3" s="672"/>
    </row>
    <row r="4" spans="1:36">
      <c r="A4" s="1761" t="s">
        <v>452</v>
      </c>
      <c r="B4" s="1762"/>
      <c r="C4" s="1762"/>
      <c r="D4" s="1762"/>
      <c r="E4" s="1762"/>
      <c r="F4" s="1762"/>
      <c r="G4" s="1762"/>
      <c r="H4" s="229"/>
      <c r="I4" s="229"/>
      <c r="J4" s="1107"/>
      <c r="K4" s="1362"/>
      <c r="L4" s="319"/>
      <c r="M4" s="1359"/>
      <c r="N4" s="223"/>
      <c r="O4" s="241"/>
      <c r="P4" s="223"/>
      <c r="Q4" s="223"/>
      <c r="R4" s="223"/>
      <c r="S4" s="223"/>
      <c r="T4" s="223"/>
      <c r="U4" s="223"/>
      <c r="V4" s="223"/>
      <c r="W4" s="223"/>
      <c r="X4" s="223"/>
      <c r="Y4" s="223"/>
      <c r="Z4" s="223"/>
      <c r="AA4" s="223"/>
      <c r="AB4" s="223"/>
      <c r="AC4" s="673"/>
    </row>
    <row r="5" spans="1:36">
      <c r="A5" s="1772" t="s">
        <v>50</v>
      </c>
      <c r="B5" s="1762"/>
      <c r="C5" s="1762"/>
      <c r="D5" s="1762"/>
      <c r="E5" s="1762"/>
      <c r="F5" s="1762"/>
      <c r="G5" s="1762"/>
      <c r="H5" s="229"/>
      <c r="I5" s="229"/>
      <c r="J5" s="1107"/>
      <c r="K5" s="1362"/>
      <c r="L5" s="319"/>
      <c r="M5" s="1359"/>
      <c r="N5" s="223"/>
      <c r="O5" s="241"/>
      <c r="P5" s="223"/>
      <c r="Q5" s="223"/>
      <c r="R5" s="223"/>
      <c r="S5" s="223"/>
      <c r="T5" s="223"/>
      <c r="U5" s="223"/>
      <c r="V5" s="223"/>
      <c r="W5" s="223"/>
      <c r="X5" s="223"/>
      <c r="Y5" s="223"/>
      <c r="Z5" s="223"/>
      <c r="AA5" s="223"/>
      <c r="AB5" s="223"/>
      <c r="AC5" s="673"/>
    </row>
    <row r="6" spans="1:36">
      <c r="A6" s="1772" t="s">
        <v>51</v>
      </c>
      <c r="B6" s="1762"/>
      <c r="C6" s="1762"/>
      <c r="D6" s="1762"/>
      <c r="E6" s="1762"/>
      <c r="F6" s="1762"/>
      <c r="G6" s="1762"/>
      <c r="H6" s="229"/>
      <c r="I6" s="229"/>
      <c r="J6" s="1107"/>
      <c r="K6" s="1362"/>
      <c r="L6" s="319"/>
      <c r="M6" s="1359"/>
      <c r="N6" s="223"/>
      <c r="O6" s="241"/>
      <c r="P6" s="223"/>
      <c r="Q6" s="223"/>
      <c r="R6" s="223"/>
      <c r="S6" s="223"/>
      <c r="T6" s="223"/>
      <c r="U6" s="223"/>
      <c r="V6" s="223"/>
      <c r="W6" s="223"/>
      <c r="X6" s="223"/>
      <c r="Y6" s="223"/>
      <c r="Z6" s="223"/>
      <c r="AA6" s="223"/>
      <c r="AB6" s="223"/>
      <c r="AC6" s="673"/>
    </row>
    <row r="7" spans="1:36">
      <c r="A7" s="1772" t="s">
        <v>52</v>
      </c>
      <c r="B7" s="1762"/>
      <c r="C7" s="1762"/>
      <c r="D7" s="1762"/>
      <c r="E7" s="1762"/>
      <c r="F7" s="1762"/>
      <c r="G7" s="1762"/>
      <c r="H7" s="229"/>
      <c r="I7" s="229"/>
      <c r="J7" s="1107"/>
      <c r="K7" s="1362"/>
      <c r="L7" s="319"/>
      <c r="M7" s="1359"/>
      <c r="N7" s="223"/>
      <c r="O7" s="241"/>
      <c r="P7" s="223"/>
      <c r="Q7" s="223"/>
      <c r="R7" s="223"/>
      <c r="S7" s="223"/>
      <c r="T7" s="223"/>
      <c r="U7" s="223"/>
      <c r="V7" s="223"/>
      <c r="W7" s="223"/>
      <c r="X7" s="223"/>
      <c r="Y7" s="223"/>
      <c r="Z7" s="223"/>
      <c r="AA7" s="223"/>
      <c r="AB7" s="223"/>
      <c r="AC7" s="673"/>
    </row>
    <row r="8" spans="1:36">
      <c r="A8" s="1763" t="s">
        <v>53</v>
      </c>
      <c r="B8" s="1764"/>
      <c r="C8" s="1764"/>
      <c r="D8" s="1764"/>
      <c r="E8" s="1764"/>
      <c r="F8" s="1764"/>
      <c r="G8" s="1764"/>
      <c r="H8" s="229"/>
      <c r="I8" s="229"/>
      <c r="J8" s="1107"/>
      <c r="K8" s="1362"/>
      <c r="L8" s="319"/>
      <c r="M8" s="1359"/>
      <c r="N8" s="223"/>
      <c r="O8" s="241"/>
      <c r="P8" s="223"/>
      <c r="Q8" s="223"/>
      <c r="R8" s="223"/>
      <c r="S8" s="223"/>
      <c r="T8" s="223"/>
      <c r="U8" s="223"/>
      <c r="V8" s="223"/>
      <c r="W8" s="223"/>
      <c r="X8" s="223"/>
      <c r="Y8" s="223"/>
      <c r="Z8" s="223"/>
      <c r="AA8" s="223"/>
      <c r="AB8" s="223"/>
      <c r="AC8" s="673"/>
    </row>
    <row r="9" spans="1:36">
      <c r="A9" s="337" t="s">
        <v>9</v>
      </c>
      <c r="B9" s="1762" t="s">
        <v>54</v>
      </c>
      <c r="C9" s="1762"/>
      <c r="D9" s="1762"/>
      <c r="E9" s="338"/>
      <c r="F9" s="338"/>
      <c r="G9" s="340"/>
      <c r="H9" s="229"/>
      <c r="I9" s="229"/>
      <c r="J9" s="1107"/>
      <c r="K9" s="1362"/>
      <c r="L9" s="319"/>
      <c r="M9" s="1359"/>
      <c r="N9" s="223"/>
      <c r="O9" s="241"/>
      <c r="P9" s="223"/>
      <c r="Q9" s="223"/>
      <c r="R9" s="223"/>
      <c r="S9" s="223"/>
      <c r="T9" s="223"/>
      <c r="U9" s="223"/>
      <c r="V9" s="223"/>
      <c r="W9" s="223"/>
      <c r="X9" s="223"/>
      <c r="Y9" s="223"/>
      <c r="Z9" s="223"/>
      <c r="AA9" s="223"/>
      <c r="AB9" s="223"/>
      <c r="AC9" s="673"/>
    </row>
    <row r="10" spans="1:36">
      <c r="A10" s="337" t="s">
        <v>11</v>
      </c>
      <c r="B10" s="1762" t="s">
        <v>55</v>
      </c>
      <c r="C10" s="1762"/>
      <c r="D10" s="1762"/>
      <c r="E10" s="1762"/>
      <c r="F10" s="1762"/>
      <c r="G10" s="1762"/>
      <c r="H10" s="229"/>
      <c r="I10" s="229"/>
      <c r="J10" s="1107"/>
      <c r="K10" s="1362"/>
      <c r="L10" s="319"/>
      <c r="M10" s="1359"/>
      <c r="N10" s="223"/>
      <c r="O10" s="241"/>
      <c r="P10" s="223"/>
      <c r="Q10" s="223"/>
      <c r="R10" s="223"/>
      <c r="S10" s="223"/>
      <c r="T10" s="223"/>
      <c r="U10" s="223"/>
      <c r="V10" s="223"/>
      <c r="W10" s="223"/>
      <c r="X10" s="223"/>
      <c r="Y10" s="223"/>
      <c r="Z10" s="223"/>
      <c r="AA10" s="223"/>
      <c r="AB10" s="223"/>
      <c r="AC10" s="673"/>
    </row>
    <row r="11" spans="1:36">
      <c r="A11" s="339" t="s">
        <v>13</v>
      </c>
      <c r="B11" s="1762" t="s">
        <v>56</v>
      </c>
      <c r="C11" s="1762"/>
      <c r="D11" s="1762"/>
      <c r="E11" s="1762"/>
      <c r="F11" s="1762"/>
      <c r="G11" s="1762"/>
      <c r="H11" s="229"/>
      <c r="I11" s="229"/>
      <c r="J11" s="1107"/>
      <c r="K11" s="1362"/>
      <c r="L11" s="319"/>
      <c r="M11" s="1359"/>
      <c r="N11" s="223"/>
      <c r="O11" s="241"/>
      <c r="P11" s="223"/>
      <c r="Q11" s="223"/>
      <c r="R11" s="223"/>
      <c r="S11" s="223"/>
      <c r="T11" s="223"/>
      <c r="U11" s="223"/>
      <c r="V11" s="223"/>
      <c r="W11" s="223"/>
      <c r="X11" s="223"/>
      <c r="Y11" s="223"/>
      <c r="Z11" s="223"/>
      <c r="AA11" s="223"/>
      <c r="AB11" s="223"/>
      <c r="AC11" s="673"/>
    </row>
    <row r="12" spans="1:36">
      <c r="A12" s="44" t="s">
        <v>15</v>
      </c>
      <c r="B12" s="618">
        <v>43555</v>
      </c>
      <c r="C12" s="45"/>
      <c r="D12" s="45"/>
      <c r="E12" s="45"/>
      <c r="F12" s="45"/>
      <c r="G12" s="74"/>
      <c r="H12" s="229"/>
      <c r="I12" s="229"/>
      <c r="J12" s="1107"/>
      <c r="K12" s="1362"/>
      <c r="L12" s="319"/>
      <c r="M12" s="1359"/>
      <c r="N12" s="223"/>
      <c r="O12" s="241"/>
      <c r="P12" s="223"/>
      <c r="Q12" s="223"/>
      <c r="R12" s="223"/>
      <c r="S12" s="223"/>
      <c r="T12" s="223"/>
      <c r="U12" s="223"/>
      <c r="V12" s="223"/>
      <c r="W12" s="223"/>
      <c r="X12" s="223"/>
      <c r="Y12" s="223"/>
      <c r="Z12" s="223"/>
      <c r="AA12" s="223"/>
      <c r="AB12" s="223"/>
      <c r="AC12" s="673"/>
    </row>
    <row r="13" spans="1:36">
      <c r="A13" s="46" t="s">
        <v>16</v>
      </c>
      <c r="B13" s="358"/>
      <c r="C13" s="359"/>
      <c r="D13" s="359"/>
      <c r="E13" s="359"/>
      <c r="F13" s="359"/>
      <c r="G13" s="359"/>
      <c r="H13" s="230"/>
      <c r="I13" s="230"/>
      <c r="J13" s="1109"/>
      <c r="K13" s="1363"/>
      <c r="L13" s="320"/>
      <c r="M13" s="1360"/>
      <c r="N13" s="225"/>
      <c r="O13" s="242"/>
      <c r="P13" s="225"/>
      <c r="Q13" s="225"/>
      <c r="R13" s="225"/>
      <c r="S13" s="225"/>
      <c r="T13" s="225"/>
      <c r="U13" s="225"/>
      <c r="V13" s="225"/>
      <c r="W13" s="225"/>
      <c r="X13" s="225"/>
      <c r="Y13" s="225"/>
      <c r="Z13" s="225"/>
      <c r="AA13" s="225"/>
      <c r="AB13" s="225"/>
      <c r="AC13" s="674"/>
    </row>
    <row r="14" spans="1:36" ht="13.5" thickBot="1">
      <c r="A14" s="49" t="s">
        <v>57</v>
      </c>
      <c r="B14" s="307">
        <f>B16+B33+B54+B63+B82+B148</f>
        <v>5578162000</v>
      </c>
      <c r="C14" s="360"/>
      <c r="D14" s="361"/>
      <c r="E14" s="361"/>
      <c r="F14" s="361"/>
      <c r="G14" s="361"/>
      <c r="H14" s="231"/>
      <c r="I14" s="231"/>
      <c r="J14" s="529"/>
      <c r="K14" s="1354"/>
      <c r="L14" s="529"/>
      <c r="M14" s="1454"/>
      <c r="N14" s="226"/>
      <c r="O14" s="243"/>
      <c r="P14" s="226"/>
      <c r="Q14" s="226"/>
      <c r="R14" s="226"/>
      <c r="S14" s="226"/>
      <c r="T14" s="226"/>
      <c r="U14" s="226"/>
      <c r="V14" s="226"/>
      <c r="W14" s="226"/>
      <c r="X14" s="226"/>
      <c r="Y14" s="226"/>
      <c r="Z14" s="226"/>
      <c r="AA14" s="226"/>
      <c r="AB14" s="227"/>
      <c r="AC14" s="675"/>
    </row>
    <row r="15" spans="1:36" ht="25.5">
      <c r="A15" s="51" t="s">
        <v>18</v>
      </c>
      <c r="B15" s="308" t="s">
        <v>19</v>
      </c>
      <c r="C15" s="52" t="s">
        <v>20</v>
      </c>
      <c r="D15" s="52" t="s">
        <v>21</v>
      </c>
      <c r="E15" s="52" t="s">
        <v>22</v>
      </c>
      <c r="F15" s="52" t="s">
        <v>451</v>
      </c>
      <c r="G15" s="52" t="s">
        <v>23</v>
      </c>
      <c r="H15" s="232" t="s">
        <v>549</v>
      </c>
      <c r="I15" s="232" t="s">
        <v>95</v>
      </c>
      <c r="J15" s="312" t="s">
        <v>127</v>
      </c>
      <c r="K15" s="124" t="s">
        <v>96</v>
      </c>
      <c r="L15" s="6" t="s">
        <v>24</v>
      </c>
      <c r="M15" s="115" t="s">
        <v>97</v>
      </c>
      <c r="N15" s="6" t="s">
        <v>116</v>
      </c>
      <c r="O15" s="262" t="s">
        <v>98</v>
      </c>
      <c r="P15" s="256" t="s">
        <v>99</v>
      </c>
      <c r="Q15" s="6" t="s">
        <v>100</v>
      </c>
      <c r="R15" s="6" t="s">
        <v>101</v>
      </c>
      <c r="S15" s="6" t="s">
        <v>102</v>
      </c>
      <c r="T15" s="6" t="s">
        <v>103</v>
      </c>
      <c r="U15" s="6" t="s">
        <v>104</v>
      </c>
      <c r="V15" s="6" t="s">
        <v>105</v>
      </c>
      <c r="W15" s="6" t="s">
        <v>106</v>
      </c>
      <c r="X15" s="6" t="s">
        <v>107</v>
      </c>
      <c r="Y15" s="6" t="s">
        <v>108</v>
      </c>
      <c r="Z15" s="6" t="s">
        <v>109</v>
      </c>
      <c r="AA15" s="6" t="s">
        <v>110</v>
      </c>
      <c r="AB15" s="6" t="s">
        <v>111</v>
      </c>
      <c r="AC15" s="282" t="s">
        <v>112</v>
      </c>
      <c r="AE15" s="1193" t="s">
        <v>137</v>
      </c>
      <c r="AF15" s="1195" t="s">
        <v>114</v>
      </c>
      <c r="AG15" s="1195" t="s">
        <v>115</v>
      </c>
      <c r="AH15" s="1447" t="s">
        <v>119</v>
      </c>
      <c r="AI15" s="1196" t="s">
        <v>122</v>
      </c>
      <c r="AJ15" s="1197" t="s">
        <v>126</v>
      </c>
    </row>
    <row r="16" spans="1:36" ht="38.25">
      <c r="A16" s="676" t="s">
        <v>58</v>
      </c>
      <c r="B16" s="670">
        <f>B17+B27+B30</f>
        <v>1438440000</v>
      </c>
      <c r="C16" s="998"/>
      <c r="D16" s="998"/>
      <c r="E16" s="671"/>
      <c r="F16" s="671"/>
      <c r="G16" s="1020"/>
      <c r="H16" s="1338"/>
      <c r="I16" s="413"/>
      <c r="J16" s="530"/>
      <c r="K16" s="1355"/>
      <c r="L16" s="1356"/>
      <c r="M16" s="517"/>
      <c r="N16" s="414"/>
      <c r="O16" s="415"/>
      <c r="P16" s="416"/>
      <c r="Q16" s="417"/>
      <c r="R16" s="417"/>
      <c r="S16" s="417"/>
      <c r="T16" s="417"/>
      <c r="U16" s="417"/>
      <c r="V16" s="417"/>
      <c r="W16" s="417"/>
      <c r="X16" s="417"/>
      <c r="Y16" s="417"/>
      <c r="Z16" s="417"/>
      <c r="AA16" s="417"/>
      <c r="AB16" s="455"/>
      <c r="AC16" s="445"/>
      <c r="AE16" s="1211"/>
      <c r="AF16" s="1191"/>
      <c r="AG16" s="1191"/>
      <c r="AH16" s="1457"/>
      <c r="AI16" s="1192"/>
      <c r="AJ16" s="1212"/>
    </row>
    <row r="17" spans="1:37" s="9" customFormat="1" ht="38.25">
      <c r="A17" s="1015" t="s">
        <v>58</v>
      </c>
      <c r="B17" s="561">
        <f>1389775000-21560000</f>
        <v>1368215000</v>
      </c>
      <c r="C17" s="1029" t="s">
        <v>44</v>
      </c>
      <c r="D17" s="998" t="s">
        <v>902</v>
      </c>
      <c r="E17" s="998" t="s">
        <v>901</v>
      </c>
      <c r="F17" s="998" t="s">
        <v>60</v>
      </c>
      <c r="G17" s="1022" t="s">
        <v>61</v>
      </c>
      <c r="H17" s="1339"/>
      <c r="I17" s="477">
        <v>0</v>
      </c>
      <c r="J17" s="475"/>
      <c r="K17" s="1364"/>
      <c r="L17" s="473"/>
      <c r="M17" s="1450"/>
      <c r="N17" s="475"/>
      <c r="O17" s="419"/>
      <c r="P17" s="420"/>
      <c r="Q17" s="421"/>
      <c r="R17" s="421"/>
      <c r="S17" s="421"/>
      <c r="T17" s="421"/>
      <c r="U17" s="421"/>
      <c r="V17" s="421"/>
      <c r="W17" s="421"/>
      <c r="X17" s="421"/>
      <c r="Y17" s="421"/>
      <c r="Z17" s="421"/>
      <c r="AA17" s="421"/>
      <c r="AB17" s="422">
        <v>0</v>
      </c>
      <c r="AC17" s="446"/>
      <c r="AE17" s="1204"/>
      <c r="AF17" s="291"/>
      <c r="AG17" s="291"/>
      <c r="AH17" s="1113"/>
      <c r="AI17" s="356"/>
      <c r="AJ17" s="1207"/>
      <c r="AK17" s="1137"/>
    </row>
    <row r="18" spans="1:37" s="9" customFormat="1">
      <c r="A18" s="1115" t="s">
        <v>58</v>
      </c>
      <c r="B18" s="1111">
        <f>L18</f>
        <v>120348654</v>
      </c>
      <c r="C18" s="574" t="s">
        <v>44</v>
      </c>
      <c r="D18" s="574" t="s">
        <v>902</v>
      </c>
      <c r="E18" s="574" t="s">
        <v>901</v>
      </c>
      <c r="F18" s="574" t="s">
        <v>60</v>
      </c>
      <c r="G18" s="1116" t="s">
        <v>61</v>
      </c>
      <c r="H18" s="1204">
        <v>125</v>
      </c>
      <c r="I18" s="1112">
        <v>0</v>
      </c>
      <c r="J18" s="398"/>
      <c r="K18" s="1365">
        <v>292</v>
      </c>
      <c r="L18" s="1357">
        <v>120348654</v>
      </c>
      <c r="M18" s="571">
        <v>353</v>
      </c>
      <c r="N18" s="185">
        <v>98400861</v>
      </c>
      <c r="O18" s="263">
        <v>286</v>
      </c>
      <c r="P18" s="267"/>
      <c r="Q18" s="175"/>
      <c r="R18" s="175"/>
      <c r="S18" s="175"/>
      <c r="T18" s="175"/>
      <c r="U18" s="175"/>
      <c r="V18" s="175"/>
      <c r="W18" s="175"/>
      <c r="X18" s="175"/>
      <c r="Y18" s="175"/>
      <c r="Z18" s="175"/>
      <c r="AA18" s="175"/>
      <c r="AB18" s="207">
        <f>SUM(P18:AA18)</f>
        <v>0</v>
      </c>
      <c r="AC18" s="447">
        <f>N18-AB18</f>
        <v>98400861</v>
      </c>
      <c r="AE18" s="1204">
        <v>125</v>
      </c>
      <c r="AF18" s="291" t="s">
        <v>356</v>
      </c>
      <c r="AG18" s="313" t="s">
        <v>860</v>
      </c>
      <c r="AH18" s="1113">
        <f>O18</f>
        <v>286</v>
      </c>
      <c r="AI18" s="356">
        <f>170000000-9685189</f>
        <v>160314811</v>
      </c>
      <c r="AJ18" s="1207">
        <f t="shared" ref="AJ18:AJ25" si="0">AI18-N18</f>
        <v>61913950</v>
      </c>
      <c r="AK18" s="1137"/>
    </row>
    <row r="19" spans="1:37" s="9" customFormat="1">
      <c r="A19" s="1115" t="s">
        <v>58</v>
      </c>
      <c r="B19" s="1111">
        <f t="shared" ref="B19:B25" si="1">L19</f>
        <v>0</v>
      </c>
      <c r="C19" s="574" t="s">
        <v>44</v>
      </c>
      <c r="D19" s="574" t="s">
        <v>902</v>
      </c>
      <c r="E19" s="574" t="s">
        <v>901</v>
      </c>
      <c r="F19" s="574" t="s">
        <v>60</v>
      </c>
      <c r="G19" s="1116" t="s">
        <v>61</v>
      </c>
      <c r="H19" s="1204">
        <v>195</v>
      </c>
      <c r="I19" s="1112">
        <v>0</v>
      </c>
      <c r="J19" s="398"/>
      <c r="K19" s="1365"/>
      <c r="L19" s="1357"/>
      <c r="M19" s="571"/>
      <c r="N19" s="185"/>
      <c r="O19" s="263"/>
      <c r="P19" s="267"/>
      <c r="Q19" s="175"/>
      <c r="R19" s="175"/>
      <c r="S19" s="175"/>
      <c r="T19" s="175"/>
      <c r="U19" s="175"/>
      <c r="V19" s="175"/>
      <c r="W19" s="175"/>
      <c r="X19" s="175"/>
      <c r="Y19" s="175"/>
      <c r="Z19" s="175"/>
      <c r="AA19" s="175"/>
      <c r="AB19" s="207">
        <f t="shared" ref="AB19:AB25" si="2">SUM(P19:AA19)</f>
        <v>0</v>
      </c>
      <c r="AC19" s="447">
        <f t="shared" ref="AC19:AC25" si="3">N19-AB19</f>
        <v>0</v>
      </c>
      <c r="AE19" s="1204">
        <v>195</v>
      </c>
      <c r="AF19" s="291" t="s">
        <v>368</v>
      </c>
      <c r="AG19" s="313" t="s">
        <v>188</v>
      </c>
      <c r="AH19" s="1113">
        <f t="shared" ref="AH19:AH25" si="4">O19</f>
        <v>0</v>
      </c>
      <c r="AI19" s="356">
        <v>199775000</v>
      </c>
      <c r="AJ19" s="1207">
        <f t="shared" si="0"/>
        <v>199775000</v>
      </c>
      <c r="AK19" s="1137"/>
    </row>
    <row r="20" spans="1:37" s="9" customFormat="1">
      <c r="A20" s="1115" t="s">
        <v>58</v>
      </c>
      <c r="B20" s="1111">
        <f t="shared" si="1"/>
        <v>436109132</v>
      </c>
      <c r="C20" s="574" t="s">
        <v>44</v>
      </c>
      <c r="D20" s="574" t="s">
        <v>902</v>
      </c>
      <c r="E20" s="574" t="s">
        <v>901</v>
      </c>
      <c r="F20" s="574" t="s">
        <v>60</v>
      </c>
      <c r="G20" s="1116" t="s">
        <v>61</v>
      </c>
      <c r="H20" s="1204">
        <v>197</v>
      </c>
      <c r="I20" s="1112">
        <v>0</v>
      </c>
      <c r="J20" s="398"/>
      <c r="K20" s="1365">
        <v>330</v>
      </c>
      <c r="L20" s="1357">
        <v>436109132</v>
      </c>
      <c r="M20" s="571"/>
      <c r="N20" s="185"/>
      <c r="O20" s="263"/>
      <c r="P20" s="267"/>
      <c r="Q20" s="175"/>
      <c r="R20" s="175"/>
      <c r="S20" s="175"/>
      <c r="T20" s="175"/>
      <c r="U20" s="175"/>
      <c r="V20" s="175"/>
      <c r="W20" s="175"/>
      <c r="X20" s="175"/>
      <c r="Y20" s="175"/>
      <c r="Z20" s="175"/>
      <c r="AA20" s="175"/>
      <c r="AB20" s="207">
        <f t="shared" si="2"/>
        <v>0</v>
      </c>
      <c r="AC20" s="447">
        <f t="shared" si="3"/>
        <v>0</v>
      </c>
      <c r="AE20" s="1204">
        <v>197</v>
      </c>
      <c r="AF20" s="291" t="s">
        <v>361</v>
      </c>
      <c r="AG20" s="313" t="s">
        <v>188</v>
      </c>
      <c r="AH20" s="1113">
        <f t="shared" si="4"/>
        <v>0</v>
      </c>
      <c r="AI20" s="356">
        <v>493789594</v>
      </c>
      <c r="AJ20" s="1207">
        <f t="shared" si="0"/>
        <v>493789594</v>
      </c>
      <c r="AK20" s="1137"/>
    </row>
    <row r="21" spans="1:37" s="9" customFormat="1">
      <c r="A21" s="1115" t="s">
        <v>58</v>
      </c>
      <c r="B21" s="1111">
        <f t="shared" si="1"/>
        <v>206210406</v>
      </c>
      <c r="C21" s="574" t="s">
        <v>44</v>
      </c>
      <c r="D21" s="574" t="s">
        <v>902</v>
      </c>
      <c r="E21" s="574" t="s">
        <v>901</v>
      </c>
      <c r="F21" s="574" t="s">
        <v>60</v>
      </c>
      <c r="G21" s="1116" t="s">
        <v>61</v>
      </c>
      <c r="H21" s="1204">
        <v>198</v>
      </c>
      <c r="I21" s="1112">
        <v>0</v>
      </c>
      <c r="J21" s="398"/>
      <c r="K21" s="1365">
        <v>155</v>
      </c>
      <c r="L21" s="1357">
        <v>206210406</v>
      </c>
      <c r="M21" s="571">
        <v>183</v>
      </c>
      <c r="N21" s="185">
        <v>206210406</v>
      </c>
      <c r="O21" s="263">
        <v>305</v>
      </c>
      <c r="P21" s="267"/>
      <c r="Q21" s="175"/>
      <c r="R21" s="175">
        <v>47717674</v>
      </c>
      <c r="S21" s="175"/>
      <c r="T21" s="175"/>
      <c r="U21" s="175"/>
      <c r="V21" s="175"/>
      <c r="W21" s="175"/>
      <c r="X21" s="175"/>
      <c r="Y21" s="175"/>
      <c r="Z21" s="175"/>
      <c r="AA21" s="175"/>
      <c r="AB21" s="207">
        <f t="shared" si="2"/>
        <v>47717674</v>
      </c>
      <c r="AC21" s="447">
        <f t="shared" si="3"/>
        <v>158492732</v>
      </c>
      <c r="AE21" s="1204">
        <v>198</v>
      </c>
      <c r="AF21" s="291" t="s">
        <v>369</v>
      </c>
      <c r="AG21" s="313" t="str">
        <f>VLOOKUP(M21,[3]Hoja2!J$169:N$229,5,0)</f>
        <v>UNION TEMPORAL ANE 2018</v>
      </c>
      <c r="AH21" s="1113">
        <f t="shared" si="4"/>
        <v>305</v>
      </c>
      <c r="AI21" s="356">
        <v>206210406</v>
      </c>
      <c r="AJ21" s="1207">
        <f t="shared" si="0"/>
        <v>0</v>
      </c>
      <c r="AK21" s="1137"/>
    </row>
    <row r="22" spans="1:37" s="9" customFormat="1">
      <c r="A22" s="1115" t="s">
        <v>58</v>
      </c>
      <c r="B22" s="1111">
        <f t="shared" si="1"/>
        <v>0</v>
      </c>
      <c r="C22" s="574" t="s">
        <v>44</v>
      </c>
      <c r="D22" s="574" t="s">
        <v>902</v>
      </c>
      <c r="E22" s="574" t="s">
        <v>901</v>
      </c>
      <c r="F22" s="574" t="s">
        <v>60</v>
      </c>
      <c r="G22" s="1116" t="s">
        <v>61</v>
      </c>
      <c r="H22" s="1265">
        <v>200</v>
      </c>
      <c r="I22" s="1112">
        <v>0</v>
      </c>
      <c r="J22" s="398"/>
      <c r="K22" s="1365"/>
      <c r="L22" s="1357"/>
      <c r="M22" s="571"/>
      <c r="N22" s="185"/>
      <c r="O22" s="263"/>
      <c r="P22" s="267"/>
      <c r="Q22" s="175"/>
      <c r="R22" s="175"/>
      <c r="S22" s="175"/>
      <c r="T22" s="175"/>
      <c r="U22" s="175"/>
      <c r="V22" s="175"/>
      <c r="W22" s="175"/>
      <c r="X22" s="175"/>
      <c r="Y22" s="175"/>
      <c r="Z22" s="175"/>
      <c r="AA22" s="175"/>
      <c r="AB22" s="207">
        <f t="shared" si="2"/>
        <v>0</v>
      </c>
      <c r="AC22" s="447">
        <f t="shared" si="3"/>
        <v>0</v>
      </c>
      <c r="AE22" s="1204">
        <v>200</v>
      </c>
      <c r="AF22" s="291" t="s">
        <v>370</v>
      </c>
      <c r="AG22" s="313" t="s">
        <v>188</v>
      </c>
      <c r="AH22" s="1113">
        <f t="shared" si="4"/>
        <v>0</v>
      </c>
      <c r="AI22" s="356">
        <f>200000000-21560000</f>
        <v>178440000</v>
      </c>
      <c r="AJ22" s="1207">
        <f>AI22-N22</f>
        <v>178440000</v>
      </c>
      <c r="AK22" s="1137"/>
    </row>
    <row r="23" spans="1:37" s="9" customFormat="1">
      <c r="A23" s="1115" t="s">
        <v>58</v>
      </c>
      <c r="B23" s="1111">
        <f t="shared" si="1"/>
        <v>120000000</v>
      </c>
      <c r="C23" s="574" t="s">
        <v>44</v>
      </c>
      <c r="D23" s="574" t="s">
        <v>902</v>
      </c>
      <c r="E23" s="574" t="s">
        <v>901</v>
      </c>
      <c r="F23" s="574" t="s">
        <v>60</v>
      </c>
      <c r="G23" s="1116" t="s">
        <v>61</v>
      </c>
      <c r="H23" s="1204" t="s">
        <v>156</v>
      </c>
      <c r="I23" s="1112">
        <v>0</v>
      </c>
      <c r="J23" s="398"/>
      <c r="K23" s="1365">
        <v>4</v>
      </c>
      <c r="L23" s="1357">
        <v>120000000</v>
      </c>
      <c r="M23" s="1456" t="s">
        <v>892</v>
      </c>
      <c r="N23" s="185">
        <f>5808174+5537654+5205314</f>
        <v>16551142</v>
      </c>
      <c r="O23" s="1605" t="s">
        <v>556</v>
      </c>
      <c r="P23" s="267">
        <v>5808174</v>
      </c>
      <c r="Q23" s="175">
        <v>5537654</v>
      </c>
      <c r="R23" s="175">
        <v>5205314</v>
      </c>
      <c r="S23" s="175"/>
      <c r="T23" s="175"/>
      <c r="U23" s="175"/>
      <c r="V23" s="175"/>
      <c r="W23" s="175"/>
      <c r="X23" s="175"/>
      <c r="Y23" s="175"/>
      <c r="Z23" s="175"/>
      <c r="AA23" s="175"/>
      <c r="AB23" s="207">
        <f t="shared" si="2"/>
        <v>16551142</v>
      </c>
      <c r="AC23" s="447">
        <f t="shared" si="3"/>
        <v>0</v>
      </c>
      <c r="AE23" s="1203" t="s">
        <v>363</v>
      </c>
      <c r="AF23" s="291" t="s">
        <v>371</v>
      </c>
      <c r="AG23" s="313" t="s">
        <v>188</v>
      </c>
      <c r="AH23" s="1113" t="str">
        <f t="shared" si="4"/>
        <v>Servicios públicos</v>
      </c>
      <c r="AI23" s="356">
        <v>120000000</v>
      </c>
      <c r="AJ23" s="1207">
        <f t="shared" si="0"/>
        <v>103448858</v>
      </c>
      <c r="AK23" s="1137"/>
    </row>
    <row r="24" spans="1:37" s="9" customFormat="1">
      <c r="A24" s="1115" t="s">
        <v>58</v>
      </c>
      <c r="B24" s="1111">
        <f t="shared" si="1"/>
        <v>9685189</v>
      </c>
      <c r="C24" s="574" t="s">
        <v>44</v>
      </c>
      <c r="D24" s="574" t="s">
        <v>902</v>
      </c>
      <c r="E24" s="574" t="s">
        <v>901</v>
      </c>
      <c r="F24" s="574" t="s">
        <v>60</v>
      </c>
      <c r="G24" s="1116" t="s">
        <v>61</v>
      </c>
      <c r="H24" s="1352" t="s">
        <v>363</v>
      </c>
      <c r="I24" s="1112">
        <v>0</v>
      </c>
      <c r="J24" s="398"/>
      <c r="K24" s="1365">
        <v>338</v>
      </c>
      <c r="L24" s="1357">
        <v>9685189</v>
      </c>
      <c r="M24" s="571">
        <v>328</v>
      </c>
      <c r="N24" s="185">
        <v>9685189</v>
      </c>
      <c r="O24" s="1368" t="s">
        <v>815</v>
      </c>
      <c r="P24" s="267"/>
      <c r="Q24" s="175"/>
      <c r="R24" s="175"/>
      <c r="S24" s="175"/>
      <c r="T24" s="175"/>
      <c r="U24" s="175"/>
      <c r="V24" s="175"/>
      <c r="W24" s="175"/>
      <c r="X24" s="175"/>
      <c r="Y24" s="175"/>
      <c r="Z24" s="175"/>
      <c r="AA24" s="175"/>
      <c r="AB24" s="207">
        <f t="shared" si="2"/>
        <v>0</v>
      </c>
      <c r="AC24" s="447">
        <f t="shared" si="3"/>
        <v>9685189</v>
      </c>
      <c r="AE24" s="1203" t="s">
        <v>363</v>
      </c>
      <c r="AF24" s="291" t="s">
        <v>814</v>
      </c>
      <c r="AG24" s="313" t="s">
        <v>853</v>
      </c>
      <c r="AH24" s="1113" t="str">
        <f t="shared" si="4"/>
        <v>304-2018</v>
      </c>
      <c r="AI24" s="356">
        <v>9685189</v>
      </c>
      <c r="AJ24" s="1207">
        <f t="shared" si="0"/>
        <v>0</v>
      </c>
      <c r="AK24" s="1137"/>
    </row>
    <row r="25" spans="1:37" s="9" customFormat="1">
      <c r="A25" s="1115" t="s">
        <v>58</v>
      </c>
      <c r="B25" s="1111">
        <f t="shared" si="1"/>
        <v>0</v>
      </c>
      <c r="C25" s="574" t="s">
        <v>44</v>
      </c>
      <c r="D25" s="574" t="s">
        <v>902</v>
      </c>
      <c r="E25" s="574" t="s">
        <v>901</v>
      </c>
      <c r="F25" s="574" t="s">
        <v>60</v>
      </c>
      <c r="G25" s="1116" t="s">
        <v>61</v>
      </c>
      <c r="H25" s="1352" t="s">
        <v>188</v>
      </c>
      <c r="I25" s="233">
        <v>0</v>
      </c>
      <c r="J25" s="322"/>
      <c r="K25" s="318"/>
      <c r="L25" s="221"/>
      <c r="M25" s="318"/>
      <c r="N25" s="175"/>
      <c r="O25" s="263"/>
      <c r="P25" s="267"/>
      <c r="Q25" s="175"/>
      <c r="R25" s="175"/>
      <c r="S25" s="175"/>
      <c r="T25" s="175"/>
      <c r="U25" s="175"/>
      <c r="V25" s="175"/>
      <c r="W25" s="175"/>
      <c r="X25" s="175"/>
      <c r="Y25" s="175"/>
      <c r="Z25" s="175"/>
      <c r="AA25" s="175"/>
      <c r="AB25" s="207">
        <f t="shared" si="2"/>
        <v>0</v>
      </c>
      <c r="AC25" s="447">
        <f t="shared" si="3"/>
        <v>0</v>
      </c>
      <c r="AE25" s="1203" t="s">
        <v>188</v>
      </c>
      <c r="AF25" s="291"/>
      <c r="AG25" s="291"/>
      <c r="AH25" s="1113">
        <f t="shared" si="4"/>
        <v>0</v>
      </c>
      <c r="AI25" s="356"/>
      <c r="AJ25" s="1207">
        <f t="shared" si="0"/>
        <v>0</v>
      </c>
      <c r="AK25" s="1137"/>
    </row>
    <row r="26" spans="1:37" s="9" customFormat="1">
      <c r="A26" s="189" t="s">
        <v>31</v>
      </c>
      <c r="B26" s="562">
        <f>B17-SUM(B25:B25)</f>
        <v>1368215000</v>
      </c>
      <c r="C26" s="90"/>
      <c r="D26" s="90"/>
      <c r="E26" s="90"/>
      <c r="F26" s="90"/>
      <c r="G26" s="91"/>
      <c r="H26" s="1304"/>
      <c r="I26" s="234"/>
      <c r="J26" s="531"/>
      <c r="K26" s="401"/>
      <c r="L26" s="184">
        <f>SUM(L18:L25)</f>
        <v>892353381</v>
      </c>
      <c r="M26" s="401"/>
      <c r="N26" s="184">
        <f>SUM(N18:N25)</f>
        <v>330847598</v>
      </c>
      <c r="O26" s="270"/>
      <c r="P26" s="184">
        <f>SUM(P18:P25)</f>
        <v>5808174</v>
      </c>
      <c r="Q26" s="184">
        <f>SUM(Q18:Q25)</f>
        <v>5537654</v>
      </c>
      <c r="R26" s="184">
        <f>SUM(R18:R25)</f>
        <v>52922988</v>
      </c>
      <c r="S26" s="184">
        <f t="shared" ref="S26:AA26" si="5">SUM(S18:S25)</f>
        <v>0</v>
      </c>
      <c r="T26" s="184">
        <f t="shared" si="5"/>
        <v>0</v>
      </c>
      <c r="U26" s="184">
        <f t="shared" si="5"/>
        <v>0</v>
      </c>
      <c r="V26" s="184">
        <f t="shared" si="5"/>
        <v>0</v>
      </c>
      <c r="W26" s="184">
        <f t="shared" si="5"/>
        <v>0</v>
      </c>
      <c r="X26" s="184">
        <f t="shared" si="5"/>
        <v>0</v>
      </c>
      <c r="Y26" s="184">
        <f t="shared" si="5"/>
        <v>0</v>
      </c>
      <c r="Z26" s="184">
        <f t="shared" si="5"/>
        <v>0</v>
      </c>
      <c r="AA26" s="184">
        <f t="shared" si="5"/>
        <v>0</v>
      </c>
      <c r="AB26" s="184">
        <f>SUM(AB18:AB25)</f>
        <v>64268816</v>
      </c>
      <c r="AC26" s="184">
        <f>SUM(AC18:AC25)</f>
        <v>266578782</v>
      </c>
      <c r="AE26" s="1202"/>
      <c r="AF26" s="57"/>
      <c r="AG26" s="57"/>
      <c r="AH26" s="401"/>
      <c r="AI26" s="57">
        <f>SUM(AI18:AI25)</f>
        <v>1368215000</v>
      </c>
      <c r="AJ26" s="205">
        <f>SUM(AJ18:AJ25)</f>
        <v>1037367402</v>
      </c>
      <c r="AK26" s="1137">
        <f>B17-AI26</f>
        <v>0</v>
      </c>
    </row>
    <row r="27" spans="1:37" s="9" customFormat="1" ht="38.25">
      <c r="A27" s="676" t="s">
        <v>58</v>
      </c>
      <c r="B27" s="561">
        <v>69775000</v>
      </c>
      <c r="C27" s="1029" t="s">
        <v>62</v>
      </c>
      <c r="D27" s="998" t="s">
        <v>902</v>
      </c>
      <c r="E27" s="998" t="s">
        <v>901</v>
      </c>
      <c r="F27" s="998" t="s">
        <v>60</v>
      </c>
      <c r="G27" s="1022" t="s">
        <v>61</v>
      </c>
      <c r="H27" s="1339"/>
      <c r="I27" s="456">
        <v>0</v>
      </c>
      <c r="J27" s="532"/>
      <c r="K27" s="519"/>
      <c r="L27" s="457"/>
      <c r="M27" s="519"/>
      <c r="N27" s="421"/>
      <c r="O27" s="419"/>
      <c r="P27" s="420"/>
      <c r="Q27" s="421"/>
      <c r="R27" s="421"/>
      <c r="S27" s="421"/>
      <c r="T27" s="421"/>
      <c r="U27" s="421"/>
      <c r="V27" s="421"/>
      <c r="W27" s="421"/>
      <c r="X27" s="421"/>
      <c r="Y27" s="421"/>
      <c r="Z27" s="421"/>
      <c r="AA27" s="421"/>
      <c r="AB27" s="422">
        <v>0</v>
      </c>
      <c r="AC27" s="446"/>
      <c r="AE27" s="1204"/>
      <c r="AF27" s="291"/>
      <c r="AG27" s="291"/>
      <c r="AH27" s="1113"/>
      <c r="AI27" s="356"/>
      <c r="AJ27" s="1207"/>
      <c r="AK27" s="1137"/>
    </row>
    <row r="28" spans="1:37" s="149" customFormat="1" ht="32.25" customHeight="1">
      <c r="A28" s="1016" t="s">
        <v>58</v>
      </c>
      <c r="B28" s="563">
        <f>L28</f>
        <v>0</v>
      </c>
      <c r="C28" s="84" t="s">
        <v>62</v>
      </c>
      <c r="D28" s="84" t="s">
        <v>902</v>
      </c>
      <c r="E28" s="84" t="s">
        <v>901</v>
      </c>
      <c r="F28" s="84" t="s">
        <v>60</v>
      </c>
      <c r="G28" s="89" t="s">
        <v>61</v>
      </c>
      <c r="H28" s="1213">
        <v>195</v>
      </c>
      <c r="I28" s="233">
        <v>0</v>
      </c>
      <c r="J28" s="221"/>
      <c r="K28" s="318"/>
      <c r="L28" s="221"/>
      <c r="M28" s="318"/>
      <c r="N28" s="528"/>
      <c r="O28" s="265"/>
      <c r="P28" s="399"/>
      <c r="Q28" s="399"/>
      <c r="R28" s="399"/>
      <c r="S28" s="399"/>
      <c r="T28" s="399"/>
      <c r="U28" s="399"/>
      <c r="V28" s="528"/>
      <c r="W28" s="175"/>
      <c r="X28" s="175"/>
      <c r="Y28" s="528"/>
      <c r="Z28" s="528"/>
      <c r="AA28" s="528"/>
      <c r="AB28" s="207">
        <f>SUM(P28:AA28)</f>
        <v>0</v>
      </c>
      <c r="AC28" s="447">
        <f>N28-AB28</f>
        <v>0</v>
      </c>
      <c r="AE28" s="1213">
        <v>195</v>
      </c>
      <c r="AF28" s="362" t="s">
        <v>368</v>
      </c>
      <c r="AG28" s="370" t="s">
        <v>188</v>
      </c>
      <c r="AH28" s="1113">
        <f>O28</f>
        <v>0</v>
      </c>
      <c r="AI28" s="1214">
        <v>69775000</v>
      </c>
      <c r="AJ28" s="1215">
        <f>AI28-N28</f>
        <v>69775000</v>
      </c>
      <c r="AK28" s="1139"/>
    </row>
    <row r="29" spans="1:37" s="9" customFormat="1">
      <c r="A29" s="189" t="s">
        <v>31</v>
      </c>
      <c r="B29" s="562">
        <f>B27-SUM(B28:B28)</f>
        <v>69775000</v>
      </c>
      <c r="C29" s="90"/>
      <c r="D29" s="90"/>
      <c r="E29" s="90"/>
      <c r="F29" s="90"/>
      <c r="G29" s="91"/>
      <c r="H29" s="1304"/>
      <c r="I29" s="234"/>
      <c r="J29" s="531"/>
      <c r="K29" s="401"/>
      <c r="L29" s="184">
        <f>SUM(L27:L28)</f>
        <v>0</v>
      </c>
      <c r="M29" s="401"/>
      <c r="N29" s="184">
        <f>SUM(N27:N28)</f>
        <v>0</v>
      </c>
      <c r="O29" s="270"/>
      <c r="P29" s="184">
        <f>SUM(P27:P28)</f>
        <v>0</v>
      </c>
      <c r="Q29" s="184">
        <f t="shared" ref="Q29:AC29" si="6">SUM(Q27:Q28)</f>
        <v>0</v>
      </c>
      <c r="R29" s="184">
        <f>SUM(R27:R28)</f>
        <v>0</v>
      </c>
      <c r="S29" s="184">
        <f t="shared" si="6"/>
        <v>0</v>
      </c>
      <c r="T29" s="184">
        <f t="shared" si="6"/>
        <v>0</v>
      </c>
      <c r="U29" s="184">
        <f t="shared" si="6"/>
        <v>0</v>
      </c>
      <c r="V29" s="184">
        <f t="shared" si="6"/>
        <v>0</v>
      </c>
      <c r="W29" s="184">
        <f t="shared" si="6"/>
        <v>0</v>
      </c>
      <c r="X29" s="184">
        <f t="shared" si="6"/>
        <v>0</v>
      </c>
      <c r="Y29" s="184">
        <f t="shared" si="6"/>
        <v>0</v>
      </c>
      <c r="Z29" s="184">
        <f t="shared" si="6"/>
        <v>0</v>
      </c>
      <c r="AA29" s="184">
        <f t="shared" si="6"/>
        <v>0</v>
      </c>
      <c r="AB29" s="184">
        <f t="shared" si="6"/>
        <v>0</v>
      </c>
      <c r="AC29" s="184">
        <f t="shared" si="6"/>
        <v>0</v>
      </c>
      <c r="AE29" s="1202"/>
      <c r="AF29" s="57"/>
      <c r="AG29" s="57"/>
      <c r="AH29" s="401"/>
      <c r="AI29" s="57">
        <f>SUM(AI27:AI28)</f>
        <v>69775000</v>
      </c>
      <c r="AJ29" s="205">
        <f>SUM(AJ27:AJ28)</f>
        <v>69775000</v>
      </c>
      <c r="AK29" s="1137">
        <f>B27-AI29</f>
        <v>0</v>
      </c>
    </row>
    <row r="30" spans="1:37" s="9" customFormat="1" ht="51">
      <c r="A30" s="676" t="s">
        <v>58</v>
      </c>
      <c r="B30" s="561">
        <v>450000</v>
      </c>
      <c r="C30" s="1029" t="s">
        <v>152</v>
      </c>
      <c r="D30" s="998" t="s">
        <v>902</v>
      </c>
      <c r="E30" s="998" t="s">
        <v>59</v>
      </c>
      <c r="F30" s="998" t="s">
        <v>60</v>
      </c>
      <c r="G30" s="1022" t="s">
        <v>61</v>
      </c>
      <c r="H30" s="1339"/>
      <c r="I30" s="996"/>
      <c r="J30" s="537"/>
      <c r="K30" s="116"/>
      <c r="L30" s="159"/>
      <c r="M30" s="116"/>
      <c r="N30" s="159"/>
      <c r="O30" s="997"/>
      <c r="P30" s="261"/>
      <c r="Q30" s="159"/>
      <c r="R30" s="159"/>
      <c r="S30" s="159"/>
      <c r="T30" s="159"/>
      <c r="U30" s="159"/>
      <c r="V30" s="159"/>
      <c r="W30" s="159"/>
      <c r="X30" s="159"/>
      <c r="Y30" s="159"/>
      <c r="Z30" s="159"/>
      <c r="AA30" s="159"/>
      <c r="AB30" s="207">
        <f>SUM(P30:AA30)</f>
        <v>0</v>
      </c>
      <c r="AC30" s="447">
        <f>N30-AB30</f>
        <v>0</v>
      </c>
      <c r="AE30" s="1204"/>
      <c r="AF30" s="291"/>
      <c r="AG30" s="291"/>
      <c r="AH30" s="1113"/>
      <c r="AI30" s="356"/>
      <c r="AJ30" s="1207"/>
      <c r="AK30" s="1137"/>
    </row>
    <row r="31" spans="1:37" s="149" customFormat="1" ht="25.5">
      <c r="A31" s="1016" t="s">
        <v>58</v>
      </c>
      <c r="B31" s="995">
        <f>J31</f>
        <v>0</v>
      </c>
      <c r="C31" s="574" t="s">
        <v>152</v>
      </c>
      <c r="D31" s="574" t="s">
        <v>902</v>
      </c>
      <c r="E31" s="574" t="s">
        <v>901</v>
      </c>
      <c r="F31" s="574" t="s">
        <v>60</v>
      </c>
      <c r="G31" s="1021" t="s">
        <v>61</v>
      </c>
      <c r="H31" s="1213">
        <v>195</v>
      </c>
      <c r="I31" s="235">
        <v>0</v>
      </c>
      <c r="J31" s="537"/>
      <c r="K31" s="116"/>
      <c r="L31" s="159"/>
      <c r="M31" s="116"/>
      <c r="N31" s="159"/>
      <c r="O31" s="997"/>
      <c r="P31" s="261"/>
      <c r="Q31" s="159"/>
      <c r="R31" s="159"/>
      <c r="S31" s="159"/>
      <c r="T31" s="159"/>
      <c r="U31" s="159"/>
      <c r="V31" s="159"/>
      <c r="W31" s="159"/>
      <c r="X31" s="159"/>
      <c r="Y31" s="159"/>
      <c r="Z31" s="159"/>
      <c r="AA31" s="159"/>
      <c r="AB31" s="207">
        <f>SUM(P31:AA31)</f>
        <v>0</v>
      </c>
      <c r="AC31" s="447">
        <f>N31-AB31</f>
        <v>0</v>
      </c>
      <c r="AE31" s="1213">
        <v>195</v>
      </c>
      <c r="AF31" s="362" t="s">
        <v>368</v>
      </c>
      <c r="AG31" s="370" t="s">
        <v>188</v>
      </c>
      <c r="AH31" s="1113">
        <f>O31</f>
        <v>0</v>
      </c>
      <c r="AI31" s="1214">
        <v>450000</v>
      </c>
      <c r="AJ31" s="1215">
        <f>AI31-N31</f>
        <v>450000</v>
      </c>
      <c r="AK31" s="1139"/>
    </row>
    <row r="32" spans="1:37" s="9" customFormat="1">
      <c r="A32" s="189" t="s">
        <v>31</v>
      </c>
      <c r="B32" s="562">
        <f>B30--SUM(B31:B31)</f>
        <v>450000</v>
      </c>
      <c r="C32" s="90"/>
      <c r="D32" s="90"/>
      <c r="E32" s="90"/>
      <c r="F32" s="90"/>
      <c r="G32" s="91"/>
      <c r="H32" s="1304"/>
      <c r="I32" s="234"/>
      <c r="J32" s="531"/>
      <c r="K32" s="401"/>
      <c r="L32" s="184">
        <f>SUM(L30:L31)</f>
        <v>0</v>
      </c>
      <c r="M32" s="401"/>
      <c r="N32" s="184">
        <f>SUM(N30:N31)</f>
        <v>0</v>
      </c>
      <c r="O32" s="270"/>
      <c r="P32" s="184">
        <f>SUM(P30:P31)</f>
        <v>0</v>
      </c>
      <c r="Q32" s="184">
        <f t="shared" ref="Q32:AC32" si="7">SUM(Q30:Q31)</f>
        <v>0</v>
      </c>
      <c r="R32" s="184">
        <f>SUM(R30:R31)</f>
        <v>0</v>
      </c>
      <c r="S32" s="184">
        <f t="shared" si="7"/>
        <v>0</v>
      </c>
      <c r="T32" s="184">
        <f t="shared" si="7"/>
        <v>0</v>
      </c>
      <c r="U32" s="184">
        <f t="shared" si="7"/>
        <v>0</v>
      </c>
      <c r="V32" s="184">
        <f t="shared" si="7"/>
        <v>0</v>
      </c>
      <c r="W32" s="184">
        <f t="shared" si="7"/>
        <v>0</v>
      </c>
      <c r="X32" s="184">
        <f t="shared" si="7"/>
        <v>0</v>
      </c>
      <c r="Y32" s="184">
        <f t="shared" si="7"/>
        <v>0</v>
      </c>
      <c r="Z32" s="184">
        <f t="shared" si="7"/>
        <v>0</v>
      </c>
      <c r="AA32" s="184">
        <f t="shared" si="7"/>
        <v>0</v>
      </c>
      <c r="AB32" s="184">
        <f t="shared" si="7"/>
        <v>0</v>
      </c>
      <c r="AC32" s="184">
        <f t="shared" si="7"/>
        <v>0</v>
      </c>
      <c r="AE32" s="1202"/>
      <c r="AF32" s="57"/>
      <c r="AG32" s="57"/>
      <c r="AH32" s="401"/>
      <c r="AI32" s="57">
        <f>SUM(AI30:AI31)</f>
        <v>450000</v>
      </c>
      <c r="AJ32" s="205">
        <f>SUM(AJ30:AJ31)</f>
        <v>450000</v>
      </c>
      <c r="AK32" s="1137">
        <f>B30-AI32</f>
        <v>0</v>
      </c>
    </row>
    <row r="33" spans="1:37" s="7" customFormat="1" ht="51">
      <c r="A33" s="1011" t="s">
        <v>117</v>
      </c>
      <c r="B33" s="560">
        <f>B34+B46</f>
        <v>508490000</v>
      </c>
      <c r="C33" s="999" t="s">
        <v>44</v>
      </c>
      <c r="D33" s="999" t="s">
        <v>903</v>
      </c>
      <c r="E33" s="999" t="s">
        <v>59</v>
      </c>
      <c r="F33" s="999" t="s">
        <v>63</v>
      </c>
      <c r="G33" s="1023" t="s">
        <v>61</v>
      </c>
      <c r="H33" s="1340"/>
      <c r="I33" s="423"/>
      <c r="J33" s="533"/>
      <c r="K33" s="520"/>
      <c r="L33" s="424"/>
      <c r="M33" s="520"/>
      <c r="N33" s="389"/>
      <c r="O33" s="425"/>
      <c r="P33" s="426"/>
      <c r="Q33" s="389"/>
      <c r="R33" s="389"/>
      <c r="S33" s="389"/>
      <c r="T33" s="389"/>
      <c r="U33" s="389"/>
      <c r="V33" s="389"/>
      <c r="W33" s="389"/>
      <c r="X33" s="389"/>
      <c r="Y33" s="389"/>
      <c r="Z33" s="389"/>
      <c r="AA33" s="389"/>
      <c r="AB33" s="427"/>
      <c r="AC33" s="448"/>
      <c r="AE33" s="1216"/>
      <c r="AF33" s="290"/>
      <c r="AG33" s="290"/>
      <c r="AH33" s="1458"/>
      <c r="AI33" s="1126"/>
      <c r="AJ33" s="1199"/>
      <c r="AK33" s="1137"/>
    </row>
    <row r="34" spans="1:37" s="696" customFormat="1">
      <c r="A34" s="96" t="s">
        <v>64</v>
      </c>
      <c r="B34" s="561">
        <f>370060000-1570000</f>
        <v>368490000</v>
      </c>
      <c r="C34" s="94" t="s">
        <v>44</v>
      </c>
      <c r="D34" s="94" t="s">
        <v>903</v>
      </c>
      <c r="E34" s="94" t="s">
        <v>901</v>
      </c>
      <c r="F34" s="94" t="s">
        <v>901</v>
      </c>
      <c r="G34" s="95" t="s">
        <v>61</v>
      </c>
      <c r="H34" s="1306" t="s">
        <v>188</v>
      </c>
      <c r="I34" s="1118">
        <v>0</v>
      </c>
      <c r="J34" s="1119"/>
      <c r="K34" s="1121"/>
      <c r="L34" s="1120"/>
      <c r="M34" s="1121"/>
      <c r="N34" s="390"/>
      <c r="O34" s="430"/>
      <c r="P34" s="394"/>
      <c r="Q34" s="390"/>
      <c r="R34" s="390"/>
      <c r="S34" s="390"/>
      <c r="T34" s="390"/>
      <c r="U34" s="390"/>
      <c r="V34" s="390"/>
      <c r="W34" s="390"/>
      <c r="X34" s="390"/>
      <c r="Y34" s="390"/>
      <c r="Z34" s="390"/>
      <c r="AA34" s="390"/>
      <c r="AB34" s="396">
        <f>SUM(P34:AA34)</f>
        <v>0</v>
      </c>
      <c r="AC34" s="449">
        <f>N34-AB34</f>
        <v>0</v>
      </c>
      <c r="AE34" s="1204"/>
      <c r="AF34" s="1007"/>
      <c r="AG34" s="1007"/>
      <c r="AH34" s="1459"/>
      <c r="AI34" s="695"/>
      <c r="AJ34" s="1217"/>
      <c r="AK34" s="1137"/>
    </row>
    <row r="35" spans="1:37" s="696" customFormat="1">
      <c r="A35" s="96" t="s">
        <v>64</v>
      </c>
      <c r="B35" s="1111">
        <f>L35</f>
        <v>6000000</v>
      </c>
      <c r="C35" s="94" t="s">
        <v>44</v>
      </c>
      <c r="D35" s="94" t="s">
        <v>903</v>
      </c>
      <c r="E35" s="94" t="s">
        <v>901</v>
      </c>
      <c r="F35" s="94" t="s">
        <v>901</v>
      </c>
      <c r="G35" s="95" t="s">
        <v>61</v>
      </c>
      <c r="H35" s="1204">
        <v>132</v>
      </c>
      <c r="I35" s="1122">
        <v>0</v>
      </c>
      <c r="J35" s="1003"/>
      <c r="K35" s="1365">
        <v>379</v>
      </c>
      <c r="L35" s="694">
        <v>6000000</v>
      </c>
      <c r="M35" s="1005"/>
      <c r="N35" s="175"/>
      <c r="O35" s="263"/>
      <c r="P35" s="267"/>
      <c r="Q35" s="175"/>
      <c r="R35" s="175"/>
      <c r="S35" s="175"/>
      <c r="T35" s="175"/>
      <c r="U35" s="175"/>
      <c r="V35" s="175"/>
      <c r="W35" s="175"/>
      <c r="X35" s="175"/>
      <c r="Y35" s="175"/>
      <c r="Z35" s="175"/>
      <c r="AA35" s="175"/>
      <c r="AB35" s="207">
        <f t="shared" ref="AB35:AB44" si="8">SUM(P35:AA35)</f>
        <v>0</v>
      </c>
      <c r="AC35" s="447">
        <f t="shared" ref="AC35:AC44" si="9">N35-AB35</f>
        <v>0</v>
      </c>
      <c r="AE35" s="1204">
        <v>132</v>
      </c>
      <c r="AF35" s="1007" t="s">
        <v>323</v>
      </c>
      <c r="AG35" s="410" t="s">
        <v>188</v>
      </c>
      <c r="AH35" s="1113">
        <f t="shared" ref="AH35:AH44" si="10">O35</f>
        <v>0</v>
      </c>
      <c r="AI35" s="695">
        <v>6000000</v>
      </c>
      <c r="AJ35" s="1215">
        <f t="shared" ref="AJ35:AJ44" si="11">AI35-N35</f>
        <v>6000000</v>
      </c>
      <c r="AK35" s="1137"/>
    </row>
    <row r="36" spans="1:37" s="696" customFormat="1">
      <c r="A36" s="96" t="s">
        <v>64</v>
      </c>
      <c r="B36" s="1111">
        <f t="shared" ref="B36:B44" si="12">L36</f>
        <v>0</v>
      </c>
      <c r="C36" s="94" t="s">
        <v>44</v>
      </c>
      <c r="D36" s="94" t="s">
        <v>903</v>
      </c>
      <c r="E36" s="94" t="s">
        <v>901</v>
      </c>
      <c r="F36" s="94" t="s">
        <v>901</v>
      </c>
      <c r="G36" s="95" t="s">
        <v>61</v>
      </c>
      <c r="H36" s="1204">
        <v>136</v>
      </c>
      <c r="I36" s="1122">
        <v>0</v>
      </c>
      <c r="J36" s="1003"/>
      <c r="K36" s="1365"/>
      <c r="L36" s="1004"/>
      <c r="M36" s="1005"/>
      <c r="N36" s="175"/>
      <c r="O36" s="263"/>
      <c r="P36" s="267"/>
      <c r="Q36" s="175"/>
      <c r="R36" s="175"/>
      <c r="S36" s="175"/>
      <c r="T36" s="175"/>
      <c r="U36" s="175"/>
      <c r="V36" s="175"/>
      <c r="W36" s="175"/>
      <c r="X36" s="175"/>
      <c r="Y36" s="175"/>
      <c r="Z36" s="175"/>
      <c r="AA36" s="175"/>
      <c r="AB36" s="207">
        <f t="shared" si="8"/>
        <v>0</v>
      </c>
      <c r="AC36" s="447">
        <f t="shared" si="9"/>
        <v>0</v>
      </c>
      <c r="AE36" s="1204">
        <v>136</v>
      </c>
      <c r="AF36" s="1007" t="s">
        <v>372</v>
      </c>
      <c r="AG36" s="410" t="s">
        <v>188</v>
      </c>
      <c r="AH36" s="1113">
        <f t="shared" si="10"/>
        <v>0</v>
      </c>
      <c r="AI36" s="695">
        <v>50000000</v>
      </c>
      <c r="AJ36" s="1215">
        <f t="shared" si="11"/>
        <v>50000000</v>
      </c>
      <c r="AK36" s="1137"/>
    </row>
    <row r="37" spans="1:37" s="696" customFormat="1">
      <c r="A37" s="96" t="s">
        <v>64</v>
      </c>
      <c r="B37" s="1111">
        <f t="shared" si="12"/>
        <v>0</v>
      </c>
      <c r="C37" s="94" t="s">
        <v>44</v>
      </c>
      <c r="D37" s="94" t="s">
        <v>903</v>
      </c>
      <c r="E37" s="94" t="s">
        <v>901</v>
      </c>
      <c r="F37" s="94" t="s">
        <v>901</v>
      </c>
      <c r="G37" s="95" t="s">
        <v>61</v>
      </c>
      <c r="H37" s="1204">
        <v>151</v>
      </c>
      <c r="I37" s="1122">
        <v>0</v>
      </c>
      <c r="J37" s="1003"/>
      <c r="K37" s="1365"/>
      <c r="L37" s="1004"/>
      <c r="M37" s="1005"/>
      <c r="N37" s="175"/>
      <c r="O37" s="263"/>
      <c r="P37" s="267"/>
      <c r="Q37" s="175"/>
      <c r="R37" s="175"/>
      <c r="S37" s="175"/>
      <c r="T37" s="175"/>
      <c r="U37" s="175"/>
      <c r="V37" s="175"/>
      <c r="W37" s="175"/>
      <c r="X37" s="175"/>
      <c r="Y37" s="175"/>
      <c r="Z37" s="175"/>
      <c r="AA37" s="175"/>
      <c r="AB37" s="207">
        <f t="shared" si="8"/>
        <v>0</v>
      </c>
      <c r="AC37" s="447">
        <f t="shared" si="9"/>
        <v>0</v>
      </c>
      <c r="AE37" s="1204">
        <v>151</v>
      </c>
      <c r="AF37" s="1007" t="s">
        <v>373</v>
      </c>
      <c r="AG37" s="410" t="s">
        <v>188</v>
      </c>
      <c r="AH37" s="1113">
        <f t="shared" si="10"/>
        <v>0</v>
      </c>
      <c r="AI37" s="695">
        <v>15000000</v>
      </c>
      <c r="AJ37" s="1215">
        <f t="shared" si="11"/>
        <v>15000000</v>
      </c>
      <c r="AK37" s="1137"/>
    </row>
    <row r="38" spans="1:37" s="696" customFormat="1">
      <c r="A38" s="96" t="s">
        <v>64</v>
      </c>
      <c r="B38" s="1111">
        <f t="shared" si="12"/>
        <v>0</v>
      </c>
      <c r="C38" s="94" t="s">
        <v>44</v>
      </c>
      <c r="D38" s="94" t="s">
        <v>903</v>
      </c>
      <c r="E38" s="94" t="s">
        <v>901</v>
      </c>
      <c r="F38" s="94" t="s">
        <v>901</v>
      </c>
      <c r="G38" s="95" t="s">
        <v>61</v>
      </c>
      <c r="H38" s="1204">
        <v>176</v>
      </c>
      <c r="I38" s="1122">
        <v>0</v>
      </c>
      <c r="J38" s="1003"/>
      <c r="K38" s="1365"/>
      <c r="L38" s="1004"/>
      <c r="M38" s="1005"/>
      <c r="N38" s="175"/>
      <c r="O38" s="263"/>
      <c r="P38" s="267"/>
      <c r="Q38" s="175"/>
      <c r="R38" s="175"/>
      <c r="S38" s="175"/>
      <c r="T38" s="175"/>
      <c r="U38" s="175"/>
      <c r="V38" s="175"/>
      <c r="W38" s="175"/>
      <c r="X38" s="175"/>
      <c r="Y38" s="175"/>
      <c r="Z38" s="175"/>
      <c r="AA38" s="175"/>
      <c r="AB38" s="207">
        <f t="shared" si="8"/>
        <v>0</v>
      </c>
      <c r="AC38" s="447">
        <f t="shared" si="9"/>
        <v>0</v>
      </c>
      <c r="AE38" s="1204">
        <v>176</v>
      </c>
      <c r="AF38" s="1007" t="s">
        <v>337</v>
      </c>
      <c r="AG38" s="410" t="s">
        <v>188</v>
      </c>
      <c r="AH38" s="1113">
        <f t="shared" si="10"/>
        <v>0</v>
      </c>
      <c r="AI38" s="695">
        <f>5718016+630000</f>
        <v>6348016</v>
      </c>
      <c r="AJ38" s="1215">
        <f t="shared" si="11"/>
        <v>6348016</v>
      </c>
      <c r="AK38" s="1137"/>
    </row>
    <row r="39" spans="1:37" s="696" customFormat="1">
      <c r="A39" s="96" t="s">
        <v>64</v>
      </c>
      <c r="B39" s="1111">
        <f t="shared" si="12"/>
        <v>0</v>
      </c>
      <c r="C39" s="94" t="s">
        <v>44</v>
      </c>
      <c r="D39" s="94" t="s">
        <v>903</v>
      </c>
      <c r="E39" s="94" t="s">
        <v>901</v>
      </c>
      <c r="F39" s="94" t="s">
        <v>901</v>
      </c>
      <c r="G39" s="95" t="s">
        <v>61</v>
      </c>
      <c r="H39" s="1204">
        <v>178</v>
      </c>
      <c r="I39" s="1122">
        <v>0</v>
      </c>
      <c r="J39" s="1003"/>
      <c r="K39" s="1365"/>
      <c r="L39" s="1004"/>
      <c r="M39" s="1005"/>
      <c r="N39" s="175"/>
      <c r="O39" s="263"/>
      <c r="P39" s="267"/>
      <c r="Q39" s="175"/>
      <c r="R39" s="175"/>
      <c r="S39" s="175"/>
      <c r="T39" s="175"/>
      <c r="U39" s="175"/>
      <c r="V39" s="175"/>
      <c r="W39" s="175"/>
      <c r="X39" s="175"/>
      <c r="Y39" s="175"/>
      <c r="Z39" s="175"/>
      <c r="AA39" s="175"/>
      <c r="AB39" s="207">
        <f t="shared" si="8"/>
        <v>0</v>
      </c>
      <c r="AC39" s="447">
        <f t="shared" si="9"/>
        <v>0</v>
      </c>
      <c r="AE39" s="1204">
        <v>178</v>
      </c>
      <c r="AF39" s="1007" t="s">
        <v>374</v>
      </c>
      <c r="AG39" s="410" t="s">
        <v>188</v>
      </c>
      <c r="AH39" s="1113">
        <f t="shared" si="10"/>
        <v>0</v>
      </c>
      <c r="AI39" s="695">
        <v>113341984</v>
      </c>
      <c r="AJ39" s="1215">
        <f t="shared" si="11"/>
        <v>113341984</v>
      </c>
      <c r="AK39" s="1137"/>
    </row>
    <row r="40" spans="1:37" s="696" customFormat="1">
      <c r="A40" s="96" t="s">
        <v>64</v>
      </c>
      <c r="B40" s="1111">
        <f t="shared" si="12"/>
        <v>0</v>
      </c>
      <c r="C40" s="94" t="s">
        <v>44</v>
      </c>
      <c r="D40" s="94" t="s">
        <v>903</v>
      </c>
      <c r="E40" s="94" t="s">
        <v>901</v>
      </c>
      <c r="F40" s="94" t="s">
        <v>901</v>
      </c>
      <c r="G40" s="95" t="s">
        <v>61</v>
      </c>
      <c r="H40" s="1204">
        <v>201</v>
      </c>
      <c r="I40" s="1122">
        <v>0</v>
      </c>
      <c r="J40" s="1003"/>
      <c r="K40" s="1365"/>
      <c r="L40" s="1004"/>
      <c r="M40" s="1005"/>
      <c r="N40" s="175"/>
      <c r="O40" s="263"/>
      <c r="P40" s="267"/>
      <c r="Q40" s="175"/>
      <c r="R40" s="175"/>
      <c r="S40" s="175"/>
      <c r="T40" s="175"/>
      <c r="U40" s="175"/>
      <c r="V40" s="175"/>
      <c r="W40" s="175"/>
      <c r="X40" s="175"/>
      <c r="Y40" s="175"/>
      <c r="Z40" s="175"/>
      <c r="AA40" s="175"/>
      <c r="AB40" s="207">
        <f t="shared" si="8"/>
        <v>0</v>
      </c>
      <c r="AC40" s="447">
        <f t="shared" si="9"/>
        <v>0</v>
      </c>
      <c r="AE40" s="1204">
        <v>201</v>
      </c>
      <c r="AF40" s="1007" t="s">
        <v>328</v>
      </c>
      <c r="AG40" s="410" t="s">
        <v>188</v>
      </c>
      <c r="AH40" s="1113">
        <f t="shared" si="10"/>
        <v>0</v>
      </c>
      <c r="AI40" s="695">
        <v>120000000</v>
      </c>
      <c r="AJ40" s="1215">
        <f t="shared" si="11"/>
        <v>120000000</v>
      </c>
      <c r="AK40" s="1137"/>
    </row>
    <row r="41" spans="1:37" s="696" customFormat="1">
      <c r="A41" s="96" t="s">
        <v>64</v>
      </c>
      <c r="B41" s="1111">
        <f t="shared" si="12"/>
        <v>37741308</v>
      </c>
      <c r="C41" s="94" t="s">
        <v>44</v>
      </c>
      <c r="D41" s="94" t="s">
        <v>903</v>
      </c>
      <c r="E41" s="94" t="s">
        <v>901</v>
      </c>
      <c r="F41" s="94" t="s">
        <v>901</v>
      </c>
      <c r="G41" s="95" t="s">
        <v>61</v>
      </c>
      <c r="H41" s="1204">
        <v>202</v>
      </c>
      <c r="I41" s="1122">
        <v>0</v>
      </c>
      <c r="J41" s="1003"/>
      <c r="K41" s="1365">
        <v>400</v>
      </c>
      <c r="L41" s="694">
        <v>37741308</v>
      </c>
      <c r="M41" s="1005"/>
      <c r="N41" s="175"/>
      <c r="O41" s="263"/>
      <c r="P41" s="267"/>
      <c r="Q41" s="175"/>
      <c r="R41" s="175"/>
      <c r="S41" s="175"/>
      <c r="T41" s="175"/>
      <c r="U41" s="175"/>
      <c r="V41" s="175"/>
      <c r="W41" s="175"/>
      <c r="X41" s="175"/>
      <c r="Y41" s="175"/>
      <c r="Z41" s="175"/>
      <c r="AA41" s="175"/>
      <c r="AB41" s="207">
        <f t="shared" si="8"/>
        <v>0</v>
      </c>
      <c r="AC41" s="447">
        <f t="shared" si="9"/>
        <v>0</v>
      </c>
      <c r="AE41" s="1204">
        <v>202</v>
      </c>
      <c r="AF41" s="1007" t="s">
        <v>375</v>
      </c>
      <c r="AG41" s="410" t="s">
        <v>188</v>
      </c>
      <c r="AH41" s="1113">
        <f t="shared" si="10"/>
        <v>0</v>
      </c>
      <c r="AI41" s="695">
        <v>38000000</v>
      </c>
      <c r="AJ41" s="1215">
        <f t="shared" si="11"/>
        <v>38000000</v>
      </c>
      <c r="AK41" s="1137"/>
    </row>
    <row r="42" spans="1:37" s="696" customFormat="1">
      <c r="A42" s="96" t="s">
        <v>64</v>
      </c>
      <c r="B42" s="1111">
        <f t="shared" si="12"/>
        <v>28105000</v>
      </c>
      <c r="C42" s="94" t="s">
        <v>44</v>
      </c>
      <c r="D42" s="94" t="s">
        <v>903</v>
      </c>
      <c r="E42" s="94" t="s">
        <v>901</v>
      </c>
      <c r="F42" s="94" t="s">
        <v>901</v>
      </c>
      <c r="G42" s="95" t="s">
        <v>61</v>
      </c>
      <c r="H42" s="1203" t="s">
        <v>838</v>
      </c>
      <c r="I42" s="1122">
        <v>0</v>
      </c>
      <c r="J42" s="1003"/>
      <c r="K42" s="691" t="s">
        <v>839</v>
      </c>
      <c r="L42" s="694">
        <f>21945000+6160000</f>
        <v>28105000</v>
      </c>
      <c r="M42" s="1702" t="s">
        <v>895</v>
      </c>
      <c r="N42" s="185">
        <f>13200000+6160000</f>
        <v>19360000</v>
      </c>
      <c r="O42" s="263">
        <v>138</v>
      </c>
      <c r="P42" s="175"/>
      <c r="Q42" s="175"/>
      <c r="R42" s="175">
        <v>4986695</v>
      </c>
      <c r="S42" s="175"/>
      <c r="T42" s="175"/>
      <c r="U42" s="175"/>
      <c r="V42" s="175"/>
      <c r="W42" s="175"/>
      <c r="X42" s="175"/>
      <c r="Y42" s="175"/>
      <c r="Z42" s="175"/>
      <c r="AA42" s="175"/>
      <c r="AB42" s="207">
        <f t="shared" si="8"/>
        <v>4986695</v>
      </c>
      <c r="AC42" s="447">
        <f t="shared" si="9"/>
        <v>14373305</v>
      </c>
      <c r="AE42" s="1204">
        <v>203</v>
      </c>
      <c r="AF42" s="1007" t="s">
        <v>375</v>
      </c>
      <c r="AG42" s="313" t="s">
        <v>896</v>
      </c>
      <c r="AH42" s="1113">
        <f t="shared" si="10"/>
        <v>138</v>
      </c>
      <c r="AI42" s="695">
        <f>22000000-8800000</f>
        <v>13200000</v>
      </c>
      <c r="AJ42" s="1215">
        <f t="shared" si="11"/>
        <v>-6160000</v>
      </c>
      <c r="AK42" s="1137"/>
    </row>
    <row r="43" spans="1:37" s="696" customFormat="1">
      <c r="A43" s="96" t="s">
        <v>64</v>
      </c>
      <c r="B43" s="1111">
        <f t="shared" si="12"/>
        <v>0</v>
      </c>
      <c r="C43" s="94" t="s">
        <v>44</v>
      </c>
      <c r="D43" s="94" t="s">
        <v>903</v>
      </c>
      <c r="E43" s="94" t="s">
        <v>901</v>
      </c>
      <c r="F43" s="94" t="s">
        <v>901</v>
      </c>
      <c r="G43" s="95" t="s">
        <v>61</v>
      </c>
      <c r="H43" s="1203" t="s">
        <v>363</v>
      </c>
      <c r="I43" s="1122">
        <v>0</v>
      </c>
      <c r="J43" s="1003"/>
      <c r="K43" s="1005"/>
      <c r="L43" s="694"/>
      <c r="M43" s="693"/>
      <c r="N43" s="176"/>
      <c r="O43" s="1368"/>
      <c r="P43" s="267"/>
      <c r="Q43" s="175"/>
      <c r="R43" s="175"/>
      <c r="S43" s="175"/>
      <c r="T43" s="175"/>
      <c r="U43" s="175"/>
      <c r="V43" s="175"/>
      <c r="W43" s="175"/>
      <c r="X43" s="175"/>
      <c r="Y43" s="175"/>
      <c r="Z43" s="175"/>
      <c r="AA43" s="175"/>
      <c r="AB43" s="207">
        <f t="shared" si="8"/>
        <v>0</v>
      </c>
      <c r="AC43" s="447">
        <f t="shared" si="9"/>
        <v>0</v>
      </c>
      <c r="AE43" s="1203" t="s">
        <v>363</v>
      </c>
      <c r="AF43" s="1007"/>
      <c r="AG43" s="1007"/>
      <c r="AH43" s="1113">
        <f t="shared" si="10"/>
        <v>0</v>
      </c>
      <c r="AI43" s="695">
        <v>6600000</v>
      </c>
      <c r="AJ43" s="1215">
        <f t="shared" si="11"/>
        <v>6600000</v>
      </c>
      <c r="AK43" s="1137"/>
    </row>
    <row r="44" spans="1:37" s="696" customFormat="1">
      <c r="A44" s="96" t="s">
        <v>64</v>
      </c>
      <c r="B44" s="1111">
        <f t="shared" si="12"/>
        <v>0</v>
      </c>
      <c r="C44" s="94" t="s">
        <v>44</v>
      </c>
      <c r="D44" s="94" t="s">
        <v>903</v>
      </c>
      <c r="E44" s="94" t="s">
        <v>901</v>
      </c>
      <c r="F44" s="94" t="s">
        <v>901</v>
      </c>
      <c r="G44" s="95" t="s">
        <v>61</v>
      </c>
      <c r="H44" s="1353" t="s">
        <v>188</v>
      </c>
      <c r="I44" s="1122">
        <v>0</v>
      </c>
      <c r="J44" s="278"/>
      <c r="K44" s="693"/>
      <c r="L44" s="1123"/>
      <c r="M44" s="1124"/>
      <c r="N44" s="175"/>
      <c r="O44" s="263"/>
      <c r="P44" s="267"/>
      <c r="Q44" s="175"/>
      <c r="R44" s="175"/>
      <c r="S44" s="175"/>
      <c r="T44" s="175"/>
      <c r="U44" s="175"/>
      <c r="V44" s="175"/>
      <c r="W44" s="175"/>
      <c r="X44" s="175"/>
      <c r="Y44" s="175"/>
      <c r="Z44" s="175"/>
      <c r="AA44" s="175"/>
      <c r="AB44" s="207">
        <f t="shared" si="8"/>
        <v>0</v>
      </c>
      <c r="AC44" s="447">
        <f t="shared" si="9"/>
        <v>0</v>
      </c>
      <c r="AE44" s="1204"/>
      <c r="AF44" s="1007"/>
      <c r="AG44" s="1007"/>
      <c r="AH44" s="1113">
        <f t="shared" si="10"/>
        <v>0</v>
      </c>
      <c r="AI44" s="695"/>
      <c r="AJ44" s="1215">
        <f t="shared" si="11"/>
        <v>0</v>
      </c>
      <c r="AK44" s="1137"/>
    </row>
    <row r="45" spans="1:37" s="9" customFormat="1">
      <c r="A45" s="190" t="s">
        <v>31</v>
      </c>
      <c r="B45" s="310">
        <f>B34-SUM(B35:B44)</f>
        <v>296643692</v>
      </c>
      <c r="C45" s="92"/>
      <c r="D45" s="92"/>
      <c r="E45" s="92"/>
      <c r="F45" s="92"/>
      <c r="G45" s="93"/>
      <c r="H45" s="1307"/>
      <c r="I45" s="236"/>
      <c r="J45" s="325"/>
      <c r="K45" s="119"/>
      <c r="L45" s="164">
        <f>SUM(L35:L44)</f>
        <v>71846308</v>
      </c>
      <c r="M45" s="119"/>
      <c r="N45" s="164">
        <f>SUM(N35:N44)</f>
        <v>19360000</v>
      </c>
      <c r="O45" s="271"/>
      <c r="P45" s="164">
        <f t="shared" ref="P45:AC45" si="13">SUM(P35:P44)</f>
        <v>0</v>
      </c>
      <c r="Q45" s="164">
        <f t="shared" si="13"/>
        <v>0</v>
      </c>
      <c r="R45" s="164">
        <f t="shared" si="13"/>
        <v>4986695</v>
      </c>
      <c r="S45" s="164">
        <f t="shared" si="13"/>
        <v>0</v>
      </c>
      <c r="T45" s="164">
        <f t="shared" si="13"/>
        <v>0</v>
      </c>
      <c r="U45" s="164">
        <f t="shared" si="13"/>
        <v>0</v>
      </c>
      <c r="V45" s="164">
        <f t="shared" si="13"/>
        <v>0</v>
      </c>
      <c r="W45" s="164">
        <f t="shared" si="13"/>
        <v>0</v>
      </c>
      <c r="X45" s="164">
        <f t="shared" si="13"/>
        <v>0</v>
      </c>
      <c r="Y45" s="164">
        <f t="shared" si="13"/>
        <v>0</v>
      </c>
      <c r="Z45" s="164">
        <f t="shared" si="13"/>
        <v>0</v>
      </c>
      <c r="AA45" s="164">
        <f t="shared" si="13"/>
        <v>0</v>
      </c>
      <c r="AB45" s="164">
        <f t="shared" si="13"/>
        <v>4986695</v>
      </c>
      <c r="AC45" s="164">
        <f t="shared" si="13"/>
        <v>14373305</v>
      </c>
      <c r="AE45" s="1180"/>
      <c r="AF45" s="15"/>
      <c r="AG45" s="15"/>
      <c r="AH45" s="119"/>
      <c r="AI45" s="15">
        <f>SUM(AI35:AI44)</f>
        <v>368490000</v>
      </c>
      <c r="AJ45" s="206">
        <f>SUM(AJ35:AJ44)</f>
        <v>349130000</v>
      </c>
      <c r="AK45" s="1137">
        <f>B34-AI45</f>
        <v>0</v>
      </c>
    </row>
    <row r="46" spans="1:37" s="9" customFormat="1" ht="51">
      <c r="A46" s="1011" t="s">
        <v>64</v>
      </c>
      <c r="B46" s="561">
        <v>140000000</v>
      </c>
      <c r="C46" s="999" t="s">
        <v>44</v>
      </c>
      <c r="D46" s="999" t="s">
        <v>904</v>
      </c>
      <c r="E46" s="999" t="s">
        <v>59</v>
      </c>
      <c r="F46" s="999" t="s">
        <v>63</v>
      </c>
      <c r="G46" s="1023" t="s">
        <v>61</v>
      </c>
      <c r="H46" s="1340"/>
      <c r="I46" s="428">
        <v>0</v>
      </c>
      <c r="J46" s="534"/>
      <c r="K46" s="521"/>
      <c r="L46" s="429"/>
      <c r="M46" s="521"/>
      <c r="N46" s="390"/>
      <c r="O46" s="430"/>
      <c r="P46" s="394"/>
      <c r="Q46" s="390"/>
      <c r="R46" s="390"/>
      <c r="S46" s="390"/>
      <c r="T46" s="390"/>
      <c r="U46" s="390"/>
      <c r="V46" s="390"/>
      <c r="W46" s="390"/>
      <c r="X46" s="390"/>
      <c r="Y46" s="390"/>
      <c r="Z46" s="390"/>
      <c r="AA46" s="390"/>
      <c r="AB46" s="396"/>
      <c r="AC46" s="449"/>
      <c r="AE46" s="1204"/>
      <c r="AF46" s="291"/>
      <c r="AG46" s="291"/>
      <c r="AH46" s="1113"/>
      <c r="AI46" s="356"/>
      <c r="AJ46" s="1207"/>
      <c r="AK46" s="1137"/>
    </row>
    <row r="47" spans="1:37" s="696" customFormat="1">
      <c r="A47" s="96" t="s">
        <v>64</v>
      </c>
      <c r="B47" s="1111">
        <f t="shared" ref="B47:B52" si="14">L47</f>
        <v>0</v>
      </c>
      <c r="C47" s="94" t="s">
        <v>44</v>
      </c>
      <c r="D47" s="94" t="s">
        <v>904</v>
      </c>
      <c r="E47" s="94" t="s">
        <v>901</v>
      </c>
      <c r="F47" s="94" t="s">
        <v>901</v>
      </c>
      <c r="G47" s="95" t="s">
        <v>61</v>
      </c>
      <c r="H47" s="1204">
        <v>167</v>
      </c>
      <c r="I47" s="1122">
        <v>0</v>
      </c>
      <c r="J47" s="1003"/>
      <c r="K47" s="1365"/>
      <c r="L47" s="1004"/>
      <c r="M47" s="1005"/>
      <c r="N47" s="175"/>
      <c r="O47" s="263"/>
      <c r="P47" s="267"/>
      <c r="Q47" s="175"/>
      <c r="R47" s="175"/>
      <c r="S47" s="175"/>
      <c r="T47" s="175"/>
      <c r="U47" s="175"/>
      <c r="V47" s="175"/>
      <c r="W47" s="175"/>
      <c r="X47" s="175"/>
      <c r="Y47" s="175"/>
      <c r="Z47" s="175"/>
      <c r="AA47" s="175"/>
      <c r="AB47" s="207">
        <f t="shared" ref="AB47:AB52" si="15">SUM(P47:AA47)</f>
        <v>0</v>
      </c>
      <c r="AC47" s="447">
        <f t="shared" ref="AC47:AC52" si="16">N47-AB47</f>
        <v>0</v>
      </c>
      <c r="AE47" s="1204">
        <v>167</v>
      </c>
      <c r="AF47" s="1007" t="s">
        <v>376</v>
      </c>
      <c r="AG47" s="410" t="s">
        <v>188</v>
      </c>
      <c r="AH47" s="1113">
        <f t="shared" ref="AH47:AH52" si="17">O47</f>
        <v>0</v>
      </c>
      <c r="AI47" s="695">
        <v>50000000</v>
      </c>
      <c r="AJ47" s="1215">
        <f>AI47-N47</f>
        <v>50000000</v>
      </c>
      <c r="AK47" s="1137"/>
    </row>
    <row r="48" spans="1:37" s="696" customFormat="1">
      <c r="A48" s="96" t="s">
        <v>64</v>
      </c>
      <c r="B48" s="1111">
        <f t="shared" si="14"/>
        <v>39033167</v>
      </c>
      <c r="C48" s="94" t="s">
        <v>44</v>
      </c>
      <c r="D48" s="94" t="s">
        <v>904</v>
      </c>
      <c r="E48" s="94" t="s">
        <v>901</v>
      </c>
      <c r="F48" s="94" t="s">
        <v>901</v>
      </c>
      <c r="G48" s="95" t="s">
        <v>61</v>
      </c>
      <c r="H48" s="1204">
        <v>204</v>
      </c>
      <c r="I48" s="1122">
        <v>0</v>
      </c>
      <c r="J48" s="1003"/>
      <c r="K48" s="1365">
        <v>365</v>
      </c>
      <c r="L48" s="694">
        <v>39033167</v>
      </c>
      <c r="M48" s="1005"/>
      <c r="N48" s="175"/>
      <c r="O48" s="263"/>
      <c r="P48" s="267"/>
      <c r="Q48" s="175"/>
      <c r="R48" s="175"/>
      <c r="S48" s="175"/>
      <c r="T48" s="175"/>
      <c r="U48" s="175"/>
      <c r="V48" s="175"/>
      <c r="W48" s="175"/>
      <c r="X48" s="175"/>
      <c r="Y48" s="175"/>
      <c r="Z48" s="175"/>
      <c r="AA48" s="175"/>
      <c r="AB48" s="207">
        <f t="shared" si="15"/>
        <v>0</v>
      </c>
      <c r="AC48" s="447">
        <f t="shared" si="16"/>
        <v>0</v>
      </c>
      <c r="AE48" s="1204">
        <v>204</v>
      </c>
      <c r="AF48" s="1007" t="s">
        <v>377</v>
      </c>
      <c r="AG48" s="410" t="s">
        <v>188</v>
      </c>
      <c r="AH48" s="1113">
        <f t="shared" si="17"/>
        <v>0</v>
      </c>
      <c r="AI48" s="695">
        <f>50000000-10930000</f>
        <v>39070000</v>
      </c>
      <c r="AJ48" s="1215">
        <f>AI48-N48</f>
        <v>39070000</v>
      </c>
      <c r="AK48" s="1137"/>
    </row>
    <row r="49" spans="1:37" s="696" customFormat="1">
      <c r="A49" s="96" t="s">
        <v>64</v>
      </c>
      <c r="B49" s="1111">
        <f t="shared" si="14"/>
        <v>0</v>
      </c>
      <c r="C49" s="94" t="s">
        <v>44</v>
      </c>
      <c r="D49" s="94" t="s">
        <v>904</v>
      </c>
      <c r="E49" s="94" t="s">
        <v>901</v>
      </c>
      <c r="F49" s="94" t="s">
        <v>901</v>
      </c>
      <c r="G49" s="95" t="s">
        <v>61</v>
      </c>
      <c r="H49" s="1204">
        <v>205</v>
      </c>
      <c r="I49" s="1122">
        <v>0</v>
      </c>
      <c r="J49" s="1003"/>
      <c r="K49" s="1365"/>
      <c r="L49" s="1004"/>
      <c r="M49" s="1005"/>
      <c r="N49" s="175"/>
      <c r="O49" s="263"/>
      <c r="P49" s="267"/>
      <c r="Q49" s="175"/>
      <c r="R49" s="175"/>
      <c r="S49" s="175"/>
      <c r="T49" s="175"/>
      <c r="U49" s="175"/>
      <c r="V49" s="175"/>
      <c r="W49" s="175"/>
      <c r="X49" s="175"/>
      <c r="Y49" s="175"/>
      <c r="Z49" s="175"/>
      <c r="AA49" s="175"/>
      <c r="AB49" s="207">
        <f t="shared" si="15"/>
        <v>0</v>
      </c>
      <c r="AC49" s="447">
        <f t="shared" si="16"/>
        <v>0</v>
      </c>
      <c r="AE49" s="1204">
        <v>205</v>
      </c>
      <c r="AF49" s="1007" t="s">
        <v>347</v>
      </c>
      <c r="AG49" s="410" t="s">
        <v>188</v>
      </c>
      <c r="AH49" s="571">
        <f t="shared" si="17"/>
        <v>0</v>
      </c>
      <c r="AI49" s="695">
        <v>40000000</v>
      </c>
      <c r="AJ49" s="1215">
        <f>AI49-N49</f>
        <v>40000000</v>
      </c>
      <c r="AK49" s="1137"/>
    </row>
    <row r="50" spans="1:37" s="696" customFormat="1">
      <c r="A50" s="96" t="s">
        <v>64</v>
      </c>
      <c r="B50" s="1111">
        <f t="shared" si="14"/>
        <v>10930000</v>
      </c>
      <c r="C50" s="94" t="s">
        <v>44</v>
      </c>
      <c r="D50" s="94" t="s">
        <v>904</v>
      </c>
      <c r="E50" s="94" t="s">
        <v>901</v>
      </c>
      <c r="F50" s="94" t="s">
        <v>901</v>
      </c>
      <c r="G50" s="95" t="s">
        <v>61</v>
      </c>
      <c r="H50" s="1204" t="s">
        <v>363</v>
      </c>
      <c r="I50" s="1122"/>
      <c r="J50" s="1003"/>
      <c r="K50" s="1365">
        <v>337</v>
      </c>
      <c r="L50" s="694">
        <v>10930000</v>
      </c>
      <c r="M50" s="693">
        <v>326</v>
      </c>
      <c r="N50" s="175">
        <v>10930000</v>
      </c>
      <c r="O50" s="1651" t="s">
        <v>837</v>
      </c>
      <c r="P50" s="267"/>
      <c r="Q50" s="175"/>
      <c r="R50" s="175"/>
      <c r="S50" s="175"/>
      <c r="T50" s="175"/>
      <c r="U50" s="175"/>
      <c r="V50" s="175"/>
      <c r="W50" s="175"/>
      <c r="X50" s="175"/>
      <c r="Y50" s="175"/>
      <c r="Z50" s="175"/>
      <c r="AA50" s="175"/>
      <c r="AB50" s="207"/>
      <c r="AC50" s="447"/>
      <c r="AE50" s="1204" t="s">
        <v>363</v>
      </c>
      <c r="AF50" s="1007" t="s">
        <v>833</v>
      </c>
      <c r="AG50" s="410" t="s">
        <v>851</v>
      </c>
      <c r="AH50" s="571" t="str">
        <f t="shared" si="17"/>
        <v>295/2018</v>
      </c>
      <c r="AI50" s="695">
        <v>10930000</v>
      </c>
      <c r="AJ50" s="1215"/>
      <c r="AK50" s="1137"/>
    </row>
    <row r="51" spans="1:37" s="696" customFormat="1">
      <c r="A51" s="96" t="s">
        <v>64</v>
      </c>
      <c r="B51" s="1111">
        <f t="shared" si="14"/>
        <v>0</v>
      </c>
      <c r="C51" s="94" t="s">
        <v>44</v>
      </c>
      <c r="D51" s="94" t="s">
        <v>904</v>
      </c>
      <c r="E51" s="94" t="s">
        <v>901</v>
      </c>
      <c r="F51" s="94" t="s">
        <v>901</v>
      </c>
      <c r="G51" s="95" t="s">
        <v>61</v>
      </c>
      <c r="H51" s="1353" t="s">
        <v>188</v>
      </c>
      <c r="I51" s="1122">
        <v>0</v>
      </c>
      <c r="J51" s="1003"/>
      <c r="K51" s="1005"/>
      <c r="L51" s="1004"/>
      <c r="M51" s="1005"/>
      <c r="N51" s="175"/>
      <c r="O51" s="263"/>
      <c r="P51" s="267"/>
      <c r="Q51" s="175"/>
      <c r="R51" s="175"/>
      <c r="S51" s="175"/>
      <c r="T51" s="175"/>
      <c r="U51" s="175"/>
      <c r="V51" s="175"/>
      <c r="W51" s="175"/>
      <c r="X51" s="175"/>
      <c r="Y51" s="175"/>
      <c r="Z51" s="175"/>
      <c r="AA51" s="175"/>
      <c r="AB51" s="207">
        <f t="shared" si="15"/>
        <v>0</v>
      </c>
      <c r="AC51" s="447">
        <f t="shared" si="16"/>
        <v>0</v>
      </c>
      <c r="AE51" s="1204"/>
      <c r="AF51" s="1007"/>
      <c r="AG51" s="410" t="s">
        <v>188</v>
      </c>
      <c r="AH51" s="1113">
        <f t="shared" si="17"/>
        <v>0</v>
      </c>
      <c r="AI51" s="695"/>
      <c r="AJ51" s="1215">
        <f>AI51-N51</f>
        <v>0</v>
      </c>
      <c r="AK51" s="1137"/>
    </row>
    <row r="52" spans="1:37" s="696" customFormat="1">
      <c r="A52" s="96" t="s">
        <v>64</v>
      </c>
      <c r="B52" s="1111">
        <f t="shared" si="14"/>
        <v>0</v>
      </c>
      <c r="C52" s="94" t="s">
        <v>44</v>
      </c>
      <c r="D52" s="94" t="s">
        <v>904</v>
      </c>
      <c r="E52" s="94" t="s">
        <v>901</v>
      </c>
      <c r="F52" s="94" t="s">
        <v>901</v>
      </c>
      <c r="G52" s="95" t="s">
        <v>61</v>
      </c>
      <c r="H52" s="1353" t="s">
        <v>188</v>
      </c>
      <c r="I52" s="1122">
        <v>0</v>
      </c>
      <c r="J52" s="260"/>
      <c r="K52" s="693"/>
      <c r="L52" s="694"/>
      <c r="M52" s="693"/>
      <c r="N52" s="175"/>
      <c r="O52" s="263"/>
      <c r="P52" s="267"/>
      <c r="Q52" s="175"/>
      <c r="R52" s="175"/>
      <c r="S52" s="175"/>
      <c r="T52" s="175"/>
      <c r="U52" s="175"/>
      <c r="V52" s="175"/>
      <c r="W52" s="175"/>
      <c r="X52" s="175"/>
      <c r="Y52" s="175"/>
      <c r="Z52" s="175"/>
      <c r="AA52" s="175"/>
      <c r="AB52" s="207">
        <f t="shared" si="15"/>
        <v>0</v>
      </c>
      <c r="AC52" s="447">
        <f t="shared" si="16"/>
        <v>0</v>
      </c>
      <c r="AE52" s="1204"/>
      <c r="AF52" s="1007"/>
      <c r="AG52" s="410" t="s">
        <v>188</v>
      </c>
      <c r="AH52" s="1113">
        <f t="shared" si="17"/>
        <v>0</v>
      </c>
      <c r="AI52" s="695"/>
      <c r="AJ52" s="1215">
        <f>AI52-N52</f>
        <v>0</v>
      </c>
      <c r="AK52" s="1137"/>
    </row>
    <row r="53" spans="1:37" s="9" customFormat="1">
      <c r="A53" s="190" t="s">
        <v>31</v>
      </c>
      <c r="B53" s="310">
        <f>B46-SUM(B47:B52)</f>
        <v>90036833</v>
      </c>
      <c r="C53" s="92"/>
      <c r="D53" s="92"/>
      <c r="E53" s="92"/>
      <c r="F53" s="92"/>
      <c r="G53" s="93"/>
      <c r="H53" s="1307"/>
      <c r="I53" s="236"/>
      <c r="J53" s="325"/>
      <c r="K53" s="119"/>
      <c r="L53" s="164">
        <f>SUM(L47:L52)</f>
        <v>49963167</v>
      </c>
      <c r="M53" s="119"/>
      <c r="N53" s="164">
        <f>SUM(N47:N52)</f>
        <v>10930000</v>
      </c>
      <c r="O53" s="271"/>
      <c r="P53" s="164">
        <f t="shared" ref="P53:AC53" si="18">SUM(P47:P52)</f>
        <v>0</v>
      </c>
      <c r="Q53" s="164">
        <f t="shared" si="18"/>
        <v>0</v>
      </c>
      <c r="R53" s="164">
        <f>SUM(R47:R52)</f>
        <v>0</v>
      </c>
      <c r="S53" s="164">
        <f t="shared" si="18"/>
        <v>0</v>
      </c>
      <c r="T53" s="164">
        <f t="shared" si="18"/>
        <v>0</v>
      </c>
      <c r="U53" s="164">
        <f t="shared" si="18"/>
        <v>0</v>
      </c>
      <c r="V53" s="164">
        <f t="shared" si="18"/>
        <v>0</v>
      </c>
      <c r="W53" s="164">
        <f t="shared" si="18"/>
        <v>0</v>
      </c>
      <c r="X53" s="164">
        <f t="shared" si="18"/>
        <v>0</v>
      </c>
      <c r="Y53" s="164">
        <f t="shared" si="18"/>
        <v>0</v>
      </c>
      <c r="Z53" s="164">
        <f t="shared" si="18"/>
        <v>0</v>
      </c>
      <c r="AA53" s="164">
        <f t="shared" si="18"/>
        <v>0</v>
      </c>
      <c r="AB53" s="164">
        <f t="shared" si="18"/>
        <v>0</v>
      </c>
      <c r="AC53" s="164">
        <f t="shared" si="18"/>
        <v>0</v>
      </c>
      <c r="AE53" s="1180"/>
      <c r="AF53" s="15"/>
      <c r="AG53" s="15"/>
      <c r="AH53" s="119"/>
      <c r="AI53" s="15">
        <f>SUM(AI47:AI52)</f>
        <v>140000000</v>
      </c>
      <c r="AJ53" s="206">
        <f>SUM(AJ47:AJ52)</f>
        <v>129070000</v>
      </c>
      <c r="AK53" s="1137">
        <f>B46-AI53</f>
        <v>0</v>
      </c>
    </row>
    <row r="54" spans="1:37" s="7" customFormat="1" ht="63.75">
      <c r="A54" s="683" t="s">
        <v>118</v>
      </c>
      <c r="B54" s="560">
        <f>267410000+57270000</f>
        <v>324680000</v>
      </c>
      <c r="C54" s="1001" t="s">
        <v>44</v>
      </c>
      <c r="D54" s="1001" t="s">
        <v>905</v>
      </c>
      <c r="E54" s="1001" t="s">
        <v>901</v>
      </c>
      <c r="F54" s="1001" t="s">
        <v>901</v>
      </c>
      <c r="G54" s="1024" t="s">
        <v>61</v>
      </c>
      <c r="H54" s="1341"/>
      <c r="I54" s="437">
        <v>0</v>
      </c>
      <c r="J54" s="536"/>
      <c r="K54" s="522"/>
      <c r="L54" s="432"/>
      <c r="M54" s="522"/>
      <c r="N54" s="433"/>
      <c r="O54" s="434"/>
      <c r="P54" s="435"/>
      <c r="Q54" s="433"/>
      <c r="R54" s="433"/>
      <c r="S54" s="433"/>
      <c r="T54" s="433"/>
      <c r="U54" s="433"/>
      <c r="V54" s="433"/>
      <c r="W54" s="433"/>
      <c r="X54" s="433"/>
      <c r="Y54" s="433"/>
      <c r="Z54" s="433"/>
      <c r="AA54" s="433"/>
      <c r="AB54" s="436"/>
      <c r="AC54" s="451"/>
      <c r="AE54" s="1216"/>
      <c r="AF54" s="290"/>
      <c r="AG54" s="290"/>
      <c r="AH54" s="1458"/>
      <c r="AI54" s="1126"/>
      <c r="AJ54" s="1199"/>
      <c r="AK54" s="1137"/>
    </row>
    <row r="55" spans="1:37" s="1130" customFormat="1">
      <c r="A55" s="1127" t="s">
        <v>65</v>
      </c>
      <c r="B55" s="1111">
        <f>L55</f>
        <v>45320000</v>
      </c>
      <c r="C55" s="104" t="s">
        <v>44</v>
      </c>
      <c r="D55" s="104" t="s">
        <v>905</v>
      </c>
      <c r="E55" s="104" t="s">
        <v>901</v>
      </c>
      <c r="F55" s="104" t="s">
        <v>901</v>
      </c>
      <c r="G55" s="105" t="s">
        <v>61</v>
      </c>
      <c r="H55" s="1218">
        <v>123</v>
      </c>
      <c r="I55" s="1122">
        <v>0</v>
      </c>
      <c r="J55" s="1128"/>
      <c r="K55" s="1365">
        <v>100</v>
      </c>
      <c r="L55" s="694">
        <v>45320000</v>
      </c>
      <c r="M55" s="571">
        <v>266</v>
      </c>
      <c r="N55" s="176">
        <v>43260000</v>
      </c>
      <c r="O55" s="1368">
        <v>235</v>
      </c>
      <c r="P55" s="268"/>
      <c r="Q55" s="175"/>
      <c r="R55" s="175">
        <v>2746666</v>
      </c>
      <c r="S55" s="174"/>
      <c r="T55" s="174"/>
      <c r="U55" s="174"/>
      <c r="V55" s="174"/>
      <c r="W55" s="174"/>
      <c r="X55" s="174"/>
      <c r="Y55" s="174"/>
      <c r="Z55" s="174"/>
      <c r="AA55" s="174"/>
      <c r="AB55" s="207">
        <f t="shared" ref="AB55:AB60" si="19">SUM(P55:AA55)</f>
        <v>2746666</v>
      </c>
      <c r="AC55" s="447">
        <f t="shared" ref="AC55:AC61" si="20">N55-AB55</f>
        <v>40513334</v>
      </c>
      <c r="AE55" s="1218">
        <v>123</v>
      </c>
      <c r="AF55" s="1154" t="s">
        <v>378</v>
      </c>
      <c r="AG55" s="1154" t="s">
        <v>723</v>
      </c>
      <c r="AH55" s="1113">
        <f t="shared" ref="AH55:AH61" si="21">O55</f>
        <v>235</v>
      </c>
      <c r="AI55" s="1147">
        <f>45320000-4120000</f>
        <v>41200000</v>
      </c>
      <c r="AJ55" s="1215">
        <f t="shared" ref="AJ55:AJ61" si="22">AI55-N55</f>
        <v>-2060000</v>
      </c>
      <c r="AK55" s="1137"/>
    </row>
    <row r="56" spans="1:37" s="1130" customFormat="1">
      <c r="A56" s="1127" t="s">
        <v>65</v>
      </c>
      <c r="B56" s="1111">
        <f t="shared" ref="B56:B61" si="23">L56</f>
        <v>62370000</v>
      </c>
      <c r="C56" s="104" t="s">
        <v>44</v>
      </c>
      <c r="D56" s="104" t="s">
        <v>905</v>
      </c>
      <c r="E56" s="104" t="s">
        <v>901</v>
      </c>
      <c r="F56" s="104" t="s">
        <v>901</v>
      </c>
      <c r="G56" s="105" t="s">
        <v>61</v>
      </c>
      <c r="H56" s="1218">
        <v>131</v>
      </c>
      <c r="I56" s="1122">
        <v>0</v>
      </c>
      <c r="J56" s="1128"/>
      <c r="K56" s="1365">
        <v>101</v>
      </c>
      <c r="L56" s="694">
        <v>62370000</v>
      </c>
      <c r="M56" s="571">
        <v>116</v>
      </c>
      <c r="N56" s="185">
        <v>62370000</v>
      </c>
      <c r="O56" s="263">
        <v>113</v>
      </c>
      <c r="P56" s="268"/>
      <c r="Q56" s="175">
        <v>1512000</v>
      </c>
      <c r="R56" s="175">
        <v>5670000</v>
      </c>
      <c r="S56" s="174"/>
      <c r="T56" s="174"/>
      <c r="U56" s="174"/>
      <c r="V56" s="174"/>
      <c r="W56" s="174"/>
      <c r="X56" s="174"/>
      <c r="Y56" s="174"/>
      <c r="Z56" s="174"/>
      <c r="AA56" s="174"/>
      <c r="AB56" s="207">
        <f t="shared" si="19"/>
        <v>7182000</v>
      </c>
      <c r="AC56" s="447">
        <f t="shared" si="20"/>
        <v>55188000</v>
      </c>
      <c r="AE56" s="1218">
        <v>131</v>
      </c>
      <c r="AF56" s="1154" t="s">
        <v>379</v>
      </c>
      <c r="AG56" s="313" t="s">
        <v>724</v>
      </c>
      <c r="AH56" s="1113">
        <f t="shared" si="21"/>
        <v>113</v>
      </c>
      <c r="AI56" s="1147">
        <v>62370000</v>
      </c>
      <c r="AJ56" s="1215">
        <f t="shared" si="22"/>
        <v>0</v>
      </c>
      <c r="AK56" s="1137"/>
    </row>
    <row r="57" spans="1:37" s="1130" customFormat="1">
      <c r="A57" s="1127" t="s">
        <v>65</v>
      </c>
      <c r="B57" s="1111">
        <f t="shared" si="23"/>
        <v>58960000</v>
      </c>
      <c r="C57" s="104" t="s">
        <v>44</v>
      </c>
      <c r="D57" s="104" t="s">
        <v>905</v>
      </c>
      <c r="E57" s="104" t="s">
        <v>901</v>
      </c>
      <c r="F57" s="104" t="s">
        <v>901</v>
      </c>
      <c r="G57" s="105" t="s">
        <v>61</v>
      </c>
      <c r="H57" s="1218">
        <v>146</v>
      </c>
      <c r="I57" s="1122">
        <v>0</v>
      </c>
      <c r="J57" s="1128"/>
      <c r="K57" s="1365">
        <v>181</v>
      </c>
      <c r="L57" s="694">
        <v>58960000</v>
      </c>
      <c r="M57" s="571">
        <v>178</v>
      </c>
      <c r="N57" s="185">
        <v>58960000</v>
      </c>
      <c r="O57" s="263">
        <v>161</v>
      </c>
      <c r="P57" s="268"/>
      <c r="Q57" s="175"/>
      <c r="R57" s="175">
        <v>5538667</v>
      </c>
      <c r="S57" s="174"/>
      <c r="T57" s="174"/>
      <c r="U57" s="174"/>
      <c r="V57" s="174"/>
      <c r="W57" s="174"/>
      <c r="X57" s="174"/>
      <c r="Y57" s="174"/>
      <c r="Z57" s="174"/>
      <c r="AA57" s="174"/>
      <c r="AB57" s="207">
        <f t="shared" si="19"/>
        <v>5538667</v>
      </c>
      <c r="AC57" s="447">
        <f t="shared" si="20"/>
        <v>53421333</v>
      </c>
      <c r="AE57" s="1218">
        <v>146</v>
      </c>
      <c r="AF57" s="1154" t="s">
        <v>380</v>
      </c>
      <c r="AG57" s="313" t="s">
        <v>725</v>
      </c>
      <c r="AH57" s="1113">
        <f t="shared" si="21"/>
        <v>161</v>
      </c>
      <c r="AI57" s="1147">
        <v>58960000</v>
      </c>
      <c r="AJ57" s="1215">
        <f t="shared" si="22"/>
        <v>0</v>
      </c>
      <c r="AK57" s="1137"/>
    </row>
    <row r="58" spans="1:37" s="1130" customFormat="1">
      <c r="A58" s="1127" t="s">
        <v>65</v>
      </c>
      <c r="B58" s="1111">
        <f t="shared" si="23"/>
        <v>38280000</v>
      </c>
      <c r="C58" s="104" t="s">
        <v>44</v>
      </c>
      <c r="D58" s="104" t="s">
        <v>905</v>
      </c>
      <c r="E58" s="104" t="s">
        <v>901</v>
      </c>
      <c r="F58" s="104" t="s">
        <v>901</v>
      </c>
      <c r="G58" s="105" t="s">
        <v>61</v>
      </c>
      <c r="H58" s="1218">
        <v>157</v>
      </c>
      <c r="I58" s="1122">
        <v>0</v>
      </c>
      <c r="J58" s="1128"/>
      <c r="K58" s="1365">
        <v>149</v>
      </c>
      <c r="L58" s="694">
        <v>38280000</v>
      </c>
      <c r="M58" s="571">
        <v>95</v>
      </c>
      <c r="N58" s="185">
        <v>38280000</v>
      </c>
      <c r="O58" s="263">
        <v>131</v>
      </c>
      <c r="P58" s="268"/>
      <c r="Q58" s="175">
        <v>1160000</v>
      </c>
      <c r="R58" s="175">
        <v>3480000</v>
      </c>
      <c r="S58" s="174"/>
      <c r="T58" s="174"/>
      <c r="U58" s="174"/>
      <c r="V58" s="174"/>
      <c r="W58" s="174"/>
      <c r="X58" s="174"/>
      <c r="Y58" s="174"/>
      <c r="Z58" s="174"/>
      <c r="AA58" s="174"/>
      <c r="AB58" s="207">
        <f t="shared" si="19"/>
        <v>4640000</v>
      </c>
      <c r="AC58" s="447">
        <f t="shared" si="20"/>
        <v>33640000</v>
      </c>
      <c r="AE58" s="1218">
        <v>157</v>
      </c>
      <c r="AF58" s="1154" t="s">
        <v>381</v>
      </c>
      <c r="AG58" s="313" t="s">
        <v>726</v>
      </c>
      <c r="AH58" s="1113">
        <f t="shared" si="21"/>
        <v>131</v>
      </c>
      <c r="AI58" s="1147">
        <v>38280000</v>
      </c>
      <c r="AJ58" s="1215">
        <f t="shared" si="22"/>
        <v>0</v>
      </c>
      <c r="AK58" s="1137"/>
    </row>
    <row r="59" spans="1:37" s="1130" customFormat="1">
      <c r="A59" s="1127" t="s">
        <v>65</v>
      </c>
      <c r="B59" s="1111">
        <f t="shared" si="23"/>
        <v>62480000</v>
      </c>
      <c r="C59" s="104" t="s">
        <v>44</v>
      </c>
      <c r="D59" s="104" t="s">
        <v>905</v>
      </c>
      <c r="E59" s="104" t="s">
        <v>901</v>
      </c>
      <c r="F59" s="104" t="s">
        <v>901</v>
      </c>
      <c r="G59" s="105" t="s">
        <v>61</v>
      </c>
      <c r="H59" s="1218">
        <v>173</v>
      </c>
      <c r="I59" s="1122">
        <v>0</v>
      </c>
      <c r="J59" s="1128"/>
      <c r="K59" s="1365">
        <v>182</v>
      </c>
      <c r="L59" s="694">
        <v>62480000</v>
      </c>
      <c r="M59" s="571">
        <v>195</v>
      </c>
      <c r="N59" s="185">
        <v>62480000</v>
      </c>
      <c r="O59" s="263">
        <v>172</v>
      </c>
      <c r="P59" s="268"/>
      <c r="Q59" s="175"/>
      <c r="R59" s="175">
        <v>5680000</v>
      </c>
      <c r="S59" s="174"/>
      <c r="T59" s="174"/>
      <c r="U59" s="174"/>
      <c r="V59" s="174"/>
      <c r="W59" s="174"/>
      <c r="X59" s="174"/>
      <c r="Y59" s="174"/>
      <c r="Z59" s="174"/>
      <c r="AA59" s="174"/>
      <c r="AB59" s="207">
        <f t="shared" si="19"/>
        <v>5680000</v>
      </c>
      <c r="AC59" s="447">
        <f t="shared" si="20"/>
        <v>56800000</v>
      </c>
      <c r="AE59" s="1218">
        <v>173</v>
      </c>
      <c r="AF59" s="1154" t="s">
        <v>382</v>
      </c>
      <c r="AG59" s="313" t="s">
        <v>727</v>
      </c>
      <c r="AH59" s="1113">
        <f t="shared" si="21"/>
        <v>172</v>
      </c>
      <c r="AI59" s="1147">
        <v>62480000</v>
      </c>
      <c r="AJ59" s="1215">
        <f t="shared" si="22"/>
        <v>0</v>
      </c>
      <c r="AK59" s="1137"/>
    </row>
    <row r="60" spans="1:37" s="1130" customFormat="1">
      <c r="A60" s="1127" t="s">
        <v>65</v>
      </c>
      <c r="B60" s="1111">
        <f t="shared" si="23"/>
        <v>0</v>
      </c>
      <c r="C60" s="104" t="s">
        <v>44</v>
      </c>
      <c r="D60" s="104" t="s">
        <v>905</v>
      </c>
      <c r="E60" s="104" t="s">
        <v>901</v>
      </c>
      <c r="F60" s="104" t="s">
        <v>901</v>
      </c>
      <c r="G60" s="105" t="s">
        <v>61</v>
      </c>
      <c r="H60" s="1218">
        <v>434</v>
      </c>
      <c r="I60" s="1122">
        <v>0</v>
      </c>
      <c r="J60" s="1128"/>
      <c r="K60" s="1129"/>
      <c r="L60" s="694"/>
      <c r="M60" s="1129"/>
      <c r="N60" s="174"/>
      <c r="O60" s="1125"/>
      <c r="P60" s="268"/>
      <c r="Q60" s="174"/>
      <c r="R60" s="174"/>
      <c r="S60" s="174"/>
      <c r="T60" s="174"/>
      <c r="U60" s="174"/>
      <c r="V60" s="174"/>
      <c r="W60" s="174"/>
      <c r="X60" s="174"/>
      <c r="Y60" s="174"/>
      <c r="Z60" s="174"/>
      <c r="AA60" s="174"/>
      <c r="AB60" s="207">
        <f t="shared" si="19"/>
        <v>0</v>
      </c>
      <c r="AC60" s="447">
        <f t="shared" si="20"/>
        <v>0</v>
      </c>
      <c r="AE60" s="1218">
        <v>434</v>
      </c>
      <c r="AF60" s="1154" t="s">
        <v>538</v>
      </c>
      <c r="AG60" s="313" t="s">
        <v>188</v>
      </c>
      <c r="AH60" s="1113">
        <f t="shared" si="21"/>
        <v>0</v>
      </c>
      <c r="AI60" s="1147">
        <v>61390000</v>
      </c>
      <c r="AJ60" s="1215">
        <f t="shared" si="22"/>
        <v>61390000</v>
      </c>
      <c r="AK60" s="1137"/>
    </row>
    <row r="61" spans="1:37" s="696" customFormat="1">
      <c r="A61" s="1127" t="s">
        <v>65</v>
      </c>
      <c r="B61" s="1111">
        <f t="shared" si="23"/>
        <v>0</v>
      </c>
      <c r="C61" s="104" t="s">
        <v>44</v>
      </c>
      <c r="D61" s="104" t="s">
        <v>905</v>
      </c>
      <c r="E61" s="104" t="s">
        <v>901</v>
      </c>
      <c r="F61" s="104" t="s">
        <v>901</v>
      </c>
      <c r="G61" s="105" t="s">
        <v>61</v>
      </c>
      <c r="H61" s="1353" t="s">
        <v>188</v>
      </c>
      <c r="I61" s="1122">
        <v>0</v>
      </c>
      <c r="J61" s="260"/>
      <c r="K61" s="693"/>
      <c r="L61" s="694"/>
      <c r="M61" s="693"/>
      <c r="N61" s="175"/>
      <c r="O61" s="263"/>
      <c r="P61" s="267"/>
      <c r="Q61" s="175"/>
      <c r="R61" s="175"/>
      <c r="S61" s="175"/>
      <c r="T61" s="175"/>
      <c r="U61" s="175"/>
      <c r="V61" s="175"/>
      <c r="W61" s="175"/>
      <c r="X61" s="175"/>
      <c r="Y61" s="175"/>
      <c r="Z61" s="175"/>
      <c r="AA61" s="175"/>
      <c r="AB61" s="207">
        <f>SUM(P61:AA61)</f>
        <v>0</v>
      </c>
      <c r="AC61" s="447">
        <f t="shared" si="20"/>
        <v>0</v>
      </c>
      <c r="AE61" s="1218"/>
      <c r="AF61" s="1154"/>
      <c r="AG61" s="1154" t="s">
        <v>188</v>
      </c>
      <c r="AH61" s="1113">
        <f t="shared" si="21"/>
        <v>0</v>
      </c>
      <c r="AI61" s="1147"/>
      <c r="AJ61" s="1215">
        <f t="shared" si="22"/>
        <v>0</v>
      </c>
      <c r="AK61" s="1137"/>
    </row>
    <row r="62" spans="1:37" s="9" customFormat="1">
      <c r="A62" s="190" t="s">
        <v>31</v>
      </c>
      <c r="B62" s="310">
        <f>B54-SUM(B55:B61)</f>
        <v>57270000</v>
      </c>
      <c r="C62" s="92"/>
      <c r="D62" s="92"/>
      <c r="E62" s="92"/>
      <c r="F62" s="92"/>
      <c r="G62" s="93"/>
      <c r="H62" s="1307"/>
      <c r="I62" s="236"/>
      <c r="J62" s="325"/>
      <c r="K62" s="119"/>
      <c r="L62" s="164">
        <f>SUM(L55:L61)</f>
        <v>267410000</v>
      </c>
      <c r="M62" s="119"/>
      <c r="N62" s="164">
        <f>SUM(N55:N61)</f>
        <v>265350000</v>
      </c>
      <c r="O62" s="271"/>
      <c r="P62" s="164">
        <f>SUM(P55:P61)</f>
        <v>0</v>
      </c>
      <c r="Q62" s="164">
        <f>SUM(Q55:Q61)</f>
        <v>2672000</v>
      </c>
      <c r="R62" s="164">
        <f>SUM(R55:R61)</f>
        <v>23115333</v>
      </c>
      <c r="S62" s="164">
        <f t="shared" ref="S62:AC62" si="24">SUM(S55:S61)</f>
        <v>0</v>
      </c>
      <c r="T62" s="164">
        <f t="shared" si="24"/>
        <v>0</v>
      </c>
      <c r="U62" s="164">
        <f t="shared" si="24"/>
        <v>0</v>
      </c>
      <c r="V62" s="164">
        <f t="shared" si="24"/>
        <v>0</v>
      </c>
      <c r="W62" s="164">
        <f t="shared" si="24"/>
        <v>0</v>
      </c>
      <c r="X62" s="164">
        <f t="shared" si="24"/>
        <v>0</v>
      </c>
      <c r="Y62" s="164">
        <f t="shared" si="24"/>
        <v>0</v>
      </c>
      <c r="Z62" s="164">
        <f t="shared" si="24"/>
        <v>0</v>
      </c>
      <c r="AA62" s="164">
        <f t="shared" si="24"/>
        <v>0</v>
      </c>
      <c r="AB62" s="164">
        <f t="shared" si="24"/>
        <v>25787333</v>
      </c>
      <c r="AC62" s="164">
        <f t="shared" si="24"/>
        <v>239562667</v>
      </c>
      <c r="AE62" s="1180"/>
      <c r="AF62" s="15"/>
      <c r="AG62" s="15"/>
      <c r="AH62" s="119"/>
      <c r="AI62" s="15">
        <f>SUM(AI55:AI61)</f>
        <v>324680000</v>
      </c>
      <c r="AJ62" s="206">
        <f>SUM(AJ55:AJ61)</f>
        <v>59330000</v>
      </c>
      <c r="AK62" s="1137">
        <f>B54-AI62</f>
        <v>0</v>
      </c>
    </row>
    <row r="63" spans="1:37" s="7" customFormat="1" ht="63.75">
      <c r="A63" s="1010" t="s">
        <v>900</v>
      </c>
      <c r="B63" s="560">
        <f>600300000-32480000</f>
        <v>567820000</v>
      </c>
      <c r="C63" s="1000" t="s">
        <v>44</v>
      </c>
      <c r="D63" s="1000" t="s">
        <v>905</v>
      </c>
      <c r="E63" s="1000" t="s">
        <v>901</v>
      </c>
      <c r="F63" s="1000" t="s">
        <v>901</v>
      </c>
      <c r="G63" s="1025" t="s">
        <v>61</v>
      </c>
      <c r="H63" s="1342"/>
      <c r="I63" s="1019">
        <v>0</v>
      </c>
      <c r="J63" s="538"/>
      <c r="K63" s="1361"/>
      <c r="L63" s="538"/>
      <c r="M63" s="1361"/>
      <c r="N63" s="1606"/>
      <c r="O63" s="106"/>
      <c r="P63" s="538"/>
      <c r="Q63" s="538"/>
      <c r="R63" s="538"/>
      <c r="S63" s="538"/>
      <c r="T63" s="538"/>
      <c r="U63" s="538"/>
      <c r="V63" s="106"/>
      <c r="W63" s="106"/>
      <c r="X63" s="106"/>
      <c r="Y63" s="106"/>
      <c r="Z63" s="106"/>
      <c r="AA63" s="106"/>
      <c r="AB63" s="431"/>
      <c r="AC63" s="452"/>
      <c r="AE63" s="1216"/>
      <c r="AF63" s="290"/>
      <c r="AG63" s="290"/>
      <c r="AH63" s="1458"/>
      <c r="AI63" s="1126"/>
      <c r="AJ63" s="1199"/>
      <c r="AK63" s="1137"/>
    </row>
    <row r="64" spans="1:37" s="7" customFormat="1">
      <c r="A64" s="1704" t="s">
        <v>900</v>
      </c>
      <c r="B64" s="165">
        <f t="shared" ref="B64:B80" si="25">L64</f>
        <v>29700000</v>
      </c>
      <c r="C64" s="106" t="s">
        <v>44</v>
      </c>
      <c r="D64" s="106" t="s">
        <v>905</v>
      </c>
      <c r="E64" s="1705" t="s">
        <v>901</v>
      </c>
      <c r="F64" s="1705" t="s">
        <v>901</v>
      </c>
      <c r="G64" s="107" t="s">
        <v>61</v>
      </c>
      <c r="H64" s="1218">
        <v>120</v>
      </c>
      <c r="I64" s="1131">
        <v>0</v>
      </c>
      <c r="J64" s="1132"/>
      <c r="K64" s="1365">
        <v>141</v>
      </c>
      <c r="L64" s="694">
        <v>29700000</v>
      </c>
      <c r="M64" s="571">
        <v>185</v>
      </c>
      <c r="N64" s="185">
        <v>29700000</v>
      </c>
      <c r="O64" s="263">
        <v>175</v>
      </c>
      <c r="P64" s="1132"/>
      <c r="Q64" s="175">
        <v>90000</v>
      </c>
      <c r="R64" s="175">
        <v>2700000</v>
      </c>
      <c r="S64" s="1358"/>
      <c r="T64" s="1358"/>
      <c r="U64" s="1358"/>
      <c r="V64" s="1114"/>
      <c r="W64" s="1114"/>
      <c r="X64" s="1114"/>
      <c r="Y64" s="1114"/>
      <c r="Z64" s="1114"/>
      <c r="AA64" s="1114"/>
      <c r="AB64" s="207">
        <f t="shared" ref="AB64:AB80" si="26">SUM(P64:AA64)</f>
        <v>2790000</v>
      </c>
      <c r="AC64" s="447">
        <f t="shared" ref="AC64:AC80" si="27">N64-AB64</f>
        <v>26910000</v>
      </c>
      <c r="AE64" s="1218">
        <v>120</v>
      </c>
      <c r="AF64" s="583" t="s">
        <v>383</v>
      </c>
      <c r="AG64" s="313" t="s">
        <v>728</v>
      </c>
      <c r="AH64" s="1113">
        <f t="shared" ref="AH64:AH80" si="28">O64</f>
        <v>175</v>
      </c>
      <c r="AI64" s="585">
        <v>29700000</v>
      </c>
      <c r="AJ64" s="1215">
        <f t="shared" ref="AJ64:AJ80" si="29">AI64-N64</f>
        <v>0</v>
      </c>
      <c r="AK64" s="1137"/>
    </row>
    <row r="65" spans="1:37" s="7" customFormat="1">
      <c r="A65" s="1704" t="s">
        <v>900</v>
      </c>
      <c r="B65" s="165">
        <f t="shared" si="25"/>
        <v>40700000</v>
      </c>
      <c r="C65" s="106" t="s">
        <v>44</v>
      </c>
      <c r="D65" s="106" t="s">
        <v>905</v>
      </c>
      <c r="E65" s="1705" t="s">
        <v>901</v>
      </c>
      <c r="F65" s="1705" t="s">
        <v>901</v>
      </c>
      <c r="G65" s="107" t="s">
        <v>61</v>
      </c>
      <c r="H65" s="1218">
        <v>122</v>
      </c>
      <c r="I65" s="1131">
        <v>0</v>
      </c>
      <c r="J65" s="1132"/>
      <c r="K65" s="1365">
        <v>66</v>
      </c>
      <c r="L65" s="694">
        <v>40700000</v>
      </c>
      <c r="M65" s="571">
        <v>40</v>
      </c>
      <c r="N65" s="185">
        <v>40700000</v>
      </c>
      <c r="O65" s="263">
        <v>59</v>
      </c>
      <c r="P65" s="1132"/>
      <c r="Q65" s="175">
        <v>1603333</v>
      </c>
      <c r="R65" s="175">
        <v>3700000</v>
      </c>
      <c r="S65" s="1358"/>
      <c r="T65" s="1358"/>
      <c r="U65" s="1358"/>
      <c r="V65" s="1114"/>
      <c r="W65" s="1114"/>
      <c r="X65" s="1114"/>
      <c r="Y65" s="1114"/>
      <c r="Z65" s="1114"/>
      <c r="AA65" s="1114"/>
      <c r="AB65" s="207">
        <f t="shared" si="26"/>
        <v>5303333</v>
      </c>
      <c r="AC65" s="447">
        <f t="shared" si="27"/>
        <v>35396667</v>
      </c>
      <c r="AE65" s="1218">
        <v>122</v>
      </c>
      <c r="AF65" s="583" t="s">
        <v>384</v>
      </c>
      <c r="AG65" s="313" t="s">
        <v>729</v>
      </c>
      <c r="AH65" s="1113">
        <f t="shared" si="28"/>
        <v>59</v>
      </c>
      <c r="AI65" s="585">
        <v>40700000</v>
      </c>
      <c r="AJ65" s="1215">
        <f t="shared" si="29"/>
        <v>0</v>
      </c>
      <c r="AK65" s="1137"/>
    </row>
    <row r="66" spans="1:37" s="7" customFormat="1">
      <c r="A66" s="1704" t="s">
        <v>900</v>
      </c>
      <c r="B66" s="165">
        <f t="shared" si="25"/>
        <v>14640000</v>
      </c>
      <c r="C66" s="106" t="s">
        <v>44</v>
      </c>
      <c r="D66" s="106" t="s">
        <v>905</v>
      </c>
      <c r="E66" s="1705" t="s">
        <v>901</v>
      </c>
      <c r="F66" s="1705" t="s">
        <v>901</v>
      </c>
      <c r="G66" s="107" t="s">
        <v>61</v>
      </c>
      <c r="H66" s="1218">
        <v>129</v>
      </c>
      <c r="I66" s="1131">
        <v>0</v>
      </c>
      <c r="J66" s="1132"/>
      <c r="K66" s="1365">
        <v>90</v>
      </c>
      <c r="L66" s="694">
        <v>14640000</v>
      </c>
      <c r="M66" s="571">
        <v>83</v>
      </c>
      <c r="N66" s="185">
        <v>14640000</v>
      </c>
      <c r="O66" s="263">
        <v>85</v>
      </c>
      <c r="P66" s="1132"/>
      <c r="Q66" s="175">
        <v>1138667</v>
      </c>
      <c r="R66" s="175">
        <v>4880000</v>
      </c>
      <c r="S66" s="1358"/>
      <c r="T66" s="1358"/>
      <c r="U66" s="1358"/>
      <c r="V66" s="1114"/>
      <c r="W66" s="1114"/>
      <c r="X66" s="1114"/>
      <c r="Y66" s="1114"/>
      <c r="Z66" s="1114"/>
      <c r="AA66" s="1114"/>
      <c r="AB66" s="207">
        <f t="shared" si="26"/>
        <v>6018667</v>
      </c>
      <c r="AC66" s="447">
        <f t="shared" si="27"/>
        <v>8621333</v>
      </c>
      <c r="AE66" s="1218">
        <v>129</v>
      </c>
      <c r="AF66" s="583" t="s">
        <v>385</v>
      </c>
      <c r="AG66" s="313" t="s">
        <v>730</v>
      </c>
      <c r="AH66" s="1113">
        <f t="shared" si="28"/>
        <v>85</v>
      </c>
      <c r="AI66" s="585">
        <v>14640000</v>
      </c>
      <c r="AJ66" s="1215">
        <f t="shared" si="29"/>
        <v>0</v>
      </c>
      <c r="AK66" s="1137"/>
    </row>
    <row r="67" spans="1:37" s="7" customFormat="1">
      <c r="A67" s="1704" t="s">
        <v>900</v>
      </c>
      <c r="B67" s="165">
        <f t="shared" si="25"/>
        <v>0</v>
      </c>
      <c r="C67" s="106" t="s">
        <v>44</v>
      </c>
      <c r="D67" s="106" t="s">
        <v>905</v>
      </c>
      <c r="E67" s="1705" t="s">
        <v>901</v>
      </c>
      <c r="F67" s="1705" t="s">
        <v>901</v>
      </c>
      <c r="G67" s="107" t="s">
        <v>61</v>
      </c>
      <c r="H67" s="1218">
        <v>130</v>
      </c>
      <c r="I67" s="1131">
        <v>0</v>
      </c>
      <c r="J67" s="1132"/>
      <c r="K67" s="1365"/>
      <c r="L67" s="694"/>
      <c r="M67" s="1455"/>
      <c r="N67" s="165"/>
      <c r="O67" s="1125"/>
      <c r="P67" s="1132"/>
      <c r="Q67" s="175"/>
      <c r="R67" s="175"/>
      <c r="S67" s="1358"/>
      <c r="T67" s="1358"/>
      <c r="U67" s="1358"/>
      <c r="V67" s="1114"/>
      <c r="W67" s="1114"/>
      <c r="X67" s="1114"/>
      <c r="Y67" s="1114"/>
      <c r="Z67" s="1114"/>
      <c r="AA67" s="1114"/>
      <c r="AB67" s="207">
        <f t="shared" si="26"/>
        <v>0</v>
      </c>
      <c r="AC67" s="447">
        <f t="shared" si="27"/>
        <v>0</v>
      </c>
      <c r="AE67" s="1218">
        <v>130</v>
      </c>
      <c r="AF67" s="583" t="s">
        <v>385</v>
      </c>
      <c r="AG67" s="583" t="s">
        <v>188</v>
      </c>
      <c r="AH67" s="1113">
        <f t="shared" si="28"/>
        <v>0</v>
      </c>
      <c r="AI67" s="585">
        <v>39040000</v>
      </c>
      <c r="AJ67" s="1215">
        <f t="shared" si="29"/>
        <v>39040000</v>
      </c>
      <c r="AK67" s="1137"/>
    </row>
    <row r="68" spans="1:37" s="7" customFormat="1">
      <c r="A68" s="1704" t="s">
        <v>900</v>
      </c>
      <c r="B68" s="165">
        <f t="shared" si="25"/>
        <v>77000000</v>
      </c>
      <c r="C68" s="106" t="s">
        <v>44</v>
      </c>
      <c r="D68" s="106" t="s">
        <v>905</v>
      </c>
      <c r="E68" s="1705" t="s">
        <v>901</v>
      </c>
      <c r="F68" s="1705" t="s">
        <v>901</v>
      </c>
      <c r="G68" s="107" t="s">
        <v>61</v>
      </c>
      <c r="H68" s="1218">
        <v>134</v>
      </c>
      <c r="I68" s="1131">
        <v>0</v>
      </c>
      <c r="J68" s="1132"/>
      <c r="K68" s="1365">
        <v>124</v>
      </c>
      <c r="L68" s="694">
        <v>77000000</v>
      </c>
      <c r="M68" s="571">
        <v>149</v>
      </c>
      <c r="N68" s="185">
        <v>77000000</v>
      </c>
      <c r="O68" s="263">
        <v>91</v>
      </c>
      <c r="P68" s="1132"/>
      <c r="Q68" s="175">
        <v>1633333</v>
      </c>
      <c r="R68" s="175">
        <v>7000000</v>
      </c>
      <c r="S68" s="1358"/>
      <c r="T68" s="1358"/>
      <c r="U68" s="1358"/>
      <c r="V68" s="1114"/>
      <c r="W68" s="1114"/>
      <c r="X68" s="1114"/>
      <c r="Y68" s="1114"/>
      <c r="Z68" s="1114"/>
      <c r="AA68" s="1114"/>
      <c r="AB68" s="207">
        <f t="shared" si="26"/>
        <v>8633333</v>
      </c>
      <c r="AC68" s="447">
        <f t="shared" si="27"/>
        <v>68366667</v>
      </c>
      <c r="AE68" s="1218">
        <v>134</v>
      </c>
      <c r="AF68" s="583" t="s">
        <v>386</v>
      </c>
      <c r="AG68" s="313" t="s">
        <v>731</v>
      </c>
      <c r="AH68" s="1113">
        <f t="shared" si="28"/>
        <v>91</v>
      </c>
      <c r="AI68" s="585">
        <v>77000000</v>
      </c>
      <c r="AJ68" s="1215">
        <f t="shared" si="29"/>
        <v>0</v>
      </c>
      <c r="AK68" s="1137"/>
    </row>
    <row r="69" spans="1:37" s="7" customFormat="1">
      <c r="A69" s="1704" t="s">
        <v>900</v>
      </c>
      <c r="B69" s="165">
        <f t="shared" si="25"/>
        <v>0</v>
      </c>
      <c r="C69" s="106" t="s">
        <v>44</v>
      </c>
      <c r="D69" s="106" t="s">
        <v>905</v>
      </c>
      <c r="E69" s="1705" t="s">
        <v>901</v>
      </c>
      <c r="F69" s="1705" t="s">
        <v>901</v>
      </c>
      <c r="G69" s="107" t="s">
        <v>61</v>
      </c>
      <c r="H69" s="1218">
        <v>137</v>
      </c>
      <c r="I69" s="1131">
        <v>0</v>
      </c>
      <c r="J69" s="1132"/>
      <c r="K69" s="1365"/>
      <c r="L69" s="694"/>
      <c r="M69" s="1455"/>
      <c r="N69" s="165"/>
      <c r="O69" s="1125"/>
      <c r="P69" s="1132"/>
      <c r="Q69" s="175"/>
      <c r="R69" s="175"/>
      <c r="S69" s="1358"/>
      <c r="T69" s="1358"/>
      <c r="U69" s="1358"/>
      <c r="V69" s="1114"/>
      <c r="W69" s="1114"/>
      <c r="X69" s="1114"/>
      <c r="Y69" s="1114"/>
      <c r="Z69" s="1114"/>
      <c r="AA69" s="1114"/>
      <c r="AB69" s="207">
        <f t="shared" si="26"/>
        <v>0</v>
      </c>
      <c r="AC69" s="447">
        <f t="shared" si="27"/>
        <v>0</v>
      </c>
      <c r="AE69" s="1218">
        <v>137</v>
      </c>
      <c r="AF69" s="583" t="s">
        <v>387</v>
      </c>
      <c r="AG69" s="583" t="s">
        <v>188</v>
      </c>
      <c r="AH69" s="1113">
        <f t="shared" si="28"/>
        <v>0</v>
      </c>
      <c r="AI69" s="585">
        <f>32480000-32480000</f>
        <v>0</v>
      </c>
      <c r="AJ69" s="1215">
        <f t="shared" si="29"/>
        <v>0</v>
      </c>
      <c r="AK69" s="1137"/>
    </row>
    <row r="70" spans="1:37" s="7" customFormat="1">
      <c r="A70" s="1704" t="s">
        <v>900</v>
      </c>
      <c r="B70" s="165">
        <f t="shared" si="25"/>
        <v>15720000</v>
      </c>
      <c r="C70" s="106" t="s">
        <v>44</v>
      </c>
      <c r="D70" s="106" t="s">
        <v>905</v>
      </c>
      <c r="E70" s="1705" t="s">
        <v>901</v>
      </c>
      <c r="F70" s="1705" t="s">
        <v>901</v>
      </c>
      <c r="G70" s="107" t="s">
        <v>61</v>
      </c>
      <c r="H70" s="1218">
        <v>138</v>
      </c>
      <c r="I70" s="1131">
        <v>0</v>
      </c>
      <c r="J70" s="1132"/>
      <c r="K70" s="1365">
        <v>91</v>
      </c>
      <c r="L70" s="694">
        <v>15720000</v>
      </c>
      <c r="M70" s="571">
        <v>80</v>
      </c>
      <c r="N70" s="185">
        <v>15720000</v>
      </c>
      <c r="O70" s="263">
        <v>80</v>
      </c>
      <c r="P70" s="1132"/>
      <c r="Q70" s="175">
        <v>1572000</v>
      </c>
      <c r="R70" s="175">
        <v>5240000</v>
      </c>
      <c r="S70" s="1358"/>
      <c r="T70" s="1358"/>
      <c r="U70" s="1358"/>
      <c r="V70" s="1114"/>
      <c r="W70" s="1114"/>
      <c r="X70" s="1114"/>
      <c r="Y70" s="1114"/>
      <c r="Z70" s="1114"/>
      <c r="AA70" s="1114"/>
      <c r="AB70" s="207">
        <f t="shared" si="26"/>
        <v>6812000</v>
      </c>
      <c r="AC70" s="447">
        <f t="shared" si="27"/>
        <v>8908000</v>
      </c>
      <c r="AE70" s="1218">
        <v>138</v>
      </c>
      <c r="AF70" s="583" t="s">
        <v>388</v>
      </c>
      <c r="AG70" s="313" t="s">
        <v>732</v>
      </c>
      <c r="AH70" s="1113">
        <f t="shared" si="28"/>
        <v>80</v>
      </c>
      <c r="AI70" s="585">
        <v>15720000</v>
      </c>
      <c r="AJ70" s="1215">
        <f t="shared" si="29"/>
        <v>0</v>
      </c>
      <c r="AK70" s="1137"/>
    </row>
    <row r="71" spans="1:37" s="7" customFormat="1">
      <c r="A71" s="1704" t="s">
        <v>900</v>
      </c>
      <c r="B71" s="165">
        <f t="shared" si="25"/>
        <v>0</v>
      </c>
      <c r="C71" s="106" t="s">
        <v>44</v>
      </c>
      <c r="D71" s="106" t="s">
        <v>905</v>
      </c>
      <c r="E71" s="1705" t="s">
        <v>901</v>
      </c>
      <c r="F71" s="1705" t="s">
        <v>901</v>
      </c>
      <c r="G71" s="107" t="s">
        <v>61</v>
      </c>
      <c r="H71" s="1218">
        <v>139</v>
      </c>
      <c r="I71" s="1131">
        <v>0</v>
      </c>
      <c r="J71" s="1132"/>
      <c r="K71" s="1365"/>
      <c r="L71" s="694"/>
      <c r="M71" s="1455"/>
      <c r="N71" s="165"/>
      <c r="O71" s="1125"/>
      <c r="P71" s="1132"/>
      <c r="Q71" s="175"/>
      <c r="R71" s="175"/>
      <c r="S71" s="1358"/>
      <c r="T71" s="1358"/>
      <c r="U71" s="1358"/>
      <c r="V71" s="1114"/>
      <c r="W71" s="1114"/>
      <c r="X71" s="1114"/>
      <c r="Y71" s="1114"/>
      <c r="Z71" s="1114"/>
      <c r="AA71" s="1114"/>
      <c r="AB71" s="207">
        <f t="shared" si="26"/>
        <v>0</v>
      </c>
      <c r="AC71" s="447">
        <f t="shared" si="27"/>
        <v>0</v>
      </c>
      <c r="AE71" s="1218">
        <v>139</v>
      </c>
      <c r="AF71" s="583" t="s">
        <v>388</v>
      </c>
      <c r="AG71" s="583" t="s">
        <v>188</v>
      </c>
      <c r="AH71" s="1113">
        <f t="shared" si="28"/>
        <v>0</v>
      </c>
      <c r="AI71" s="585">
        <v>41920000</v>
      </c>
      <c r="AJ71" s="1215">
        <f t="shared" si="29"/>
        <v>41920000</v>
      </c>
      <c r="AK71" s="1137"/>
    </row>
    <row r="72" spans="1:37" s="7" customFormat="1">
      <c r="A72" s="1704" t="s">
        <v>900</v>
      </c>
      <c r="B72" s="165">
        <f t="shared" si="25"/>
        <v>31020000</v>
      </c>
      <c r="C72" s="106" t="s">
        <v>44</v>
      </c>
      <c r="D72" s="106" t="s">
        <v>905</v>
      </c>
      <c r="E72" s="1705" t="s">
        <v>901</v>
      </c>
      <c r="F72" s="1705" t="s">
        <v>901</v>
      </c>
      <c r="G72" s="107" t="s">
        <v>61</v>
      </c>
      <c r="H72" s="1218">
        <v>143</v>
      </c>
      <c r="I72" s="1131">
        <v>0</v>
      </c>
      <c r="J72" s="1132"/>
      <c r="K72" s="1365">
        <v>67</v>
      </c>
      <c r="L72" s="694">
        <v>31020000</v>
      </c>
      <c r="M72" s="571">
        <v>82</v>
      </c>
      <c r="N72" s="185">
        <v>31020000</v>
      </c>
      <c r="O72" s="263">
        <v>83</v>
      </c>
      <c r="P72" s="1132"/>
      <c r="Q72" s="175">
        <v>846000</v>
      </c>
      <c r="R72" s="175">
        <v>2820000</v>
      </c>
      <c r="S72" s="1358"/>
      <c r="T72" s="1358"/>
      <c r="U72" s="1358"/>
      <c r="V72" s="1114"/>
      <c r="W72" s="1114"/>
      <c r="X72" s="1114"/>
      <c r="Y72" s="1114"/>
      <c r="Z72" s="1114"/>
      <c r="AA72" s="1114"/>
      <c r="AB72" s="207">
        <f t="shared" si="26"/>
        <v>3666000</v>
      </c>
      <c r="AC72" s="447">
        <f t="shared" si="27"/>
        <v>27354000</v>
      </c>
      <c r="AE72" s="1218">
        <v>143</v>
      </c>
      <c r="AF72" s="583" t="s">
        <v>389</v>
      </c>
      <c r="AG72" s="313" t="s">
        <v>733</v>
      </c>
      <c r="AH72" s="1113">
        <f t="shared" si="28"/>
        <v>83</v>
      </c>
      <c r="AI72" s="585">
        <v>31020000</v>
      </c>
      <c r="AJ72" s="1215">
        <f t="shared" si="29"/>
        <v>0</v>
      </c>
      <c r="AK72" s="1137"/>
    </row>
    <row r="73" spans="1:37" s="7" customFormat="1">
      <c r="A73" s="1704" t="s">
        <v>900</v>
      </c>
      <c r="B73" s="165">
        <f t="shared" si="25"/>
        <v>0</v>
      </c>
      <c r="C73" s="106" t="s">
        <v>44</v>
      </c>
      <c r="D73" s="106" t="s">
        <v>905</v>
      </c>
      <c r="E73" s="1705" t="s">
        <v>901</v>
      </c>
      <c r="F73" s="1705" t="s">
        <v>901</v>
      </c>
      <c r="G73" s="107" t="s">
        <v>61</v>
      </c>
      <c r="H73" s="1218">
        <v>164</v>
      </c>
      <c r="I73" s="1131">
        <v>0</v>
      </c>
      <c r="J73" s="1132"/>
      <c r="K73" s="1365"/>
      <c r="L73" s="694"/>
      <c r="M73" s="1455"/>
      <c r="N73" s="165"/>
      <c r="O73" s="1125"/>
      <c r="P73" s="1132"/>
      <c r="Q73" s="175"/>
      <c r="R73" s="175"/>
      <c r="S73" s="1358"/>
      <c r="T73" s="1358"/>
      <c r="U73" s="1358"/>
      <c r="V73" s="1114"/>
      <c r="W73" s="1114"/>
      <c r="X73" s="1114"/>
      <c r="Y73" s="1114"/>
      <c r="Z73" s="1114"/>
      <c r="AA73" s="1114"/>
      <c r="AB73" s="207">
        <f t="shared" si="26"/>
        <v>0</v>
      </c>
      <c r="AC73" s="447">
        <f t="shared" si="27"/>
        <v>0</v>
      </c>
      <c r="AE73" s="1218">
        <v>164</v>
      </c>
      <c r="AF73" s="583" t="s">
        <v>390</v>
      </c>
      <c r="AG73" s="583" t="s">
        <v>188</v>
      </c>
      <c r="AH73" s="1113">
        <f t="shared" si="28"/>
        <v>0</v>
      </c>
      <c r="AI73" s="585">
        <v>47300000</v>
      </c>
      <c r="AJ73" s="1215">
        <f t="shared" si="29"/>
        <v>47300000</v>
      </c>
      <c r="AK73" s="1137"/>
    </row>
    <row r="74" spans="1:37" s="7" customFormat="1">
      <c r="A74" s="1704" t="s">
        <v>900</v>
      </c>
      <c r="B74" s="165">
        <f t="shared" si="25"/>
        <v>29700000</v>
      </c>
      <c r="C74" s="106" t="s">
        <v>44</v>
      </c>
      <c r="D74" s="106" t="s">
        <v>905</v>
      </c>
      <c r="E74" s="1705" t="s">
        <v>901</v>
      </c>
      <c r="F74" s="1705" t="s">
        <v>901</v>
      </c>
      <c r="G74" s="107" t="s">
        <v>61</v>
      </c>
      <c r="H74" s="1218">
        <v>169</v>
      </c>
      <c r="I74" s="1131">
        <v>0</v>
      </c>
      <c r="J74" s="1132"/>
      <c r="K74" s="1365">
        <v>145</v>
      </c>
      <c r="L74" s="694">
        <v>29700000</v>
      </c>
      <c r="M74" s="571">
        <v>171</v>
      </c>
      <c r="N74" s="185">
        <v>29700000</v>
      </c>
      <c r="O74" s="263">
        <v>151</v>
      </c>
      <c r="P74" s="1132"/>
      <c r="Q74" s="175">
        <v>180000</v>
      </c>
      <c r="R74" s="175">
        <v>2700000</v>
      </c>
      <c r="S74" s="1358"/>
      <c r="T74" s="1358"/>
      <c r="U74" s="1358"/>
      <c r="V74" s="1114"/>
      <c r="W74" s="1114"/>
      <c r="X74" s="1114"/>
      <c r="Y74" s="1114"/>
      <c r="Z74" s="1114"/>
      <c r="AA74" s="1114"/>
      <c r="AB74" s="207">
        <f t="shared" si="26"/>
        <v>2880000</v>
      </c>
      <c r="AC74" s="447">
        <f t="shared" si="27"/>
        <v>26820000</v>
      </c>
      <c r="AE74" s="1218">
        <v>169</v>
      </c>
      <c r="AF74" s="583" t="s">
        <v>391</v>
      </c>
      <c r="AG74" s="313" t="s">
        <v>734</v>
      </c>
      <c r="AH74" s="1113">
        <f t="shared" si="28"/>
        <v>151</v>
      </c>
      <c r="AI74" s="585">
        <v>29700000</v>
      </c>
      <c r="AJ74" s="1215">
        <f t="shared" si="29"/>
        <v>0</v>
      </c>
      <c r="AK74" s="1137"/>
    </row>
    <row r="75" spans="1:37" s="7" customFormat="1">
      <c r="A75" s="1704" t="s">
        <v>900</v>
      </c>
      <c r="B75" s="165">
        <f t="shared" si="25"/>
        <v>0</v>
      </c>
      <c r="C75" s="106" t="s">
        <v>44</v>
      </c>
      <c r="D75" s="106" t="s">
        <v>905</v>
      </c>
      <c r="E75" s="1705" t="s">
        <v>901</v>
      </c>
      <c r="F75" s="1705" t="s">
        <v>901</v>
      </c>
      <c r="G75" s="107" t="s">
        <v>61</v>
      </c>
      <c r="H75" s="1218">
        <v>175</v>
      </c>
      <c r="I75" s="1131">
        <v>0</v>
      </c>
      <c r="J75" s="1132"/>
      <c r="K75" s="1365"/>
      <c r="L75" s="694"/>
      <c r="M75" s="1455"/>
      <c r="N75" s="165"/>
      <c r="O75" s="1125"/>
      <c r="P75" s="1132"/>
      <c r="Q75" s="175"/>
      <c r="R75" s="175"/>
      <c r="S75" s="1358"/>
      <c r="T75" s="1358"/>
      <c r="U75" s="1358"/>
      <c r="V75" s="1114"/>
      <c r="W75" s="1114"/>
      <c r="X75" s="1114"/>
      <c r="Y75" s="1114"/>
      <c r="Z75" s="1114"/>
      <c r="AA75" s="1114"/>
      <c r="AB75" s="207">
        <f t="shared" si="26"/>
        <v>0</v>
      </c>
      <c r="AC75" s="447">
        <f t="shared" si="27"/>
        <v>0</v>
      </c>
      <c r="AE75" s="1218">
        <v>175</v>
      </c>
      <c r="AF75" s="583" t="s">
        <v>392</v>
      </c>
      <c r="AG75" s="583" t="s">
        <v>188</v>
      </c>
      <c r="AH75" s="1113">
        <f t="shared" si="28"/>
        <v>0</v>
      </c>
      <c r="AI75" s="585">
        <v>56100000</v>
      </c>
      <c r="AJ75" s="1215">
        <f t="shared" si="29"/>
        <v>56100000</v>
      </c>
      <c r="AK75" s="1137"/>
    </row>
    <row r="76" spans="1:37" s="7" customFormat="1">
      <c r="A76" s="1704" t="s">
        <v>900</v>
      </c>
      <c r="B76" s="165">
        <f t="shared" si="25"/>
        <v>57640000</v>
      </c>
      <c r="C76" s="106" t="s">
        <v>44</v>
      </c>
      <c r="D76" s="106" t="s">
        <v>905</v>
      </c>
      <c r="E76" s="1705" t="s">
        <v>901</v>
      </c>
      <c r="F76" s="1705" t="s">
        <v>901</v>
      </c>
      <c r="G76" s="107" t="s">
        <v>61</v>
      </c>
      <c r="H76" s="1218">
        <v>177</v>
      </c>
      <c r="I76" s="1131">
        <v>0</v>
      </c>
      <c r="J76" s="1132"/>
      <c r="K76" s="1365">
        <v>125</v>
      </c>
      <c r="L76" s="694">
        <v>57640000</v>
      </c>
      <c r="M76" s="571">
        <v>151</v>
      </c>
      <c r="N76" s="185">
        <v>57640000</v>
      </c>
      <c r="O76" s="263">
        <v>89</v>
      </c>
      <c r="P76" s="1132"/>
      <c r="Q76" s="175">
        <v>1222667</v>
      </c>
      <c r="R76" s="175">
        <v>5240000</v>
      </c>
      <c r="S76" s="1358"/>
      <c r="T76" s="1358"/>
      <c r="U76" s="1358"/>
      <c r="V76" s="1114"/>
      <c r="W76" s="1114"/>
      <c r="X76" s="1114"/>
      <c r="Y76" s="1114"/>
      <c r="Z76" s="1114"/>
      <c r="AA76" s="1114"/>
      <c r="AB76" s="207">
        <f t="shared" si="26"/>
        <v>6462667</v>
      </c>
      <c r="AC76" s="447">
        <f t="shared" si="27"/>
        <v>51177333</v>
      </c>
      <c r="AE76" s="1218">
        <v>177</v>
      </c>
      <c r="AF76" s="583" t="s">
        <v>393</v>
      </c>
      <c r="AG76" s="313" t="s">
        <v>735</v>
      </c>
      <c r="AH76" s="1113">
        <f t="shared" si="28"/>
        <v>89</v>
      </c>
      <c r="AI76" s="585">
        <v>57640000</v>
      </c>
      <c r="AJ76" s="1215">
        <f t="shared" si="29"/>
        <v>0</v>
      </c>
      <c r="AK76" s="1137"/>
    </row>
    <row r="77" spans="1:37" s="7" customFormat="1">
      <c r="A77" s="1704" t="s">
        <v>900</v>
      </c>
      <c r="B77" s="165">
        <f t="shared" si="25"/>
        <v>36300000</v>
      </c>
      <c r="C77" s="106" t="s">
        <v>44</v>
      </c>
      <c r="D77" s="106" t="s">
        <v>905</v>
      </c>
      <c r="E77" s="1705" t="s">
        <v>901</v>
      </c>
      <c r="F77" s="1705" t="s">
        <v>901</v>
      </c>
      <c r="G77" s="107" t="s">
        <v>61</v>
      </c>
      <c r="H77" s="1218">
        <v>179</v>
      </c>
      <c r="I77" s="1131">
        <v>0</v>
      </c>
      <c r="J77" s="1132"/>
      <c r="K77" s="1365">
        <v>146</v>
      </c>
      <c r="L77" s="694">
        <v>36300000</v>
      </c>
      <c r="M77" s="571">
        <v>154</v>
      </c>
      <c r="N77" s="185">
        <v>36300000</v>
      </c>
      <c r="O77" s="263">
        <v>134</v>
      </c>
      <c r="P77" s="1132"/>
      <c r="Q77" s="175">
        <v>660000</v>
      </c>
      <c r="R77" s="175">
        <v>3300000</v>
      </c>
      <c r="S77" s="1358"/>
      <c r="T77" s="1358"/>
      <c r="U77" s="1358"/>
      <c r="V77" s="1114"/>
      <c r="W77" s="1114"/>
      <c r="X77" s="1114"/>
      <c r="Y77" s="1114"/>
      <c r="Z77" s="1114"/>
      <c r="AA77" s="1114"/>
      <c r="AB77" s="207">
        <f t="shared" si="26"/>
        <v>3960000</v>
      </c>
      <c r="AC77" s="447">
        <f t="shared" si="27"/>
        <v>32340000</v>
      </c>
      <c r="AE77" s="1218">
        <v>179</v>
      </c>
      <c r="AF77" s="583" t="s">
        <v>383</v>
      </c>
      <c r="AG77" s="313" t="s">
        <v>736</v>
      </c>
      <c r="AH77" s="1113">
        <f t="shared" si="28"/>
        <v>134</v>
      </c>
      <c r="AI77" s="585">
        <v>36300000</v>
      </c>
      <c r="AJ77" s="1215">
        <f t="shared" si="29"/>
        <v>0</v>
      </c>
      <c r="AK77" s="1137"/>
    </row>
    <row r="78" spans="1:37" s="7" customFormat="1">
      <c r="A78" s="1704" t="s">
        <v>900</v>
      </c>
      <c r="B78" s="165">
        <f t="shared" si="25"/>
        <v>25520000</v>
      </c>
      <c r="C78" s="106" t="s">
        <v>44</v>
      </c>
      <c r="D78" s="106" t="s">
        <v>905</v>
      </c>
      <c r="E78" s="1705" t="s">
        <v>901</v>
      </c>
      <c r="F78" s="1705" t="s">
        <v>901</v>
      </c>
      <c r="G78" s="107" t="s">
        <v>61</v>
      </c>
      <c r="H78" s="1218">
        <v>183</v>
      </c>
      <c r="I78" s="1131">
        <v>0</v>
      </c>
      <c r="J78" s="1132"/>
      <c r="K78" s="1365">
        <v>70</v>
      </c>
      <c r="L78" s="694">
        <v>25520000</v>
      </c>
      <c r="M78" s="571">
        <v>81</v>
      </c>
      <c r="N78" s="185">
        <v>25520000</v>
      </c>
      <c r="O78" s="263">
        <v>82</v>
      </c>
      <c r="P78" s="1132"/>
      <c r="Q78" s="175">
        <v>618667</v>
      </c>
      <c r="R78" s="175">
        <v>2320000</v>
      </c>
      <c r="S78" s="1358"/>
      <c r="T78" s="1358"/>
      <c r="U78" s="1358"/>
      <c r="V78" s="1114"/>
      <c r="W78" s="1114"/>
      <c r="X78" s="1114"/>
      <c r="Y78" s="1114"/>
      <c r="Z78" s="1114"/>
      <c r="AA78" s="1114"/>
      <c r="AB78" s="207">
        <f t="shared" si="26"/>
        <v>2938667</v>
      </c>
      <c r="AC78" s="447">
        <f t="shared" si="27"/>
        <v>22581333</v>
      </c>
      <c r="AE78" s="1218">
        <v>183</v>
      </c>
      <c r="AF78" s="583" t="s">
        <v>394</v>
      </c>
      <c r="AG78" s="313" t="s">
        <v>737</v>
      </c>
      <c r="AH78" s="1113">
        <f t="shared" si="28"/>
        <v>82</v>
      </c>
      <c r="AI78" s="585">
        <v>25520000</v>
      </c>
      <c r="AJ78" s="1215">
        <f t="shared" si="29"/>
        <v>0</v>
      </c>
      <c r="AK78" s="1137"/>
    </row>
    <row r="79" spans="1:37" s="7" customFormat="1">
      <c r="A79" s="1704" t="s">
        <v>900</v>
      </c>
      <c r="B79" s="165">
        <f t="shared" si="25"/>
        <v>25520000</v>
      </c>
      <c r="C79" s="106" t="s">
        <v>44</v>
      </c>
      <c r="D79" s="106" t="s">
        <v>905</v>
      </c>
      <c r="E79" s="1705" t="s">
        <v>901</v>
      </c>
      <c r="F79" s="1705" t="s">
        <v>901</v>
      </c>
      <c r="G79" s="107" t="s">
        <v>61</v>
      </c>
      <c r="H79" s="1218">
        <v>185</v>
      </c>
      <c r="I79" s="1131">
        <v>0</v>
      </c>
      <c r="J79" s="1132"/>
      <c r="K79" s="1365">
        <v>71</v>
      </c>
      <c r="L79" s="694">
        <v>25520000</v>
      </c>
      <c r="M79" s="571">
        <v>103</v>
      </c>
      <c r="N79" s="185">
        <v>25520000</v>
      </c>
      <c r="O79" s="263">
        <v>63</v>
      </c>
      <c r="P79" s="1132"/>
      <c r="Q79" s="175">
        <v>464000</v>
      </c>
      <c r="R79" s="175">
        <v>2320000</v>
      </c>
      <c r="S79" s="1358"/>
      <c r="T79" s="1358"/>
      <c r="U79" s="1358"/>
      <c r="V79" s="1114"/>
      <c r="W79" s="1114"/>
      <c r="X79" s="1114"/>
      <c r="Y79" s="1114"/>
      <c r="Z79" s="1114"/>
      <c r="AA79" s="1114"/>
      <c r="AB79" s="207">
        <f t="shared" si="26"/>
        <v>2784000</v>
      </c>
      <c r="AC79" s="447">
        <f t="shared" si="27"/>
        <v>22736000</v>
      </c>
      <c r="AE79" s="1218">
        <v>185</v>
      </c>
      <c r="AF79" s="583" t="s">
        <v>394</v>
      </c>
      <c r="AG79" s="313" t="s">
        <v>738</v>
      </c>
      <c r="AH79" s="1113">
        <f t="shared" si="28"/>
        <v>63</v>
      </c>
      <c r="AI79" s="585">
        <v>25520000</v>
      </c>
      <c r="AJ79" s="1215">
        <f t="shared" si="29"/>
        <v>0</v>
      </c>
      <c r="AK79" s="1137"/>
    </row>
    <row r="80" spans="1:37" s="7" customFormat="1">
      <c r="A80" s="1704" t="s">
        <v>900</v>
      </c>
      <c r="B80" s="165">
        <f t="shared" si="25"/>
        <v>0</v>
      </c>
      <c r="C80" s="106" t="s">
        <v>44</v>
      </c>
      <c r="D80" s="106" t="s">
        <v>905</v>
      </c>
      <c r="E80" s="1705" t="s">
        <v>901</v>
      </c>
      <c r="F80" s="1705" t="s">
        <v>901</v>
      </c>
      <c r="G80" s="107" t="s">
        <v>61</v>
      </c>
      <c r="H80" s="1321" t="s">
        <v>188</v>
      </c>
      <c r="I80" s="1131">
        <v>0</v>
      </c>
      <c r="J80" s="322"/>
      <c r="K80" s="318"/>
      <c r="L80" s="221"/>
      <c r="M80" s="318"/>
      <c r="N80" s="165"/>
      <c r="O80" s="272"/>
      <c r="P80" s="268"/>
      <c r="Q80" s="165"/>
      <c r="R80" s="175"/>
      <c r="S80" s="165"/>
      <c r="T80" s="165"/>
      <c r="U80" s="175"/>
      <c r="V80" s="175"/>
      <c r="W80" s="175"/>
      <c r="X80" s="175"/>
      <c r="Y80" s="174"/>
      <c r="Z80" s="174"/>
      <c r="AA80" s="174"/>
      <c r="AB80" s="207">
        <f t="shared" si="26"/>
        <v>0</v>
      </c>
      <c r="AC80" s="447">
        <f t="shared" si="27"/>
        <v>0</v>
      </c>
      <c r="AE80" s="1218"/>
      <c r="AF80" s="583"/>
      <c r="AG80" s="583" t="s">
        <v>188</v>
      </c>
      <c r="AH80" s="1113">
        <f t="shared" si="28"/>
        <v>0</v>
      </c>
      <c r="AI80" s="585"/>
      <c r="AJ80" s="1215">
        <f t="shared" si="29"/>
        <v>0</v>
      </c>
      <c r="AK80" s="1137"/>
    </row>
    <row r="81" spans="1:37" s="9" customFormat="1">
      <c r="A81" s="190" t="s">
        <v>31</v>
      </c>
      <c r="B81" s="310">
        <f>B63-SUM(B64:B80)</f>
        <v>184360000</v>
      </c>
      <c r="C81" s="92"/>
      <c r="D81" s="92"/>
      <c r="E81" s="92"/>
      <c r="F81" s="92"/>
      <c r="G81" s="93"/>
      <c r="H81" s="1307"/>
      <c r="I81" s="236"/>
      <c r="J81" s="325"/>
      <c r="K81" s="119"/>
      <c r="L81" s="164">
        <f>SUM(L64:L80)</f>
        <v>383460000</v>
      </c>
      <c r="M81" s="119"/>
      <c r="N81" s="164">
        <f>SUM(N64:N80)</f>
        <v>383460000</v>
      </c>
      <c r="O81" s="271"/>
      <c r="P81" s="164">
        <f>SUM(P64:P80)</f>
        <v>0</v>
      </c>
      <c r="Q81" s="164">
        <f>SUM(Q64:Q80)</f>
        <v>10028667</v>
      </c>
      <c r="R81" s="164">
        <f>SUM(R64:R80)</f>
        <v>42220000</v>
      </c>
      <c r="S81" s="164">
        <f t="shared" ref="S81:AC81" si="30">SUM(S64:S80)</f>
        <v>0</v>
      </c>
      <c r="T81" s="164">
        <f t="shared" si="30"/>
        <v>0</v>
      </c>
      <c r="U81" s="164">
        <f t="shared" si="30"/>
        <v>0</v>
      </c>
      <c r="V81" s="164">
        <f t="shared" si="30"/>
        <v>0</v>
      </c>
      <c r="W81" s="164">
        <f t="shared" si="30"/>
        <v>0</v>
      </c>
      <c r="X81" s="164">
        <f t="shared" si="30"/>
        <v>0</v>
      </c>
      <c r="Y81" s="164">
        <f t="shared" si="30"/>
        <v>0</v>
      </c>
      <c r="Z81" s="164">
        <f t="shared" si="30"/>
        <v>0</v>
      </c>
      <c r="AA81" s="164">
        <f t="shared" si="30"/>
        <v>0</v>
      </c>
      <c r="AB81" s="164">
        <f t="shared" si="30"/>
        <v>52248667</v>
      </c>
      <c r="AC81" s="164">
        <f t="shared" si="30"/>
        <v>331211333</v>
      </c>
      <c r="AE81" s="1180"/>
      <c r="AF81" s="15"/>
      <c r="AG81" s="15"/>
      <c r="AH81" s="119"/>
      <c r="AI81" s="15">
        <f>SUM(AI64:AI80)</f>
        <v>567820000</v>
      </c>
      <c r="AJ81" s="206">
        <f>SUM(AJ64:AJ80)</f>
        <v>184360000</v>
      </c>
      <c r="AK81" s="1137">
        <f>B63-AI81</f>
        <v>0</v>
      </c>
    </row>
    <row r="82" spans="1:37" s="7" customFormat="1" ht="40.5" customHeight="1">
      <c r="A82" s="1009" t="s">
        <v>66</v>
      </c>
      <c r="B82" s="560">
        <f>B83+B145</f>
        <v>2479052000</v>
      </c>
      <c r="C82" s="684"/>
      <c r="D82" s="684"/>
      <c r="E82" s="684"/>
      <c r="F82" s="684"/>
      <c r="G82" s="685"/>
      <c r="H82" s="1343"/>
      <c r="I82" s="458">
        <v>0</v>
      </c>
      <c r="J82" s="539"/>
      <c r="K82" s="1616"/>
      <c r="L82" s="1617"/>
      <c r="M82" s="1616"/>
      <c r="N82" s="1618"/>
      <c r="O82" s="1619"/>
      <c r="P82" s="1620"/>
      <c r="Q82" s="1618"/>
      <c r="R82" s="1618"/>
      <c r="S82" s="1618"/>
      <c r="T82" s="1618"/>
      <c r="U82" s="1618"/>
      <c r="V82" s="1618"/>
      <c r="W82" s="1618"/>
      <c r="X82" s="1618"/>
      <c r="Y82" s="1618"/>
      <c r="Z82" s="1618"/>
      <c r="AA82" s="1618"/>
      <c r="AB82" s="1621"/>
      <c r="AC82" s="1622"/>
      <c r="AE82" s="1630"/>
      <c r="AF82" s="1631"/>
      <c r="AG82" s="1631"/>
      <c r="AH82" s="1632"/>
      <c r="AI82" s="1633"/>
      <c r="AJ82" s="1634"/>
      <c r="AK82" s="1137"/>
    </row>
    <row r="83" spans="1:37" s="7" customFormat="1" ht="63.75">
      <c r="A83" s="686" t="s">
        <v>66</v>
      </c>
      <c r="B83" s="561">
        <f>2470601000+6480000</f>
        <v>2477081000</v>
      </c>
      <c r="C83" s="1008" t="s">
        <v>44</v>
      </c>
      <c r="D83" s="1008" t="s">
        <v>905</v>
      </c>
      <c r="E83" s="1008" t="s">
        <v>901</v>
      </c>
      <c r="F83" s="1008" t="s">
        <v>901</v>
      </c>
      <c r="G83" s="1026" t="s">
        <v>61</v>
      </c>
      <c r="H83" s="1344"/>
      <c r="I83" s="233">
        <v>0</v>
      </c>
      <c r="J83" s="322"/>
      <c r="K83" s="1623"/>
      <c r="L83" s="1624"/>
      <c r="M83" s="1623"/>
      <c r="N83" s="1625"/>
      <c r="O83" s="1626"/>
      <c r="P83" s="1620"/>
      <c r="Q83" s="1625"/>
      <c r="R83" s="1625"/>
      <c r="S83" s="1625"/>
      <c r="T83" s="1625"/>
      <c r="U83" s="1618"/>
      <c r="V83" s="1627"/>
      <c r="W83" s="1627"/>
      <c r="X83" s="1627"/>
      <c r="Y83" s="1618"/>
      <c r="Z83" s="1618"/>
      <c r="AA83" s="1618"/>
      <c r="AB83" s="1628">
        <f>SUM(P83:AA83)</f>
        <v>0</v>
      </c>
      <c r="AC83" s="1629">
        <f t="shared" ref="AC83:AC143" si="31">N83-AB83</f>
        <v>0</v>
      </c>
      <c r="AE83" s="1630"/>
      <c r="AF83" s="1631"/>
      <c r="AG83" s="1631"/>
      <c r="AH83" s="1632"/>
      <c r="AI83" s="1633"/>
      <c r="AJ83" s="1634"/>
      <c r="AK83" s="1137"/>
    </row>
    <row r="84" spans="1:37" s="7" customFormat="1">
      <c r="A84" s="1134" t="s">
        <v>66</v>
      </c>
      <c r="B84" s="165">
        <f t="shared" ref="B84:B143" si="32">L84</f>
        <v>68200000</v>
      </c>
      <c r="C84" s="108" t="s">
        <v>44</v>
      </c>
      <c r="D84" s="108" t="s">
        <v>905</v>
      </c>
      <c r="E84" s="108" t="s">
        <v>901</v>
      </c>
      <c r="F84" s="108" t="s">
        <v>901</v>
      </c>
      <c r="G84" s="109" t="s">
        <v>61</v>
      </c>
      <c r="H84" s="1219">
        <v>113</v>
      </c>
      <c r="I84" s="233">
        <v>0</v>
      </c>
      <c r="J84" s="322"/>
      <c r="K84" s="1365">
        <v>23</v>
      </c>
      <c r="L84" s="694">
        <v>68200000</v>
      </c>
      <c r="M84" s="571">
        <v>8</v>
      </c>
      <c r="N84" s="185">
        <v>68200000</v>
      </c>
      <c r="O84" s="263">
        <v>10</v>
      </c>
      <c r="P84" s="268"/>
      <c r="Q84" s="175">
        <v>3100000</v>
      </c>
      <c r="R84" s="175">
        <v>6200000</v>
      </c>
      <c r="S84" s="165"/>
      <c r="T84" s="165"/>
      <c r="U84" s="174"/>
      <c r="V84" s="175"/>
      <c r="W84" s="175"/>
      <c r="X84" s="175"/>
      <c r="Y84" s="174"/>
      <c r="Z84" s="174"/>
      <c r="AA84" s="174"/>
      <c r="AB84" s="207">
        <f t="shared" ref="AB84:AB142" si="33">SUM(P84:AA84)</f>
        <v>9300000</v>
      </c>
      <c r="AC84" s="447">
        <f t="shared" si="31"/>
        <v>58900000</v>
      </c>
      <c r="AE84" s="1219">
        <v>113</v>
      </c>
      <c r="AF84" s="1220" t="s">
        <v>395</v>
      </c>
      <c r="AG84" s="313" t="s">
        <v>739</v>
      </c>
      <c r="AH84" s="1113">
        <f t="shared" ref="AH84:AH143" si="34">O84</f>
        <v>10</v>
      </c>
      <c r="AI84" s="1221">
        <v>68200000</v>
      </c>
      <c r="AJ84" s="1215">
        <f>AI84-N84</f>
        <v>0</v>
      </c>
      <c r="AK84" s="1137"/>
    </row>
    <row r="85" spans="1:37" s="7" customFormat="1">
      <c r="A85" s="1134" t="s">
        <v>66</v>
      </c>
      <c r="B85" s="165">
        <f t="shared" si="32"/>
        <v>3070667</v>
      </c>
      <c r="C85" s="108" t="s">
        <v>44</v>
      </c>
      <c r="D85" s="108" t="s">
        <v>905</v>
      </c>
      <c r="E85" s="108" t="s">
        <v>901</v>
      </c>
      <c r="F85" s="108" t="s">
        <v>901</v>
      </c>
      <c r="G85" s="109" t="s">
        <v>61</v>
      </c>
      <c r="H85" s="1219">
        <v>114</v>
      </c>
      <c r="I85" s="233">
        <v>0</v>
      </c>
      <c r="J85" s="322"/>
      <c r="K85" s="1365">
        <v>83</v>
      </c>
      <c r="L85" s="694">
        <f>36190000-33119333</f>
        <v>3070667</v>
      </c>
      <c r="M85" s="571">
        <v>105</v>
      </c>
      <c r="N85" s="185">
        <f>36190000-33119333</f>
        <v>3070667</v>
      </c>
      <c r="O85" s="263">
        <v>69</v>
      </c>
      <c r="P85" s="268"/>
      <c r="Q85" s="175">
        <v>987000</v>
      </c>
      <c r="R85" s="175">
        <v>2083666</v>
      </c>
      <c r="S85" s="165"/>
      <c r="T85" s="165"/>
      <c r="U85" s="174"/>
      <c r="V85" s="175"/>
      <c r="W85" s="175"/>
      <c r="X85" s="175"/>
      <c r="Y85" s="174"/>
      <c r="Z85" s="174"/>
      <c r="AA85" s="174"/>
      <c r="AB85" s="207">
        <f t="shared" si="33"/>
        <v>3070666</v>
      </c>
      <c r="AC85" s="447">
        <f t="shared" si="31"/>
        <v>1</v>
      </c>
      <c r="AE85" s="1219">
        <v>114</v>
      </c>
      <c r="AF85" s="1220" t="s">
        <v>396</v>
      </c>
      <c r="AG85" s="313" t="s">
        <v>740</v>
      </c>
      <c r="AH85" s="1113">
        <f t="shared" si="34"/>
        <v>69</v>
      </c>
      <c r="AI85" s="1221">
        <f>36190000-33119333</f>
        <v>3070667</v>
      </c>
      <c r="AJ85" s="1215">
        <f t="shared" ref="AJ85:AJ143" si="35">AI85-N85</f>
        <v>0</v>
      </c>
      <c r="AK85" s="1137"/>
    </row>
    <row r="86" spans="1:37" s="7" customFormat="1">
      <c r="A86" s="1134" t="s">
        <v>66</v>
      </c>
      <c r="B86" s="165">
        <f t="shared" si="32"/>
        <v>0</v>
      </c>
      <c r="C86" s="108" t="s">
        <v>44</v>
      </c>
      <c r="D86" s="108" t="s">
        <v>905</v>
      </c>
      <c r="E86" s="108" t="s">
        <v>901</v>
      </c>
      <c r="F86" s="108" t="s">
        <v>901</v>
      </c>
      <c r="G86" s="109" t="s">
        <v>61</v>
      </c>
      <c r="H86" s="1219">
        <v>115</v>
      </c>
      <c r="I86" s="233">
        <v>0</v>
      </c>
      <c r="J86" s="322"/>
      <c r="K86" s="1365"/>
      <c r="L86" s="694"/>
      <c r="M86" s="318"/>
      <c r="N86" s="1133"/>
      <c r="O86" s="272"/>
      <c r="P86" s="268"/>
      <c r="Q86" s="175"/>
      <c r="R86" s="175"/>
      <c r="S86" s="165"/>
      <c r="T86" s="165"/>
      <c r="U86" s="174"/>
      <c r="V86" s="175"/>
      <c r="W86" s="175"/>
      <c r="X86" s="175"/>
      <c r="Y86" s="174"/>
      <c r="Z86" s="174"/>
      <c r="AA86" s="174"/>
      <c r="AB86" s="207">
        <f t="shared" si="33"/>
        <v>0</v>
      </c>
      <c r="AC86" s="447">
        <f t="shared" si="31"/>
        <v>0</v>
      </c>
      <c r="AE86" s="1219">
        <v>115</v>
      </c>
      <c r="AF86" s="1220" t="s">
        <v>397</v>
      </c>
      <c r="AG86" s="1220" t="s">
        <v>188</v>
      </c>
      <c r="AH86" s="1113">
        <f t="shared" si="34"/>
        <v>0</v>
      </c>
      <c r="AI86" s="1221">
        <f>94820000-8620000-86200000</f>
        <v>0</v>
      </c>
      <c r="AJ86" s="1215">
        <f t="shared" si="35"/>
        <v>0</v>
      </c>
      <c r="AK86" s="1137"/>
    </row>
    <row r="87" spans="1:37" s="7" customFormat="1">
      <c r="A87" s="1134" t="s">
        <v>66</v>
      </c>
      <c r="B87" s="165">
        <f t="shared" si="32"/>
        <v>3440000</v>
      </c>
      <c r="C87" s="108" t="s">
        <v>44</v>
      </c>
      <c r="D87" s="108" t="s">
        <v>905</v>
      </c>
      <c r="E87" s="108" t="s">
        <v>901</v>
      </c>
      <c r="F87" s="108" t="s">
        <v>901</v>
      </c>
      <c r="G87" s="109" t="s">
        <v>61</v>
      </c>
      <c r="H87" s="1219">
        <v>116</v>
      </c>
      <c r="I87" s="233">
        <v>0</v>
      </c>
      <c r="J87" s="322"/>
      <c r="K87" s="1365">
        <v>324</v>
      </c>
      <c r="L87" s="694">
        <v>3440000</v>
      </c>
      <c r="M87" s="318">
        <v>330</v>
      </c>
      <c r="N87" s="1133">
        <v>3440000</v>
      </c>
      <c r="O87" s="272">
        <v>275</v>
      </c>
      <c r="P87" s="268"/>
      <c r="Q87" s="175"/>
      <c r="R87" s="175">
        <v>172000</v>
      </c>
      <c r="S87" s="165"/>
      <c r="T87" s="165"/>
      <c r="U87" s="174"/>
      <c r="V87" s="175"/>
      <c r="W87" s="175"/>
      <c r="X87" s="175"/>
      <c r="Y87" s="174"/>
      <c r="Z87" s="174"/>
      <c r="AA87" s="174"/>
      <c r="AB87" s="207">
        <f t="shared" si="33"/>
        <v>172000</v>
      </c>
      <c r="AC87" s="447">
        <f t="shared" si="31"/>
        <v>3268000</v>
      </c>
      <c r="AE87" s="1219">
        <v>116</v>
      </c>
      <c r="AF87" s="1220" t="s">
        <v>398</v>
      </c>
      <c r="AG87" s="1220" t="s">
        <v>852</v>
      </c>
      <c r="AH87" s="1113">
        <f t="shared" si="34"/>
        <v>275</v>
      </c>
      <c r="AI87" s="1221">
        <v>6180000</v>
      </c>
      <c r="AJ87" s="1215">
        <f t="shared" si="35"/>
        <v>2740000</v>
      </c>
      <c r="AK87" s="1137"/>
    </row>
    <row r="88" spans="1:37" s="7" customFormat="1">
      <c r="A88" s="1134" t="s">
        <v>66</v>
      </c>
      <c r="B88" s="165">
        <f t="shared" si="32"/>
        <v>0</v>
      </c>
      <c r="C88" s="108" t="s">
        <v>44</v>
      </c>
      <c r="D88" s="108" t="s">
        <v>905</v>
      </c>
      <c r="E88" s="108" t="s">
        <v>901</v>
      </c>
      <c r="F88" s="108" t="s">
        <v>901</v>
      </c>
      <c r="G88" s="109" t="s">
        <v>61</v>
      </c>
      <c r="H88" s="1219">
        <v>116</v>
      </c>
      <c r="I88" s="233">
        <v>0</v>
      </c>
      <c r="J88" s="322"/>
      <c r="K88" s="1365"/>
      <c r="L88" s="694"/>
      <c r="M88" s="318"/>
      <c r="N88" s="1133"/>
      <c r="O88" s="272"/>
      <c r="P88" s="268"/>
      <c r="Q88" s="175"/>
      <c r="R88" s="175"/>
      <c r="S88" s="165"/>
      <c r="T88" s="165"/>
      <c r="U88" s="174"/>
      <c r="V88" s="175"/>
      <c r="W88" s="175"/>
      <c r="X88" s="175"/>
      <c r="Y88" s="174"/>
      <c r="Z88" s="174"/>
      <c r="AA88" s="174"/>
      <c r="AB88" s="207">
        <f t="shared" si="33"/>
        <v>0</v>
      </c>
      <c r="AC88" s="447">
        <f t="shared" si="31"/>
        <v>0</v>
      </c>
      <c r="AE88" s="1219">
        <v>116</v>
      </c>
      <c r="AF88" s="1220" t="s">
        <v>399</v>
      </c>
      <c r="AG88" s="1220" t="s">
        <v>188</v>
      </c>
      <c r="AH88" s="1113">
        <f t="shared" si="34"/>
        <v>0</v>
      </c>
      <c r="AI88" s="1221">
        <v>29600000</v>
      </c>
      <c r="AJ88" s="1215">
        <f t="shared" si="35"/>
        <v>29600000</v>
      </c>
      <c r="AK88" s="1137"/>
    </row>
    <row r="89" spans="1:37" s="7" customFormat="1">
      <c r="A89" s="1134" t="s">
        <v>66</v>
      </c>
      <c r="B89" s="165">
        <f t="shared" si="32"/>
        <v>60060000</v>
      </c>
      <c r="C89" s="108" t="s">
        <v>44</v>
      </c>
      <c r="D89" s="108" t="s">
        <v>905</v>
      </c>
      <c r="E89" s="108" t="s">
        <v>901</v>
      </c>
      <c r="F89" s="108" t="s">
        <v>901</v>
      </c>
      <c r="G89" s="109" t="s">
        <v>61</v>
      </c>
      <c r="H89" s="1219">
        <v>117</v>
      </c>
      <c r="I89" s="233">
        <v>0</v>
      </c>
      <c r="J89" s="322"/>
      <c r="K89" s="1365">
        <v>60</v>
      </c>
      <c r="L89" s="694">
        <v>60060000</v>
      </c>
      <c r="M89" s="571">
        <v>14</v>
      </c>
      <c r="N89" s="185">
        <v>60060000</v>
      </c>
      <c r="O89" s="263">
        <v>1</v>
      </c>
      <c r="P89" s="268"/>
      <c r="Q89" s="175">
        <v>2730000</v>
      </c>
      <c r="R89" s="175">
        <v>5460000</v>
      </c>
      <c r="S89" s="165"/>
      <c r="T89" s="165"/>
      <c r="U89" s="174"/>
      <c r="V89" s="175"/>
      <c r="W89" s="175"/>
      <c r="X89" s="175"/>
      <c r="Y89" s="174"/>
      <c r="Z89" s="174"/>
      <c r="AA89" s="174"/>
      <c r="AB89" s="207">
        <f t="shared" si="33"/>
        <v>8190000</v>
      </c>
      <c r="AC89" s="447">
        <f t="shared" si="31"/>
        <v>51870000</v>
      </c>
      <c r="AE89" s="1219">
        <v>117</v>
      </c>
      <c r="AF89" s="1220" t="s">
        <v>400</v>
      </c>
      <c r="AG89" s="313" t="s">
        <v>741</v>
      </c>
      <c r="AH89" s="1113">
        <f t="shared" si="34"/>
        <v>1</v>
      </c>
      <c r="AI89" s="1221">
        <v>60060000</v>
      </c>
      <c r="AJ89" s="1215">
        <f t="shared" si="35"/>
        <v>0</v>
      </c>
      <c r="AK89" s="1137"/>
    </row>
    <row r="90" spans="1:37" s="7" customFormat="1">
      <c r="A90" s="1134" t="s">
        <v>66</v>
      </c>
      <c r="B90" s="165">
        <f t="shared" si="32"/>
        <v>37000000</v>
      </c>
      <c r="C90" s="108" t="s">
        <v>44</v>
      </c>
      <c r="D90" s="108" t="s">
        <v>905</v>
      </c>
      <c r="E90" s="108" t="s">
        <v>901</v>
      </c>
      <c r="F90" s="108" t="s">
        <v>901</v>
      </c>
      <c r="G90" s="109" t="s">
        <v>61</v>
      </c>
      <c r="H90" s="1219">
        <v>118</v>
      </c>
      <c r="I90" s="233">
        <v>0</v>
      </c>
      <c r="J90" s="322"/>
      <c r="K90" s="1365">
        <v>226</v>
      </c>
      <c r="L90" s="694">
        <v>37000000</v>
      </c>
      <c r="M90" s="571">
        <v>207</v>
      </c>
      <c r="N90" s="185">
        <v>37000000</v>
      </c>
      <c r="O90" s="263">
        <v>167</v>
      </c>
      <c r="P90" s="268"/>
      <c r="Q90" s="175"/>
      <c r="R90" s="175">
        <v>3700000</v>
      </c>
      <c r="S90" s="165"/>
      <c r="T90" s="165"/>
      <c r="U90" s="174"/>
      <c r="V90" s="175"/>
      <c r="W90" s="175"/>
      <c r="X90" s="175"/>
      <c r="Y90" s="174"/>
      <c r="Z90" s="174"/>
      <c r="AA90" s="174"/>
      <c r="AB90" s="207">
        <f t="shared" si="33"/>
        <v>3700000</v>
      </c>
      <c r="AC90" s="447">
        <f t="shared" si="31"/>
        <v>33300000</v>
      </c>
      <c r="AE90" s="1219">
        <v>118</v>
      </c>
      <c r="AF90" s="1220" t="s">
        <v>401</v>
      </c>
      <c r="AG90" s="313" t="s">
        <v>742</v>
      </c>
      <c r="AH90" s="1113">
        <f t="shared" si="34"/>
        <v>167</v>
      </c>
      <c r="AI90" s="1221">
        <f>38280000-1280000</f>
        <v>37000000</v>
      </c>
      <c r="AJ90" s="1215">
        <f t="shared" si="35"/>
        <v>0</v>
      </c>
      <c r="AK90" s="1137"/>
    </row>
    <row r="91" spans="1:37" s="7" customFormat="1">
      <c r="A91" s="1134" t="s">
        <v>66</v>
      </c>
      <c r="B91" s="165">
        <f t="shared" si="32"/>
        <v>74800000</v>
      </c>
      <c r="C91" s="108" t="s">
        <v>44</v>
      </c>
      <c r="D91" s="108" t="s">
        <v>905</v>
      </c>
      <c r="E91" s="108" t="s">
        <v>901</v>
      </c>
      <c r="F91" s="108" t="s">
        <v>901</v>
      </c>
      <c r="G91" s="109" t="s">
        <v>61</v>
      </c>
      <c r="H91" s="1219">
        <v>119</v>
      </c>
      <c r="I91" s="233">
        <v>0</v>
      </c>
      <c r="J91" s="322"/>
      <c r="K91" s="1365">
        <v>61</v>
      </c>
      <c r="L91" s="694">
        <v>74800000</v>
      </c>
      <c r="M91" s="571">
        <v>15</v>
      </c>
      <c r="N91" s="185">
        <v>74800000</v>
      </c>
      <c r="O91" s="263">
        <v>4</v>
      </c>
      <c r="P91" s="268"/>
      <c r="Q91" s="175">
        <v>3400000</v>
      </c>
      <c r="R91" s="175">
        <v>6800000</v>
      </c>
      <c r="S91" s="165"/>
      <c r="T91" s="165"/>
      <c r="U91" s="174"/>
      <c r="V91" s="175"/>
      <c r="W91" s="175"/>
      <c r="X91" s="175"/>
      <c r="Y91" s="174"/>
      <c r="Z91" s="174"/>
      <c r="AA91" s="174"/>
      <c r="AB91" s="207">
        <f t="shared" si="33"/>
        <v>10200000</v>
      </c>
      <c r="AC91" s="447">
        <f t="shared" si="31"/>
        <v>64600000</v>
      </c>
      <c r="AE91" s="1219">
        <v>119</v>
      </c>
      <c r="AF91" s="1220" t="s">
        <v>402</v>
      </c>
      <c r="AG91" s="313" t="s">
        <v>743</v>
      </c>
      <c r="AH91" s="1113">
        <f t="shared" si="34"/>
        <v>4</v>
      </c>
      <c r="AI91" s="1221">
        <v>74800000</v>
      </c>
      <c r="AJ91" s="1215">
        <f t="shared" si="35"/>
        <v>0</v>
      </c>
      <c r="AK91" s="1137"/>
    </row>
    <row r="92" spans="1:37" s="7" customFormat="1">
      <c r="A92" s="1134" t="s">
        <v>66</v>
      </c>
      <c r="B92" s="165">
        <f t="shared" si="32"/>
        <v>40700000</v>
      </c>
      <c r="C92" s="108" t="s">
        <v>44</v>
      </c>
      <c r="D92" s="108" t="s">
        <v>905</v>
      </c>
      <c r="E92" s="108" t="s">
        <v>901</v>
      </c>
      <c r="F92" s="108" t="s">
        <v>901</v>
      </c>
      <c r="G92" s="109" t="s">
        <v>61</v>
      </c>
      <c r="H92" s="1219">
        <v>124</v>
      </c>
      <c r="I92" s="233">
        <v>0</v>
      </c>
      <c r="J92" s="322"/>
      <c r="K92" s="1365">
        <v>238</v>
      </c>
      <c r="L92" s="694">
        <v>40700000</v>
      </c>
      <c r="M92" s="571">
        <v>205</v>
      </c>
      <c r="N92" s="185">
        <v>40700000</v>
      </c>
      <c r="O92" s="263">
        <v>193</v>
      </c>
      <c r="P92" s="268"/>
      <c r="Q92" s="175"/>
      <c r="R92" s="175">
        <v>3700000</v>
      </c>
      <c r="S92" s="165"/>
      <c r="T92" s="165"/>
      <c r="U92" s="174"/>
      <c r="V92" s="175"/>
      <c r="W92" s="175"/>
      <c r="X92" s="175"/>
      <c r="Y92" s="174"/>
      <c r="Z92" s="174"/>
      <c r="AA92" s="174"/>
      <c r="AB92" s="207">
        <f t="shared" si="33"/>
        <v>3700000</v>
      </c>
      <c r="AC92" s="447">
        <f t="shared" si="31"/>
        <v>37000000</v>
      </c>
      <c r="AE92" s="1219">
        <v>124</v>
      </c>
      <c r="AF92" s="1220" t="s">
        <v>403</v>
      </c>
      <c r="AG92" s="313" t="s">
        <v>744</v>
      </c>
      <c r="AH92" s="1113">
        <f t="shared" si="34"/>
        <v>193</v>
      </c>
      <c r="AI92" s="1221">
        <v>40700000</v>
      </c>
      <c r="AJ92" s="1215">
        <f t="shared" si="35"/>
        <v>0</v>
      </c>
      <c r="AK92" s="1137"/>
    </row>
    <row r="93" spans="1:37" s="7" customFormat="1">
      <c r="A93" s="1134" t="s">
        <v>66</v>
      </c>
      <c r="B93" s="165">
        <f t="shared" si="32"/>
        <v>29480000</v>
      </c>
      <c r="C93" s="108" t="s">
        <v>44</v>
      </c>
      <c r="D93" s="108" t="s">
        <v>905</v>
      </c>
      <c r="E93" s="108" t="s">
        <v>901</v>
      </c>
      <c r="F93" s="108" t="s">
        <v>901</v>
      </c>
      <c r="G93" s="109" t="s">
        <v>61</v>
      </c>
      <c r="H93" s="1219">
        <v>128</v>
      </c>
      <c r="I93" s="233">
        <v>0</v>
      </c>
      <c r="J93" s="322"/>
      <c r="K93" s="1365">
        <v>142</v>
      </c>
      <c r="L93" s="694">
        <v>29480000</v>
      </c>
      <c r="M93" s="571">
        <v>96</v>
      </c>
      <c r="N93" s="185">
        <v>29480000</v>
      </c>
      <c r="O93" s="263">
        <v>132</v>
      </c>
      <c r="P93" s="268"/>
      <c r="Q93" s="175">
        <v>625331</v>
      </c>
      <c r="R93" s="175">
        <v>2680000</v>
      </c>
      <c r="S93" s="165"/>
      <c r="T93" s="165"/>
      <c r="U93" s="174"/>
      <c r="V93" s="175"/>
      <c r="W93" s="175"/>
      <c r="X93" s="175"/>
      <c r="Y93" s="174"/>
      <c r="Z93" s="174"/>
      <c r="AA93" s="174"/>
      <c r="AB93" s="207">
        <f t="shared" si="33"/>
        <v>3305331</v>
      </c>
      <c r="AC93" s="447">
        <f t="shared" si="31"/>
        <v>26174669</v>
      </c>
      <c r="AE93" s="1219">
        <v>128</v>
      </c>
      <c r="AF93" s="1220" t="s">
        <v>404</v>
      </c>
      <c r="AG93" s="313" t="s">
        <v>745</v>
      </c>
      <c r="AH93" s="1113">
        <f t="shared" si="34"/>
        <v>132</v>
      </c>
      <c r="AI93" s="1221">
        <v>29480000</v>
      </c>
      <c r="AJ93" s="1215">
        <f t="shared" si="35"/>
        <v>0</v>
      </c>
      <c r="AK93" s="1137"/>
    </row>
    <row r="94" spans="1:37" s="7" customFormat="1">
      <c r="A94" s="1134" t="s">
        <v>66</v>
      </c>
      <c r="B94" s="165">
        <f t="shared" si="32"/>
        <v>56650000</v>
      </c>
      <c r="C94" s="108" t="s">
        <v>44</v>
      </c>
      <c r="D94" s="108" t="s">
        <v>905</v>
      </c>
      <c r="E94" s="108" t="s">
        <v>901</v>
      </c>
      <c r="F94" s="108" t="s">
        <v>901</v>
      </c>
      <c r="G94" s="109" t="s">
        <v>61</v>
      </c>
      <c r="H94" s="1219">
        <v>140</v>
      </c>
      <c r="I94" s="233">
        <v>0</v>
      </c>
      <c r="J94" s="322"/>
      <c r="K94" s="1365">
        <v>143</v>
      </c>
      <c r="L94" s="694">
        <v>56650000</v>
      </c>
      <c r="M94" s="571">
        <v>152</v>
      </c>
      <c r="N94" s="185">
        <v>56650000</v>
      </c>
      <c r="O94" s="263">
        <v>136</v>
      </c>
      <c r="P94" s="268"/>
      <c r="Q94" s="175">
        <v>1030000</v>
      </c>
      <c r="R94" s="175">
        <v>5150000</v>
      </c>
      <c r="S94" s="165"/>
      <c r="T94" s="165"/>
      <c r="U94" s="174"/>
      <c r="V94" s="175"/>
      <c r="W94" s="175"/>
      <c r="X94" s="175"/>
      <c r="Y94" s="174"/>
      <c r="Z94" s="174"/>
      <c r="AA94" s="174"/>
      <c r="AB94" s="207">
        <f t="shared" si="33"/>
        <v>6180000</v>
      </c>
      <c r="AC94" s="447">
        <f t="shared" si="31"/>
        <v>50470000</v>
      </c>
      <c r="AE94" s="1219">
        <v>140</v>
      </c>
      <c r="AF94" s="1220" t="s">
        <v>405</v>
      </c>
      <c r="AG94" s="313" t="s">
        <v>746</v>
      </c>
      <c r="AH94" s="1113">
        <f t="shared" si="34"/>
        <v>136</v>
      </c>
      <c r="AI94" s="1221">
        <v>56650000</v>
      </c>
      <c r="AJ94" s="1215">
        <f t="shared" si="35"/>
        <v>0</v>
      </c>
      <c r="AK94" s="1137"/>
    </row>
    <row r="95" spans="1:37" s="7" customFormat="1">
      <c r="A95" s="1134" t="s">
        <v>66</v>
      </c>
      <c r="B95" s="165">
        <f t="shared" si="32"/>
        <v>70000000</v>
      </c>
      <c r="C95" s="108" t="s">
        <v>44</v>
      </c>
      <c r="D95" s="108" t="s">
        <v>905</v>
      </c>
      <c r="E95" s="108" t="s">
        <v>901</v>
      </c>
      <c r="F95" s="108" t="s">
        <v>901</v>
      </c>
      <c r="G95" s="109" t="s">
        <v>61</v>
      </c>
      <c r="H95" s="1219">
        <v>141</v>
      </c>
      <c r="I95" s="233">
        <v>0</v>
      </c>
      <c r="J95" s="322"/>
      <c r="K95" s="1365">
        <v>166</v>
      </c>
      <c r="L95" s="694">
        <v>70000000</v>
      </c>
      <c r="M95" s="571">
        <v>160</v>
      </c>
      <c r="N95" s="185">
        <v>70000000</v>
      </c>
      <c r="O95" s="263">
        <v>140</v>
      </c>
      <c r="P95" s="268"/>
      <c r="Q95" s="175"/>
      <c r="R95" s="175">
        <v>7466666</v>
      </c>
      <c r="S95" s="165"/>
      <c r="T95" s="165"/>
      <c r="U95" s="174"/>
      <c r="V95" s="175"/>
      <c r="W95" s="175"/>
      <c r="X95" s="175"/>
      <c r="Y95" s="174"/>
      <c r="Z95" s="174"/>
      <c r="AA95" s="174"/>
      <c r="AB95" s="207">
        <f t="shared" si="33"/>
        <v>7466666</v>
      </c>
      <c r="AC95" s="447">
        <f t="shared" si="31"/>
        <v>62533334</v>
      </c>
      <c r="AE95" s="1219">
        <v>141</v>
      </c>
      <c r="AF95" s="1220" t="s">
        <v>406</v>
      </c>
      <c r="AG95" s="313" t="s">
        <v>747</v>
      </c>
      <c r="AH95" s="1113">
        <f t="shared" si="34"/>
        <v>140</v>
      </c>
      <c r="AI95" s="1221">
        <v>71390000</v>
      </c>
      <c r="AJ95" s="1215">
        <f t="shared" si="35"/>
        <v>1390000</v>
      </c>
      <c r="AK95" s="1137"/>
    </row>
    <row r="96" spans="1:37" s="7" customFormat="1">
      <c r="A96" s="1134" t="s">
        <v>66</v>
      </c>
      <c r="B96" s="165">
        <f t="shared" si="32"/>
        <v>33990000</v>
      </c>
      <c r="C96" s="108" t="s">
        <v>44</v>
      </c>
      <c r="D96" s="108" t="s">
        <v>905</v>
      </c>
      <c r="E96" s="108" t="s">
        <v>901</v>
      </c>
      <c r="F96" s="108" t="s">
        <v>901</v>
      </c>
      <c r="G96" s="109" t="s">
        <v>61</v>
      </c>
      <c r="H96" s="1219">
        <v>142</v>
      </c>
      <c r="I96" s="233">
        <v>0</v>
      </c>
      <c r="J96" s="322"/>
      <c r="K96" s="1365">
        <v>55</v>
      </c>
      <c r="L96" s="694">
        <v>33990000</v>
      </c>
      <c r="M96" s="571">
        <v>32</v>
      </c>
      <c r="N96" s="185">
        <v>33990000</v>
      </c>
      <c r="O96" s="263">
        <v>28</v>
      </c>
      <c r="P96" s="268"/>
      <c r="Q96" s="175">
        <v>1339000</v>
      </c>
      <c r="R96" s="175">
        <f>2575000+513636</f>
        <v>3088636</v>
      </c>
      <c r="S96" s="165"/>
      <c r="T96" s="165"/>
      <c r="U96" s="174"/>
      <c r="V96" s="175"/>
      <c r="W96" s="175"/>
      <c r="X96" s="175"/>
      <c r="Y96" s="174"/>
      <c r="Z96" s="174"/>
      <c r="AA96" s="174"/>
      <c r="AB96" s="207">
        <f t="shared" si="33"/>
        <v>4427636</v>
      </c>
      <c r="AC96" s="447">
        <f t="shared" si="31"/>
        <v>29562364</v>
      </c>
      <c r="AE96" s="1219">
        <v>142</v>
      </c>
      <c r="AF96" s="1220" t="s">
        <v>407</v>
      </c>
      <c r="AG96" s="313" t="s">
        <v>748</v>
      </c>
      <c r="AH96" s="1113">
        <f t="shared" si="34"/>
        <v>28</v>
      </c>
      <c r="AI96" s="1221">
        <v>33990000</v>
      </c>
      <c r="AJ96" s="1215">
        <f t="shared" si="35"/>
        <v>0</v>
      </c>
      <c r="AK96" s="1137"/>
    </row>
    <row r="97" spans="1:37" s="7" customFormat="1">
      <c r="A97" s="1134" t="s">
        <v>66</v>
      </c>
      <c r="B97" s="165">
        <f t="shared" si="32"/>
        <v>60060000</v>
      </c>
      <c r="C97" s="108" t="s">
        <v>44</v>
      </c>
      <c r="D97" s="108" t="s">
        <v>905</v>
      </c>
      <c r="E97" s="108" t="s">
        <v>901</v>
      </c>
      <c r="F97" s="108" t="s">
        <v>901</v>
      </c>
      <c r="G97" s="109" t="s">
        <v>61</v>
      </c>
      <c r="H97" s="1219">
        <v>144</v>
      </c>
      <c r="I97" s="233">
        <v>0</v>
      </c>
      <c r="J97" s="322"/>
      <c r="K97" s="1365">
        <v>84</v>
      </c>
      <c r="L97" s="694">
        <v>60060000</v>
      </c>
      <c r="M97" s="571">
        <v>53</v>
      </c>
      <c r="N97" s="185">
        <v>60060000</v>
      </c>
      <c r="O97" s="263">
        <v>58</v>
      </c>
      <c r="P97" s="268"/>
      <c r="Q97" s="175">
        <v>2366000</v>
      </c>
      <c r="R97" s="175">
        <v>5460000</v>
      </c>
      <c r="S97" s="165"/>
      <c r="T97" s="165"/>
      <c r="U97" s="174"/>
      <c r="V97" s="175"/>
      <c r="W97" s="175"/>
      <c r="X97" s="175"/>
      <c r="Y97" s="174"/>
      <c r="Z97" s="174"/>
      <c r="AA97" s="174"/>
      <c r="AB97" s="207">
        <f t="shared" si="33"/>
        <v>7826000</v>
      </c>
      <c r="AC97" s="447">
        <f t="shared" si="31"/>
        <v>52234000</v>
      </c>
      <c r="AE97" s="1219">
        <v>144</v>
      </c>
      <c r="AF97" s="1220" t="s">
        <v>408</v>
      </c>
      <c r="AG97" s="313" t="s">
        <v>749</v>
      </c>
      <c r="AH97" s="1113">
        <f t="shared" si="34"/>
        <v>58</v>
      </c>
      <c r="AI97" s="1221">
        <v>60060000</v>
      </c>
      <c r="AJ97" s="1215">
        <f t="shared" si="35"/>
        <v>0</v>
      </c>
      <c r="AK97" s="1137"/>
    </row>
    <row r="98" spans="1:37" s="7" customFormat="1">
      <c r="A98" s="1134" t="s">
        <v>66</v>
      </c>
      <c r="B98" s="165">
        <f t="shared" si="32"/>
        <v>60060000</v>
      </c>
      <c r="C98" s="108" t="s">
        <v>44</v>
      </c>
      <c r="D98" s="108" t="s">
        <v>905</v>
      </c>
      <c r="E98" s="108" t="s">
        <v>901</v>
      </c>
      <c r="F98" s="108" t="s">
        <v>901</v>
      </c>
      <c r="G98" s="109" t="s">
        <v>61</v>
      </c>
      <c r="H98" s="1219">
        <v>145</v>
      </c>
      <c r="I98" s="233">
        <v>0</v>
      </c>
      <c r="J98" s="322"/>
      <c r="K98" s="1365">
        <v>216</v>
      </c>
      <c r="L98" s="694">
        <v>60060000</v>
      </c>
      <c r="M98" s="571">
        <f>VLOOKUP(K98,[4]RP!I$249:J$307,2,0)</f>
        <v>212</v>
      </c>
      <c r="N98" s="176">
        <v>55000000</v>
      </c>
      <c r="O98" s="1368">
        <v>182</v>
      </c>
      <c r="P98" s="268"/>
      <c r="Q98" s="175"/>
      <c r="R98" s="175">
        <v>5500000</v>
      </c>
      <c r="S98" s="165"/>
      <c r="T98" s="165"/>
      <c r="U98" s="174"/>
      <c r="V98" s="175"/>
      <c r="W98" s="175"/>
      <c r="X98" s="175"/>
      <c r="Y98" s="174"/>
      <c r="Z98" s="174"/>
      <c r="AA98" s="174"/>
      <c r="AB98" s="207">
        <f t="shared" si="33"/>
        <v>5500000</v>
      </c>
      <c r="AC98" s="447">
        <f t="shared" si="31"/>
        <v>49500000</v>
      </c>
      <c r="AE98" s="1219">
        <v>145</v>
      </c>
      <c r="AF98" s="1220" t="s">
        <v>409</v>
      </c>
      <c r="AG98" s="1154" t="s">
        <v>750</v>
      </c>
      <c r="AH98" s="1113">
        <f t="shared" si="34"/>
        <v>182</v>
      </c>
      <c r="AI98" s="1221">
        <v>60060000</v>
      </c>
      <c r="AJ98" s="1215">
        <f t="shared" si="35"/>
        <v>5060000</v>
      </c>
      <c r="AK98" s="1137"/>
    </row>
    <row r="99" spans="1:37" s="7" customFormat="1">
      <c r="A99" s="1134" t="s">
        <v>66</v>
      </c>
      <c r="B99" s="165">
        <f t="shared" si="32"/>
        <v>25520000</v>
      </c>
      <c r="C99" s="108" t="s">
        <v>44</v>
      </c>
      <c r="D99" s="108" t="s">
        <v>905</v>
      </c>
      <c r="E99" s="108" t="s">
        <v>901</v>
      </c>
      <c r="F99" s="108" t="s">
        <v>901</v>
      </c>
      <c r="G99" s="109" t="s">
        <v>61</v>
      </c>
      <c r="H99" s="1219">
        <v>147</v>
      </c>
      <c r="I99" s="233">
        <v>0</v>
      </c>
      <c r="J99" s="322"/>
      <c r="K99" s="1365">
        <v>105</v>
      </c>
      <c r="L99" s="694">
        <v>25520000</v>
      </c>
      <c r="M99" s="571">
        <v>128</v>
      </c>
      <c r="N99" s="185">
        <v>25520000</v>
      </c>
      <c r="O99" s="263">
        <v>121</v>
      </c>
      <c r="P99" s="268"/>
      <c r="Q99" s="175">
        <v>618667</v>
      </c>
      <c r="R99" s="175">
        <v>2320000</v>
      </c>
      <c r="S99" s="165"/>
      <c r="T99" s="165"/>
      <c r="U99" s="174"/>
      <c r="V99" s="175"/>
      <c r="W99" s="175"/>
      <c r="X99" s="175"/>
      <c r="Y99" s="174"/>
      <c r="Z99" s="174"/>
      <c r="AA99" s="174"/>
      <c r="AB99" s="207">
        <f t="shared" si="33"/>
        <v>2938667</v>
      </c>
      <c r="AC99" s="447">
        <f t="shared" si="31"/>
        <v>22581333</v>
      </c>
      <c r="AE99" s="1219">
        <v>147</v>
      </c>
      <c r="AF99" s="1220" t="s">
        <v>410</v>
      </c>
      <c r="AG99" s="313" t="s">
        <v>751</v>
      </c>
      <c r="AH99" s="1113">
        <f t="shared" si="34"/>
        <v>121</v>
      </c>
      <c r="AI99" s="1221">
        <v>25542000</v>
      </c>
      <c r="AJ99" s="1215">
        <f t="shared" si="35"/>
        <v>22000</v>
      </c>
      <c r="AK99" s="1137"/>
    </row>
    <row r="100" spans="1:37" s="7" customFormat="1">
      <c r="A100" s="1134" t="s">
        <v>66</v>
      </c>
      <c r="B100" s="165">
        <f t="shared" si="32"/>
        <v>31570000</v>
      </c>
      <c r="C100" s="108" t="s">
        <v>44</v>
      </c>
      <c r="D100" s="108" t="s">
        <v>905</v>
      </c>
      <c r="E100" s="108" t="s">
        <v>901</v>
      </c>
      <c r="F100" s="108" t="s">
        <v>901</v>
      </c>
      <c r="G100" s="109" t="s">
        <v>61</v>
      </c>
      <c r="H100" s="1219">
        <v>148</v>
      </c>
      <c r="I100" s="233">
        <v>0</v>
      </c>
      <c r="J100" s="322"/>
      <c r="K100" s="1365">
        <v>86</v>
      </c>
      <c r="L100" s="694">
        <v>31570000</v>
      </c>
      <c r="M100" s="571">
        <v>33</v>
      </c>
      <c r="N100" s="185">
        <v>31570000</v>
      </c>
      <c r="O100" s="263">
        <v>33</v>
      </c>
      <c r="P100" s="268"/>
      <c r="Q100" s="175">
        <v>1243667</v>
      </c>
      <c r="R100" s="175">
        <v>2870000</v>
      </c>
      <c r="S100" s="165"/>
      <c r="T100" s="165"/>
      <c r="U100" s="174"/>
      <c r="V100" s="175"/>
      <c r="W100" s="175"/>
      <c r="X100" s="175"/>
      <c r="Y100" s="174"/>
      <c r="Z100" s="174"/>
      <c r="AA100" s="174"/>
      <c r="AB100" s="207">
        <f t="shared" si="33"/>
        <v>4113667</v>
      </c>
      <c r="AC100" s="447">
        <f t="shared" si="31"/>
        <v>27456333</v>
      </c>
      <c r="AE100" s="1219">
        <v>148</v>
      </c>
      <c r="AF100" s="1220" t="s">
        <v>411</v>
      </c>
      <c r="AG100" s="313" t="s">
        <v>752</v>
      </c>
      <c r="AH100" s="1113">
        <f t="shared" si="34"/>
        <v>33</v>
      </c>
      <c r="AI100" s="1221">
        <v>31570000</v>
      </c>
      <c r="AJ100" s="1215">
        <f t="shared" si="35"/>
        <v>0</v>
      </c>
      <c r="AK100" s="1137"/>
    </row>
    <row r="101" spans="1:37" s="7" customFormat="1">
      <c r="A101" s="1134" t="s">
        <v>66</v>
      </c>
      <c r="B101" s="165">
        <f t="shared" si="32"/>
        <v>88330000</v>
      </c>
      <c r="C101" s="108" t="s">
        <v>44</v>
      </c>
      <c r="D101" s="108" t="s">
        <v>905</v>
      </c>
      <c r="E101" s="108" t="s">
        <v>901</v>
      </c>
      <c r="F101" s="108" t="s">
        <v>901</v>
      </c>
      <c r="G101" s="109" t="s">
        <v>61</v>
      </c>
      <c r="H101" s="1219">
        <v>149</v>
      </c>
      <c r="I101" s="233">
        <v>0</v>
      </c>
      <c r="J101" s="322"/>
      <c r="K101" s="1365">
        <v>144</v>
      </c>
      <c r="L101" s="694">
        <v>88330000</v>
      </c>
      <c r="M101" s="571">
        <v>93</v>
      </c>
      <c r="N101" s="185">
        <v>88330000</v>
      </c>
      <c r="O101" s="263">
        <v>109</v>
      </c>
      <c r="P101" s="268"/>
      <c r="Q101" s="175">
        <v>2141333</v>
      </c>
      <c r="R101" s="175">
        <v>8030000</v>
      </c>
      <c r="S101" s="165"/>
      <c r="T101" s="165"/>
      <c r="U101" s="174"/>
      <c r="V101" s="175"/>
      <c r="W101" s="175"/>
      <c r="X101" s="175"/>
      <c r="Y101" s="174"/>
      <c r="Z101" s="174"/>
      <c r="AA101" s="174"/>
      <c r="AB101" s="207">
        <f t="shared" si="33"/>
        <v>10171333</v>
      </c>
      <c r="AC101" s="447">
        <f t="shared" si="31"/>
        <v>78158667</v>
      </c>
      <c r="AE101" s="1219">
        <v>149</v>
      </c>
      <c r="AF101" s="1220" t="s">
        <v>412</v>
      </c>
      <c r="AG101" s="313" t="s">
        <v>753</v>
      </c>
      <c r="AH101" s="1113">
        <f t="shared" si="34"/>
        <v>109</v>
      </c>
      <c r="AI101" s="1221">
        <v>88330000</v>
      </c>
      <c r="AJ101" s="1215">
        <f t="shared" si="35"/>
        <v>0</v>
      </c>
      <c r="AK101" s="1137"/>
    </row>
    <row r="102" spans="1:37" s="7" customFormat="1">
      <c r="A102" s="1134" t="s">
        <v>66</v>
      </c>
      <c r="B102" s="165">
        <f t="shared" si="32"/>
        <v>37000000</v>
      </c>
      <c r="C102" s="108" t="s">
        <v>44</v>
      </c>
      <c r="D102" s="108" t="s">
        <v>905</v>
      </c>
      <c r="E102" s="108" t="s">
        <v>901</v>
      </c>
      <c r="F102" s="108" t="s">
        <v>901</v>
      </c>
      <c r="G102" s="109" t="s">
        <v>61</v>
      </c>
      <c r="H102" s="1219">
        <v>150</v>
      </c>
      <c r="I102" s="233">
        <v>0</v>
      </c>
      <c r="J102" s="322"/>
      <c r="K102" s="1365">
        <v>267</v>
      </c>
      <c r="L102" s="694">
        <v>37000000</v>
      </c>
      <c r="M102" s="571">
        <f>VLOOKUP(K102,[4]RP!I$249:J$307,2,0)</f>
        <v>267</v>
      </c>
      <c r="N102" s="176">
        <v>37000000</v>
      </c>
      <c r="O102" s="1368">
        <v>234</v>
      </c>
      <c r="P102" s="268"/>
      <c r="Q102" s="175"/>
      <c r="R102" s="175">
        <v>2466667</v>
      </c>
      <c r="S102" s="165"/>
      <c r="T102" s="165"/>
      <c r="U102" s="174"/>
      <c r="V102" s="175"/>
      <c r="W102" s="175"/>
      <c r="X102" s="175"/>
      <c r="Y102" s="174"/>
      <c r="Z102" s="174"/>
      <c r="AA102" s="174"/>
      <c r="AB102" s="207">
        <f t="shared" si="33"/>
        <v>2466667</v>
      </c>
      <c r="AC102" s="447">
        <f t="shared" si="31"/>
        <v>34533333</v>
      </c>
      <c r="AE102" s="1219">
        <v>150</v>
      </c>
      <c r="AF102" s="1220" t="s">
        <v>413</v>
      </c>
      <c r="AG102" s="1154" t="s">
        <v>754</v>
      </c>
      <c r="AH102" s="1113">
        <f t="shared" si="34"/>
        <v>234</v>
      </c>
      <c r="AI102" s="1221">
        <f>38280000-1280000</f>
        <v>37000000</v>
      </c>
      <c r="AJ102" s="1215">
        <f t="shared" si="35"/>
        <v>0</v>
      </c>
      <c r="AK102" s="1137"/>
    </row>
    <row r="103" spans="1:37" s="7" customFormat="1">
      <c r="A103" s="1134" t="s">
        <v>66</v>
      </c>
      <c r="B103" s="165">
        <f t="shared" si="32"/>
        <v>74800000</v>
      </c>
      <c r="C103" s="108" t="s">
        <v>44</v>
      </c>
      <c r="D103" s="108" t="s">
        <v>905</v>
      </c>
      <c r="E103" s="108" t="s">
        <v>901</v>
      </c>
      <c r="F103" s="108" t="s">
        <v>901</v>
      </c>
      <c r="G103" s="109" t="s">
        <v>61</v>
      </c>
      <c r="H103" s="1219">
        <v>152</v>
      </c>
      <c r="I103" s="233">
        <v>0</v>
      </c>
      <c r="J103" s="322"/>
      <c r="K103" s="1365">
        <v>57</v>
      </c>
      <c r="L103" s="694">
        <v>74800000</v>
      </c>
      <c r="M103" s="571">
        <f>VLOOKUP(K103,[4]RP!I$249:J$307,2,0)</f>
        <v>215</v>
      </c>
      <c r="N103" s="176">
        <v>70000000</v>
      </c>
      <c r="O103" s="1368">
        <v>186</v>
      </c>
      <c r="P103" s="268"/>
      <c r="Q103" s="175"/>
      <c r="R103" s="175">
        <v>6300000</v>
      </c>
      <c r="S103" s="165"/>
      <c r="T103" s="165"/>
      <c r="U103" s="174"/>
      <c r="V103" s="175"/>
      <c r="W103" s="175"/>
      <c r="X103" s="175"/>
      <c r="Y103" s="174"/>
      <c r="Z103" s="174"/>
      <c r="AA103" s="174"/>
      <c r="AB103" s="207">
        <f t="shared" si="33"/>
        <v>6300000</v>
      </c>
      <c r="AC103" s="447">
        <f t="shared" si="31"/>
        <v>63700000</v>
      </c>
      <c r="AE103" s="1219">
        <v>152</v>
      </c>
      <c r="AF103" s="1220" t="s">
        <v>414</v>
      </c>
      <c r="AG103" s="1154" t="s">
        <v>755</v>
      </c>
      <c r="AH103" s="1113">
        <f t="shared" si="34"/>
        <v>186</v>
      </c>
      <c r="AI103" s="1221">
        <f>74800000-4800000</f>
        <v>70000000</v>
      </c>
      <c r="AJ103" s="1215">
        <f t="shared" si="35"/>
        <v>0</v>
      </c>
      <c r="AK103" s="1137"/>
    </row>
    <row r="104" spans="1:37" s="7" customFormat="1">
      <c r="A104" s="1134" t="s">
        <v>66</v>
      </c>
      <c r="B104" s="165">
        <f t="shared" si="32"/>
        <v>41030000</v>
      </c>
      <c r="C104" s="108" t="s">
        <v>44</v>
      </c>
      <c r="D104" s="108" t="s">
        <v>905</v>
      </c>
      <c r="E104" s="108" t="s">
        <v>901</v>
      </c>
      <c r="F104" s="108" t="s">
        <v>901</v>
      </c>
      <c r="G104" s="109" t="s">
        <v>61</v>
      </c>
      <c r="H104" s="1219">
        <v>153</v>
      </c>
      <c r="I104" s="233">
        <v>0</v>
      </c>
      <c r="J104" s="322"/>
      <c r="K104" s="1365">
        <v>28</v>
      </c>
      <c r="L104" s="694">
        <v>41030000</v>
      </c>
      <c r="M104" s="571">
        <v>6</v>
      </c>
      <c r="N104" s="185">
        <v>41030000</v>
      </c>
      <c r="O104" s="263">
        <v>6</v>
      </c>
      <c r="P104" s="268"/>
      <c r="Q104" s="175">
        <v>1865000</v>
      </c>
      <c r="R104" s="175">
        <v>3730000</v>
      </c>
      <c r="S104" s="165"/>
      <c r="T104" s="165"/>
      <c r="U104" s="174"/>
      <c r="V104" s="175"/>
      <c r="W104" s="175"/>
      <c r="X104" s="175"/>
      <c r="Y104" s="174"/>
      <c r="Z104" s="174"/>
      <c r="AA104" s="174"/>
      <c r="AB104" s="207">
        <f t="shared" si="33"/>
        <v>5595000</v>
      </c>
      <c r="AC104" s="447">
        <f t="shared" si="31"/>
        <v>35435000</v>
      </c>
      <c r="AE104" s="1219">
        <v>153</v>
      </c>
      <c r="AF104" s="1220" t="s">
        <v>415</v>
      </c>
      <c r="AG104" s="313" t="s">
        <v>756</v>
      </c>
      <c r="AH104" s="1113">
        <f t="shared" si="34"/>
        <v>6</v>
      </c>
      <c r="AI104" s="1221">
        <v>41030000</v>
      </c>
      <c r="AJ104" s="1215">
        <f t="shared" si="35"/>
        <v>0</v>
      </c>
      <c r="AK104" s="1137"/>
    </row>
    <row r="105" spans="1:37" s="7" customFormat="1">
      <c r="A105" s="1134" t="s">
        <v>66</v>
      </c>
      <c r="B105" s="165">
        <f t="shared" si="32"/>
        <v>40700000</v>
      </c>
      <c r="C105" s="108" t="s">
        <v>44</v>
      </c>
      <c r="D105" s="108" t="s">
        <v>905</v>
      </c>
      <c r="E105" s="108" t="s">
        <v>901</v>
      </c>
      <c r="F105" s="108" t="s">
        <v>901</v>
      </c>
      <c r="G105" s="109" t="s">
        <v>61</v>
      </c>
      <c r="H105" s="1219">
        <v>154</v>
      </c>
      <c r="I105" s="233">
        <v>0</v>
      </c>
      <c r="J105" s="322"/>
      <c r="K105" s="1365">
        <v>24</v>
      </c>
      <c r="L105" s="694">
        <v>40700000</v>
      </c>
      <c r="M105" s="571">
        <v>7</v>
      </c>
      <c r="N105" s="185">
        <v>40700000</v>
      </c>
      <c r="O105" s="263">
        <v>7</v>
      </c>
      <c r="P105" s="268"/>
      <c r="Q105" s="175">
        <v>1850000</v>
      </c>
      <c r="R105" s="175">
        <v>3700000</v>
      </c>
      <c r="S105" s="165"/>
      <c r="T105" s="165"/>
      <c r="U105" s="174"/>
      <c r="V105" s="175"/>
      <c r="W105" s="175"/>
      <c r="X105" s="175"/>
      <c r="Y105" s="174"/>
      <c r="Z105" s="174"/>
      <c r="AA105" s="174"/>
      <c r="AB105" s="207">
        <f t="shared" si="33"/>
        <v>5550000</v>
      </c>
      <c r="AC105" s="447">
        <f t="shared" si="31"/>
        <v>35150000</v>
      </c>
      <c r="AE105" s="1219">
        <v>154</v>
      </c>
      <c r="AF105" s="1220" t="s">
        <v>416</v>
      </c>
      <c r="AG105" s="313" t="s">
        <v>757</v>
      </c>
      <c r="AH105" s="1113">
        <f t="shared" si="34"/>
        <v>7</v>
      </c>
      <c r="AI105" s="1221">
        <v>40700000</v>
      </c>
      <c r="AJ105" s="1215">
        <f t="shared" si="35"/>
        <v>0</v>
      </c>
      <c r="AK105" s="1137"/>
    </row>
    <row r="106" spans="1:37" s="7" customFormat="1">
      <c r="A106" s="1134" t="s">
        <v>66</v>
      </c>
      <c r="B106" s="165">
        <f t="shared" si="32"/>
        <v>50000000</v>
      </c>
      <c r="C106" s="108" t="s">
        <v>44</v>
      </c>
      <c r="D106" s="108" t="s">
        <v>905</v>
      </c>
      <c r="E106" s="108" t="s">
        <v>901</v>
      </c>
      <c r="F106" s="108" t="s">
        <v>901</v>
      </c>
      <c r="G106" s="109" t="s">
        <v>61</v>
      </c>
      <c r="H106" s="1219">
        <v>155</v>
      </c>
      <c r="I106" s="233">
        <v>0</v>
      </c>
      <c r="J106" s="322"/>
      <c r="K106" s="1365">
        <v>314</v>
      </c>
      <c r="L106" s="694">
        <v>50000000</v>
      </c>
      <c r="M106" s="571">
        <v>323</v>
      </c>
      <c r="N106" s="1133">
        <v>50000000</v>
      </c>
      <c r="O106" s="272">
        <v>273</v>
      </c>
      <c r="P106" s="268"/>
      <c r="Q106" s="175"/>
      <c r="R106" s="175"/>
      <c r="S106" s="165"/>
      <c r="T106" s="165"/>
      <c r="U106" s="174"/>
      <c r="V106" s="175"/>
      <c r="W106" s="175"/>
      <c r="X106" s="175"/>
      <c r="Y106" s="174"/>
      <c r="Z106" s="174"/>
      <c r="AA106" s="174"/>
      <c r="AB106" s="207">
        <f t="shared" si="33"/>
        <v>0</v>
      </c>
      <c r="AC106" s="447">
        <f t="shared" si="31"/>
        <v>50000000</v>
      </c>
      <c r="AE106" s="1219">
        <v>155</v>
      </c>
      <c r="AF106" s="1220" t="s">
        <v>417</v>
      </c>
      <c r="AG106" s="1220" t="s">
        <v>850</v>
      </c>
      <c r="AH106" s="1113">
        <f t="shared" si="34"/>
        <v>273</v>
      </c>
      <c r="AI106" s="1221">
        <f>55000000-5000000</f>
        <v>50000000</v>
      </c>
      <c r="AJ106" s="1215">
        <f t="shared" si="35"/>
        <v>0</v>
      </c>
      <c r="AK106" s="1137"/>
    </row>
    <row r="107" spans="1:37" s="7" customFormat="1">
      <c r="A107" s="1134" t="s">
        <v>66</v>
      </c>
      <c r="B107" s="165">
        <f t="shared" si="32"/>
        <v>55220000</v>
      </c>
      <c r="C107" s="108" t="s">
        <v>44</v>
      </c>
      <c r="D107" s="108" t="s">
        <v>905</v>
      </c>
      <c r="E107" s="108" t="s">
        <v>901</v>
      </c>
      <c r="F107" s="108" t="s">
        <v>901</v>
      </c>
      <c r="G107" s="109" t="s">
        <v>61</v>
      </c>
      <c r="H107" s="1219">
        <v>156</v>
      </c>
      <c r="I107" s="233">
        <v>0</v>
      </c>
      <c r="J107" s="322"/>
      <c r="K107" s="1365">
        <v>68</v>
      </c>
      <c r="L107" s="694">
        <v>55220000</v>
      </c>
      <c r="M107" s="571">
        <v>51</v>
      </c>
      <c r="N107" s="185">
        <v>55220000</v>
      </c>
      <c r="O107" s="263">
        <v>50</v>
      </c>
      <c r="P107" s="268"/>
      <c r="Q107" s="175">
        <v>2175333</v>
      </c>
      <c r="R107" s="175">
        <v>5020000</v>
      </c>
      <c r="S107" s="165"/>
      <c r="T107" s="165"/>
      <c r="U107" s="174"/>
      <c r="V107" s="175"/>
      <c r="W107" s="175"/>
      <c r="X107" s="175"/>
      <c r="Y107" s="174"/>
      <c r="Z107" s="174"/>
      <c r="AA107" s="174"/>
      <c r="AB107" s="207">
        <f t="shared" si="33"/>
        <v>7195333</v>
      </c>
      <c r="AC107" s="447">
        <f t="shared" si="31"/>
        <v>48024667</v>
      </c>
      <c r="AE107" s="1219">
        <v>156</v>
      </c>
      <c r="AF107" s="1220" t="s">
        <v>418</v>
      </c>
      <c r="AG107" s="313" t="s">
        <v>758</v>
      </c>
      <c r="AH107" s="1113">
        <f t="shared" si="34"/>
        <v>50</v>
      </c>
      <c r="AI107" s="1221">
        <v>55220000</v>
      </c>
      <c r="AJ107" s="1215">
        <f t="shared" si="35"/>
        <v>0</v>
      </c>
      <c r="AK107" s="1137"/>
    </row>
    <row r="108" spans="1:37" s="7" customFormat="1">
      <c r="A108" s="1134" t="s">
        <v>66</v>
      </c>
      <c r="B108" s="165">
        <f t="shared" si="32"/>
        <v>40700000</v>
      </c>
      <c r="C108" s="108" t="s">
        <v>44</v>
      </c>
      <c r="D108" s="108" t="s">
        <v>905</v>
      </c>
      <c r="E108" s="108" t="s">
        <v>901</v>
      </c>
      <c r="F108" s="108" t="s">
        <v>901</v>
      </c>
      <c r="G108" s="109" t="s">
        <v>61</v>
      </c>
      <c r="H108" s="1219">
        <v>158</v>
      </c>
      <c r="I108" s="233">
        <v>0</v>
      </c>
      <c r="J108" s="322"/>
      <c r="K108" s="1365">
        <v>69</v>
      </c>
      <c r="L108" s="694">
        <v>40700000</v>
      </c>
      <c r="M108" s="571">
        <v>55</v>
      </c>
      <c r="N108" s="185">
        <v>40700000</v>
      </c>
      <c r="O108" s="263">
        <v>87</v>
      </c>
      <c r="P108" s="268"/>
      <c r="Q108" s="175">
        <v>1603333</v>
      </c>
      <c r="R108" s="175">
        <v>3700000</v>
      </c>
      <c r="S108" s="165"/>
      <c r="T108" s="165"/>
      <c r="U108" s="174"/>
      <c r="V108" s="175"/>
      <c r="W108" s="175"/>
      <c r="X108" s="175"/>
      <c r="Y108" s="174"/>
      <c r="Z108" s="174"/>
      <c r="AA108" s="174"/>
      <c r="AB108" s="207">
        <f t="shared" si="33"/>
        <v>5303333</v>
      </c>
      <c r="AC108" s="447">
        <f t="shared" si="31"/>
        <v>35396667</v>
      </c>
      <c r="AE108" s="1219">
        <v>158</v>
      </c>
      <c r="AF108" s="1220" t="s">
        <v>419</v>
      </c>
      <c r="AG108" s="313" t="s">
        <v>759</v>
      </c>
      <c r="AH108" s="1113">
        <f t="shared" si="34"/>
        <v>87</v>
      </c>
      <c r="AI108" s="1221">
        <v>40700000</v>
      </c>
      <c r="AJ108" s="1215">
        <f t="shared" si="35"/>
        <v>0</v>
      </c>
      <c r="AK108" s="1137"/>
    </row>
    <row r="109" spans="1:37" s="7" customFormat="1">
      <c r="A109" s="1134" t="s">
        <v>66</v>
      </c>
      <c r="B109" s="165">
        <f t="shared" si="32"/>
        <v>49500000</v>
      </c>
      <c r="C109" s="108" t="s">
        <v>44</v>
      </c>
      <c r="D109" s="108" t="s">
        <v>905</v>
      </c>
      <c r="E109" s="108" t="s">
        <v>901</v>
      </c>
      <c r="F109" s="108" t="s">
        <v>901</v>
      </c>
      <c r="G109" s="109" t="s">
        <v>61</v>
      </c>
      <c r="H109" s="1219">
        <v>159</v>
      </c>
      <c r="I109" s="233">
        <v>0</v>
      </c>
      <c r="J109" s="322"/>
      <c r="K109" s="1365">
        <v>150</v>
      </c>
      <c r="L109" s="694">
        <v>49500000</v>
      </c>
      <c r="M109" s="571">
        <v>79</v>
      </c>
      <c r="N109" s="185">
        <v>49500000</v>
      </c>
      <c r="O109" s="263">
        <v>133</v>
      </c>
      <c r="P109" s="268"/>
      <c r="Q109" s="175">
        <v>1350000</v>
      </c>
      <c r="R109" s="175">
        <v>4500000</v>
      </c>
      <c r="S109" s="165"/>
      <c r="T109" s="165"/>
      <c r="U109" s="174"/>
      <c r="V109" s="175"/>
      <c r="W109" s="175"/>
      <c r="X109" s="175"/>
      <c r="Y109" s="174"/>
      <c r="Z109" s="174"/>
      <c r="AA109" s="174"/>
      <c r="AB109" s="207">
        <f t="shared" si="33"/>
        <v>5850000</v>
      </c>
      <c r="AC109" s="447">
        <f t="shared" si="31"/>
        <v>43650000</v>
      </c>
      <c r="AE109" s="1219">
        <v>159</v>
      </c>
      <c r="AF109" s="1220" t="s">
        <v>420</v>
      </c>
      <c r="AG109" s="313" t="s">
        <v>760</v>
      </c>
      <c r="AH109" s="1113">
        <f t="shared" si="34"/>
        <v>133</v>
      </c>
      <c r="AI109" s="1221">
        <v>49500000</v>
      </c>
      <c r="AJ109" s="1215">
        <f t="shared" si="35"/>
        <v>0</v>
      </c>
      <c r="AK109" s="1137"/>
    </row>
    <row r="110" spans="1:37" s="7" customFormat="1">
      <c r="A110" s="1134" t="s">
        <v>66</v>
      </c>
      <c r="B110" s="165">
        <f t="shared" si="32"/>
        <v>66000000</v>
      </c>
      <c r="C110" s="108" t="s">
        <v>44</v>
      </c>
      <c r="D110" s="108" t="s">
        <v>905</v>
      </c>
      <c r="E110" s="108" t="s">
        <v>901</v>
      </c>
      <c r="F110" s="108" t="s">
        <v>901</v>
      </c>
      <c r="G110" s="109" t="s">
        <v>61</v>
      </c>
      <c r="H110" s="1219">
        <v>160</v>
      </c>
      <c r="I110" s="233">
        <v>0</v>
      </c>
      <c r="J110" s="322"/>
      <c r="K110" s="1365">
        <v>92</v>
      </c>
      <c r="L110" s="694">
        <v>66000000</v>
      </c>
      <c r="M110" s="571">
        <v>84</v>
      </c>
      <c r="N110" s="185">
        <v>66000000</v>
      </c>
      <c r="O110" s="263">
        <v>86</v>
      </c>
      <c r="P110" s="268"/>
      <c r="Q110" s="175">
        <v>1600000</v>
      </c>
      <c r="R110" s="175">
        <v>6000000</v>
      </c>
      <c r="S110" s="165"/>
      <c r="T110" s="165"/>
      <c r="U110" s="174"/>
      <c r="V110" s="175"/>
      <c r="W110" s="175"/>
      <c r="X110" s="175"/>
      <c r="Y110" s="174"/>
      <c r="Z110" s="174"/>
      <c r="AA110" s="174"/>
      <c r="AB110" s="207">
        <f t="shared" si="33"/>
        <v>7600000</v>
      </c>
      <c r="AC110" s="447">
        <f t="shared" si="31"/>
        <v>58400000</v>
      </c>
      <c r="AE110" s="1219">
        <v>160</v>
      </c>
      <c r="AF110" s="1220" t="s">
        <v>421</v>
      </c>
      <c r="AG110" s="313" t="s">
        <v>761</v>
      </c>
      <c r="AH110" s="1113">
        <f t="shared" si="34"/>
        <v>86</v>
      </c>
      <c r="AI110" s="1221">
        <v>66000000</v>
      </c>
      <c r="AJ110" s="1215">
        <f t="shared" si="35"/>
        <v>0</v>
      </c>
      <c r="AK110" s="1137"/>
    </row>
    <row r="111" spans="1:37" s="7" customFormat="1">
      <c r="A111" s="1134" t="s">
        <v>66</v>
      </c>
      <c r="B111" s="165">
        <f t="shared" si="32"/>
        <v>0</v>
      </c>
      <c r="C111" s="108" t="s">
        <v>44</v>
      </c>
      <c r="D111" s="108" t="s">
        <v>905</v>
      </c>
      <c r="E111" s="108" t="s">
        <v>901</v>
      </c>
      <c r="F111" s="108" t="s">
        <v>901</v>
      </c>
      <c r="G111" s="109" t="s">
        <v>61</v>
      </c>
      <c r="H111" s="1219">
        <v>161</v>
      </c>
      <c r="I111" s="233">
        <v>0</v>
      </c>
      <c r="J111" s="322"/>
      <c r="K111" s="1365"/>
      <c r="L111" s="694"/>
      <c r="M111" s="318"/>
      <c r="N111" s="1133"/>
      <c r="O111" s="272"/>
      <c r="P111" s="268"/>
      <c r="Q111" s="175"/>
      <c r="R111" s="175"/>
      <c r="S111" s="165"/>
      <c r="T111" s="165"/>
      <c r="U111" s="174"/>
      <c r="V111" s="175"/>
      <c r="W111" s="175"/>
      <c r="X111" s="175"/>
      <c r="Y111" s="174"/>
      <c r="Z111" s="174"/>
      <c r="AA111" s="174"/>
      <c r="AB111" s="207">
        <f t="shared" si="33"/>
        <v>0</v>
      </c>
      <c r="AC111" s="447">
        <f t="shared" si="31"/>
        <v>0</v>
      </c>
      <c r="AE111" s="1219">
        <v>161</v>
      </c>
      <c r="AF111" s="1220" t="s">
        <v>422</v>
      </c>
      <c r="AG111" s="1220" t="s">
        <v>188</v>
      </c>
      <c r="AH111" s="1113">
        <f t="shared" si="34"/>
        <v>0</v>
      </c>
      <c r="AI111" s="1221">
        <f>12000000-12000000</f>
        <v>0</v>
      </c>
      <c r="AJ111" s="1215">
        <f t="shared" si="35"/>
        <v>0</v>
      </c>
      <c r="AK111" s="1137"/>
    </row>
    <row r="112" spans="1:37" s="7" customFormat="1">
      <c r="A112" s="1134" t="s">
        <v>66</v>
      </c>
      <c r="B112" s="165">
        <f t="shared" si="32"/>
        <v>33990000</v>
      </c>
      <c r="C112" s="108" t="s">
        <v>44</v>
      </c>
      <c r="D112" s="108" t="s">
        <v>905</v>
      </c>
      <c r="E112" s="108" t="s">
        <v>901</v>
      </c>
      <c r="F112" s="108" t="s">
        <v>901</v>
      </c>
      <c r="G112" s="109" t="s">
        <v>61</v>
      </c>
      <c r="H112" s="1219">
        <v>162</v>
      </c>
      <c r="I112" s="233">
        <v>0</v>
      </c>
      <c r="J112" s="322"/>
      <c r="K112" s="1365">
        <v>87</v>
      </c>
      <c r="L112" s="694">
        <v>33990000</v>
      </c>
      <c r="M112" s="571">
        <v>112</v>
      </c>
      <c r="N112" s="185">
        <v>33990000</v>
      </c>
      <c r="O112" s="263">
        <v>88</v>
      </c>
      <c r="P112" s="268"/>
      <c r="Q112" s="175">
        <v>824000</v>
      </c>
      <c r="R112" s="175">
        <v>3090000</v>
      </c>
      <c r="S112" s="165"/>
      <c r="T112" s="165"/>
      <c r="U112" s="174"/>
      <c r="V112" s="175"/>
      <c r="W112" s="175"/>
      <c r="X112" s="175"/>
      <c r="Y112" s="174"/>
      <c r="Z112" s="174"/>
      <c r="AA112" s="174"/>
      <c r="AB112" s="207">
        <f t="shared" si="33"/>
        <v>3914000</v>
      </c>
      <c r="AC112" s="447">
        <f t="shared" si="31"/>
        <v>30076000</v>
      </c>
      <c r="AE112" s="1219">
        <v>162</v>
      </c>
      <c r="AF112" s="1220" t="s">
        <v>423</v>
      </c>
      <c r="AG112" s="313" t="s">
        <v>762</v>
      </c>
      <c r="AH112" s="1113">
        <f t="shared" si="34"/>
        <v>88</v>
      </c>
      <c r="AI112" s="1221">
        <v>33990000</v>
      </c>
      <c r="AJ112" s="1215">
        <f t="shared" si="35"/>
        <v>0</v>
      </c>
      <c r="AK112" s="1137"/>
    </row>
    <row r="113" spans="1:37" s="7" customFormat="1">
      <c r="A113" s="1134" t="s">
        <v>66</v>
      </c>
      <c r="B113" s="165">
        <f t="shared" si="32"/>
        <v>0</v>
      </c>
      <c r="C113" s="108" t="s">
        <v>44</v>
      </c>
      <c r="D113" s="108" t="s">
        <v>905</v>
      </c>
      <c r="E113" s="108" t="s">
        <v>901</v>
      </c>
      <c r="F113" s="108" t="s">
        <v>901</v>
      </c>
      <c r="G113" s="109" t="s">
        <v>61</v>
      </c>
      <c r="H113" s="1219">
        <v>163</v>
      </c>
      <c r="I113" s="233">
        <v>0</v>
      </c>
      <c r="J113" s="322"/>
      <c r="K113" s="1365"/>
      <c r="L113" s="694"/>
      <c r="M113" s="318"/>
      <c r="N113" s="1133"/>
      <c r="O113" s="272"/>
      <c r="P113" s="268"/>
      <c r="Q113" s="175"/>
      <c r="R113" s="175"/>
      <c r="S113" s="165"/>
      <c r="T113" s="165"/>
      <c r="U113" s="174"/>
      <c r="V113" s="175"/>
      <c r="W113" s="175"/>
      <c r="X113" s="175"/>
      <c r="Y113" s="174"/>
      <c r="Z113" s="174"/>
      <c r="AA113" s="174"/>
      <c r="AB113" s="207">
        <f t="shared" si="33"/>
        <v>0</v>
      </c>
      <c r="AC113" s="447">
        <f t="shared" si="31"/>
        <v>0</v>
      </c>
      <c r="AE113" s="1219">
        <v>163</v>
      </c>
      <c r="AF113" s="1220" t="s">
        <v>424</v>
      </c>
      <c r="AG113" s="1220" t="s">
        <v>188</v>
      </c>
      <c r="AH113" s="1113">
        <f t="shared" si="34"/>
        <v>0</v>
      </c>
      <c r="AI113" s="1221">
        <f>12000000-12000000</f>
        <v>0</v>
      </c>
      <c r="AJ113" s="1215">
        <f t="shared" si="35"/>
        <v>0</v>
      </c>
      <c r="AK113" s="1137"/>
    </row>
    <row r="114" spans="1:37" s="7" customFormat="1">
      <c r="A114" s="1134" t="s">
        <v>66</v>
      </c>
      <c r="B114" s="165">
        <f t="shared" si="32"/>
        <v>25520000</v>
      </c>
      <c r="C114" s="108" t="s">
        <v>44</v>
      </c>
      <c r="D114" s="108" t="s">
        <v>905</v>
      </c>
      <c r="E114" s="108" t="s">
        <v>901</v>
      </c>
      <c r="F114" s="108" t="s">
        <v>901</v>
      </c>
      <c r="G114" s="109" t="s">
        <v>61</v>
      </c>
      <c r="H114" s="1219">
        <v>165</v>
      </c>
      <c r="I114" s="233">
        <v>0</v>
      </c>
      <c r="J114" s="322"/>
      <c r="K114" s="1365">
        <v>22</v>
      </c>
      <c r="L114" s="694">
        <v>25520000</v>
      </c>
      <c r="M114" s="571">
        <v>11</v>
      </c>
      <c r="N114" s="185">
        <v>25520000</v>
      </c>
      <c r="O114" s="263">
        <v>13</v>
      </c>
      <c r="P114" s="268"/>
      <c r="Q114" s="175">
        <v>1082667</v>
      </c>
      <c r="R114" s="175">
        <v>2320000</v>
      </c>
      <c r="S114" s="165"/>
      <c r="T114" s="165"/>
      <c r="U114" s="174"/>
      <c r="V114" s="175"/>
      <c r="W114" s="175"/>
      <c r="X114" s="175"/>
      <c r="Y114" s="174"/>
      <c r="Z114" s="174"/>
      <c r="AA114" s="174"/>
      <c r="AB114" s="207">
        <f t="shared" si="33"/>
        <v>3402667</v>
      </c>
      <c r="AC114" s="447">
        <f t="shared" si="31"/>
        <v>22117333</v>
      </c>
      <c r="AE114" s="1219">
        <v>165</v>
      </c>
      <c r="AF114" s="1220" t="s">
        <v>425</v>
      </c>
      <c r="AG114" s="313" t="s">
        <v>763</v>
      </c>
      <c r="AH114" s="1113">
        <f t="shared" si="34"/>
        <v>13</v>
      </c>
      <c r="AI114" s="1221">
        <v>25520000</v>
      </c>
      <c r="AJ114" s="1215">
        <f t="shared" si="35"/>
        <v>0</v>
      </c>
      <c r="AK114" s="1137"/>
    </row>
    <row r="115" spans="1:37" s="7" customFormat="1">
      <c r="A115" s="1134" t="s">
        <v>66</v>
      </c>
      <c r="B115" s="165">
        <f t="shared" si="32"/>
        <v>90666667</v>
      </c>
      <c r="C115" s="108" t="s">
        <v>44</v>
      </c>
      <c r="D115" s="108" t="s">
        <v>905</v>
      </c>
      <c r="E115" s="108" t="s">
        <v>901</v>
      </c>
      <c r="F115" s="108" t="s">
        <v>901</v>
      </c>
      <c r="G115" s="109" t="s">
        <v>61</v>
      </c>
      <c r="H115" s="1219">
        <v>166</v>
      </c>
      <c r="I115" s="233">
        <v>0</v>
      </c>
      <c r="J115" s="322"/>
      <c r="K115" s="1365">
        <v>260</v>
      </c>
      <c r="L115" s="694">
        <v>90666667</v>
      </c>
      <c r="M115" s="571">
        <f>VLOOKUP(K115,[4]RP!I$249:J$307,2,0)</f>
        <v>263</v>
      </c>
      <c r="N115" s="176">
        <v>90666667</v>
      </c>
      <c r="O115" s="1368">
        <v>236</v>
      </c>
      <c r="P115" s="268"/>
      <c r="Q115" s="175"/>
      <c r="R115" s="175">
        <v>6516667</v>
      </c>
      <c r="S115" s="165"/>
      <c r="T115" s="165"/>
      <c r="U115" s="174"/>
      <c r="V115" s="175"/>
      <c r="W115" s="175"/>
      <c r="X115" s="175"/>
      <c r="Y115" s="174"/>
      <c r="Z115" s="174"/>
      <c r="AA115" s="174"/>
      <c r="AB115" s="207">
        <f t="shared" si="33"/>
        <v>6516667</v>
      </c>
      <c r="AC115" s="447">
        <f t="shared" si="31"/>
        <v>84150000</v>
      </c>
      <c r="AE115" s="1219">
        <v>166</v>
      </c>
      <c r="AF115" s="1220" t="s">
        <v>426</v>
      </c>
      <c r="AG115" s="1154" t="s">
        <v>764</v>
      </c>
      <c r="AH115" s="1113">
        <f t="shared" si="34"/>
        <v>236</v>
      </c>
      <c r="AI115" s="1221">
        <v>93500000</v>
      </c>
      <c r="AJ115" s="1215">
        <f t="shared" si="35"/>
        <v>2833333</v>
      </c>
      <c r="AK115" s="1137"/>
    </row>
    <row r="116" spans="1:37" s="7" customFormat="1">
      <c r="A116" s="1134" t="s">
        <v>66</v>
      </c>
      <c r="B116" s="165">
        <f t="shared" si="32"/>
        <v>0</v>
      </c>
      <c r="C116" s="108" t="s">
        <v>44</v>
      </c>
      <c r="D116" s="108" t="s">
        <v>905</v>
      </c>
      <c r="E116" s="108" t="s">
        <v>901</v>
      </c>
      <c r="F116" s="108" t="s">
        <v>901</v>
      </c>
      <c r="G116" s="109" t="s">
        <v>61</v>
      </c>
      <c r="H116" s="1219">
        <v>168</v>
      </c>
      <c r="I116" s="233">
        <v>0</v>
      </c>
      <c r="J116" s="322"/>
      <c r="K116" s="1365"/>
      <c r="L116" s="694"/>
      <c r="M116" s="318"/>
      <c r="N116" s="1133"/>
      <c r="O116" s="272"/>
      <c r="P116" s="268"/>
      <c r="Q116" s="175"/>
      <c r="R116" s="175"/>
      <c r="S116" s="165"/>
      <c r="T116" s="165"/>
      <c r="U116" s="174"/>
      <c r="V116" s="175"/>
      <c r="W116" s="175"/>
      <c r="X116" s="175"/>
      <c r="Y116" s="174"/>
      <c r="Z116" s="174"/>
      <c r="AA116" s="174"/>
      <c r="AB116" s="207">
        <f t="shared" si="33"/>
        <v>0</v>
      </c>
      <c r="AC116" s="447">
        <f t="shared" si="31"/>
        <v>0</v>
      </c>
      <c r="AE116" s="1219">
        <v>168</v>
      </c>
      <c r="AF116" s="1220" t="s">
        <v>427</v>
      </c>
      <c r="AG116" s="1220" t="s">
        <v>188</v>
      </c>
      <c r="AH116" s="1113">
        <f t="shared" si="34"/>
        <v>0</v>
      </c>
      <c r="AI116" s="1221">
        <v>94820000</v>
      </c>
      <c r="AJ116" s="1215">
        <f t="shared" si="35"/>
        <v>94820000</v>
      </c>
      <c r="AK116" s="1137"/>
    </row>
    <row r="117" spans="1:37" s="7" customFormat="1">
      <c r="A117" s="1134" t="s">
        <v>66</v>
      </c>
      <c r="B117" s="165">
        <f t="shared" si="32"/>
        <v>0</v>
      </c>
      <c r="C117" s="108" t="s">
        <v>44</v>
      </c>
      <c r="D117" s="108" t="s">
        <v>905</v>
      </c>
      <c r="E117" s="108" t="s">
        <v>901</v>
      </c>
      <c r="F117" s="108" t="s">
        <v>901</v>
      </c>
      <c r="G117" s="109" t="s">
        <v>61</v>
      </c>
      <c r="H117" s="1219">
        <v>170</v>
      </c>
      <c r="I117" s="233">
        <v>0</v>
      </c>
      <c r="J117" s="322"/>
      <c r="K117" s="1365"/>
      <c r="L117" s="694"/>
      <c r="M117" s="318"/>
      <c r="N117" s="1133"/>
      <c r="O117" s="272"/>
      <c r="P117" s="268"/>
      <c r="Q117" s="175"/>
      <c r="R117" s="175"/>
      <c r="S117" s="165"/>
      <c r="T117" s="165"/>
      <c r="U117" s="174"/>
      <c r="V117" s="175"/>
      <c r="W117" s="175"/>
      <c r="X117" s="175"/>
      <c r="Y117" s="174"/>
      <c r="Z117" s="174"/>
      <c r="AA117" s="174"/>
      <c r="AB117" s="207">
        <f t="shared" si="33"/>
        <v>0</v>
      </c>
      <c r="AC117" s="447">
        <f t="shared" si="31"/>
        <v>0</v>
      </c>
      <c r="AE117" s="1219">
        <v>170</v>
      </c>
      <c r="AF117" s="1220" t="s">
        <v>428</v>
      </c>
      <c r="AG117" s="1220" t="s">
        <v>188</v>
      </c>
      <c r="AH117" s="1113">
        <f t="shared" si="34"/>
        <v>0</v>
      </c>
      <c r="AI117" s="1221">
        <f>18540000-18540000</f>
        <v>0</v>
      </c>
      <c r="AJ117" s="1215">
        <f t="shared" si="35"/>
        <v>0</v>
      </c>
      <c r="AK117" s="1137"/>
    </row>
    <row r="118" spans="1:37" s="7" customFormat="1">
      <c r="A118" s="1134" t="s">
        <v>66</v>
      </c>
      <c r="B118" s="165">
        <f t="shared" si="32"/>
        <v>33990000</v>
      </c>
      <c r="C118" s="108" t="s">
        <v>44</v>
      </c>
      <c r="D118" s="108" t="s">
        <v>905</v>
      </c>
      <c r="E118" s="108" t="s">
        <v>901</v>
      </c>
      <c r="F118" s="108" t="s">
        <v>901</v>
      </c>
      <c r="G118" s="109" t="s">
        <v>61</v>
      </c>
      <c r="H118" s="1219">
        <v>171</v>
      </c>
      <c r="I118" s="233">
        <v>0</v>
      </c>
      <c r="J118" s="322"/>
      <c r="K118" s="1365">
        <v>56</v>
      </c>
      <c r="L118" s="694">
        <v>33990000</v>
      </c>
      <c r="M118" s="571">
        <v>34</v>
      </c>
      <c r="N118" s="185">
        <v>33990000</v>
      </c>
      <c r="O118" s="263">
        <v>29</v>
      </c>
      <c r="P118" s="268"/>
      <c r="Q118" s="175">
        <v>1339000</v>
      </c>
      <c r="R118" s="175">
        <v>3090000</v>
      </c>
      <c r="S118" s="165"/>
      <c r="T118" s="165"/>
      <c r="U118" s="174"/>
      <c r="V118" s="175"/>
      <c r="W118" s="175"/>
      <c r="X118" s="175"/>
      <c r="Y118" s="174"/>
      <c r="Z118" s="174"/>
      <c r="AA118" s="174"/>
      <c r="AB118" s="207">
        <f t="shared" si="33"/>
        <v>4429000</v>
      </c>
      <c r="AC118" s="447">
        <f t="shared" si="31"/>
        <v>29561000</v>
      </c>
      <c r="AE118" s="1219">
        <v>171</v>
      </c>
      <c r="AF118" s="1220" t="s">
        <v>407</v>
      </c>
      <c r="AG118" s="313" t="s">
        <v>765</v>
      </c>
      <c r="AH118" s="1113">
        <f t="shared" si="34"/>
        <v>29</v>
      </c>
      <c r="AI118" s="1221">
        <v>33990000</v>
      </c>
      <c r="AJ118" s="1215">
        <f t="shared" si="35"/>
        <v>0</v>
      </c>
      <c r="AK118" s="1137"/>
    </row>
    <row r="119" spans="1:37" s="7" customFormat="1">
      <c r="A119" s="1134" t="s">
        <v>66</v>
      </c>
      <c r="B119" s="165">
        <f t="shared" si="32"/>
        <v>44000000</v>
      </c>
      <c r="C119" s="108" t="s">
        <v>44</v>
      </c>
      <c r="D119" s="108" t="s">
        <v>905</v>
      </c>
      <c r="E119" s="108" t="s">
        <v>901</v>
      </c>
      <c r="F119" s="108" t="s">
        <v>901</v>
      </c>
      <c r="G119" s="109" t="s">
        <v>61</v>
      </c>
      <c r="H119" s="1219">
        <v>172</v>
      </c>
      <c r="I119" s="233">
        <v>0</v>
      </c>
      <c r="J119" s="322"/>
      <c r="K119" s="1365">
        <v>27</v>
      </c>
      <c r="L119" s="694">
        <v>44000000</v>
      </c>
      <c r="M119" s="571">
        <v>9</v>
      </c>
      <c r="N119" s="185">
        <v>44000000</v>
      </c>
      <c r="O119" s="263">
        <v>9</v>
      </c>
      <c r="P119" s="268"/>
      <c r="Q119" s="175">
        <v>2000000</v>
      </c>
      <c r="R119" s="175">
        <v>4000000</v>
      </c>
      <c r="S119" s="165"/>
      <c r="T119" s="165"/>
      <c r="U119" s="174"/>
      <c r="V119" s="175"/>
      <c r="W119" s="175"/>
      <c r="X119" s="175"/>
      <c r="Y119" s="174"/>
      <c r="Z119" s="174"/>
      <c r="AA119" s="174"/>
      <c r="AB119" s="207">
        <f t="shared" si="33"/>
        <v>6000000</v>
      </c>
      <c r="AC119" s="447">
        <f t="shared" si="31"/>
        <v>38000000</v>
      </c>
      <c r="AE119" s="1219">
        <v>172</v>
      </c>
      <c r="AF119" s="1220" t="s">
        <v>429</v>
      </c>
      <c r="AG119" s="313" t="s">
        <v>766</v>
      </c>
      <c r="AH119" s="1113">
        <f t="shared" si="34"/>
        <v>9</v>
      </c>
      <c r="AI119" s="1221">
        <v>44000000</v>
      </c>
      <c r="AJ119" s="1215">
        <f t="shared" si="35"/>
        <v>0</v>
      </c>
      <c r="AK119" s="1137"/>
    </row>
    <row r="120" spans="1:37" s="7" customFormat="1">
      <c r="A120" s="1134" t="s">
        <v>66</v>
      </c>
      <c r="B120" s="165">
        <f t="shared" si="32"/>
        <v>38280000</v>
      </c>
      <c r="C120" s="108" t="s">
        <v>44</v>
      </c>
      <c r="D120" s="108" t="s">
        <v>905</v>
      </c>
      <c r="E120" s="108" t="s">
        <v>901</v>
      </c>
      <c r="F120" s="108" t="s">
        <v>901</v>
      </c>
      <c r="G120" s="109" t="s">
        <v>61</v>
      </c>
      <c r="H120" s="1219">
        <v>174</v>
      </c>
      <c r="I120" s="233">
        <v>0</v>
      </c>
      <c r="J120" s="322"/>
      <c r="K120" s="1365">
        <v>126</v>
      </c>
      <c r="L120" s="694">
        <v>38280000</v>
      </c>
      <c r="M120" s="571">
        <v>94</v>
      </c>
      <c r="N120" s="185">
        <v>38280000</v>
      </c>
      <c r="O120" s="263">
        <v>114</v>
      </c>
      <c r="P120" s="268"/>
      <c r="Q120" s="175">
        <v>1044000</v>
      </c>
      <c r="R120" s="175">
        <v>3480000</v>
      </c>
      <c r="S120" s="165"/>
      <c r="T120" s="165"/>
      <c r="U120" s="174"/>
      <c r="V120" s="175"/>
      <c r="W120" s="175"/>
      <c r="X120" s="175"/>
      <c r="Y120" s="174"/>
      <c r="Z120" s="174"/>
      <c r="AA120" s="174"/>
      <c r="AB120" s="207">
        <f t="shared" si="33"/>
        <v>4524000</v>
      </c>
      <c r="AC120" s="447">
        <f t="shared" si="31"/>
        <v>33756000</v>
      </c>
      <c r="AE120" s="1219">
        <v>174</v>
      </c>
      <c r="AF120" s="1220" t="s">
        <v>430</v>
      </c>
      <c r="AG120" s="313" t="s">
        <v>767</v>
      </c>
      <c r="AH120" s="1113">
        <f t="shared" si="34"/>
        <v>114</v>
      </c>
      <c r="AI120" s="1221">
        <v>38280000</v>
      </c>
      <c r="AJ120" s="1215">
        <f t="shared" si="35"/>
        <v>0</v>
      </c>
      <c r="AK120" s="1137"/>
    </row>
    <row r="121" spans="1:37" s="7" customFormat="1">
      <c r="A121" s="1134" t="s">
        <v>66</v>
      </c>
      <c r="B121" s="165">
        <f t="shared" si="32"/>
        <v>40700000</v>
      </c>
      <c r="C121" s="108" t="s">
        <v>44</v>
      </c>
      <c r="D121" s="108" t="s">
        <v>905</v>
      </c>
      <c r="E121" s="108" t="s">
        <v>901</v>
      </c>
      <c r="F121" s="108" t="s">
        <v>901</v>
      </c>
      <c r="G121" s="109" t="s">
        <v>61</v>
      </c>
      <c r="H121" s="1219">
        <v>180</v>
      </c>
      <c r="I121" s="233">
        <v>0</v>
      </c>
      <c r="J121" s="322"/>
      <c r="K121" s="1365">
        <v>151</v>
      </c>
      <c r="L121" s="694">
        <v>40700000</v>
      </c>
      <c r="M121" s="571">
        <v>70</v>
      </c>
      <c r="N121" s="185">
        <v>40700000</v>
      </c>
      <c r="O121" s="263">
        <v>130</v>
      </c>
      <c r="P121" s="268"/>
      <c r="Q121" s="175">
        <v>1233333</v>
      </c>
      <c r="R121" s="175">
        <v>3700000</v>
      </c>
      <c r="S121" s="165"/>
      <c r="T121" s="165"/>
      <c r="U121" s="174"/>
      <c r="V121" s="175"/>
      <c r="W121" s="175"/>
      <c r="X121" s="175"/>
      <c r="Y121" s="174"/>
      <c r="Z121" s="174"/>
      <c r="AA121" s="174"/>
      <c r="AB121" s="207">
        <f t="shared" si="33"/>
        <v>4933333</v>
      </c>
      <c r="AC121" s="447">
        <f t="shared" si="31"/>
        <v>35766667</v>
      </c>
      <c r="AE121" s="1219">
        <v>180</v>
      </c>
      <c r="AF121" s="1220" t="s">
        <v>431</v>
      </c>
      <c r="AG121" s="313" t="s">
        <v>768</v>
      </c>
      <c r="AH121" s="1113">
        <f t="shared" si="34"/>
        <v>130</v>
      </c>
      <c r="AI121" s="1221">
        <v>40700000</v>
      </c>
      <c r="AJ121" s="1215">
        <f t="shared" si="35"/>
        <v>0</v>
      </c>
      <c r="AK121" s="1137"/>
    </row>
    <row r="122" spans="1:37" s="7" customFormat="1">
      <c r="A122" s="1134" t="s">
        <v>66</v>
      </c>
      <c r="B122" s="165">
        <f t="shared" si="32"/>
        <v>40700000</v>
      </c>
      <c r="C122" s="108" t="s">
        <v>44</v>
      </c>
      <c r="D122" s="108" t="s">
        <v>905</v>
      </c>
      <c r="E122" s="108" t="s">
        <v>901</v>
      </c>
      <c r="F122" s="108" t="s">
        <v>901</v>
      </c>
      <c r="G122" s="109" t="s">
        <v>61</v>
      </c>
      <c r="H122" s="1219">
        <v>181</v>
      </c>
      <c r="I122" s="233">
        <v>0</v>
      </c>
      <c r="J122" s="322"/>
      <c r="K122" s="1365">
        <v>147</v>
      </c>
      <c r="L122" s="694">
        <v>40700000</v>
      </c>
      <c r="M122" s="571">
        <v>153</v>
      </c>
      <c r="N122" s="185">
        <v>40700000</v>
      </c>
      <c r="O122" s="263">
        <v>137</v>
      </c>
      <c r="P122" s="268"/>
      <c r="Q122" s="175">
        <v>740000</v>
      </c>
      <c r="R122" s="175">
        <v>3700000</v>
      </c>
      <c r="S122" s="165"/>
      <c r="T122" s="165"/>
      <c r="U122" s="174"/>
      <c r="V122" s="175"/>
      <c r="W122" s="175"/>
      <c r="X122" s="175"/>
      <c r="Y122" s="174"/>
      <c r="Z122" s="174"/>
      <c r="AA122" s="174"/>
      <c r="AB122" s="207">
        <f t="shared" si="33"/>
        <v>4440000</v>
      </c>
      <c r="AC122" s="447">
        <f t="shared" si="31"/>
        <v>36260000</v>
      </c>
      <c r="AE122" s="1219">
        <v>181</v>
      </c>
      <c r="AF122" s="1220" t="s">
        <v>432</v>
      </c>
      <c r="AG122" s="313" t="s">
        <v>769</v>
      </c>
      <c r="AH122" s="1113">
        <f t="shared" si="34"/>
        <v>137</v>
      </c>
      <c r="AI122" s="1221">
        <v>40700000</v>
      </c>
      <c r="AJ122" s="1215">
        <f t="shared" si="35"/>
        <v>0</v>
      </c>
      <c r="AK122" s="1137"/>
    </row>
    <row r="123" spans="1:37" s="7" customFormat="1">
      <c r="A123" s="1134" t="s">
        <v>66</v>
      </c>
      <c r="B123" s="165">
        <f t="shared" si="32"/>
        <v>47520000</v>
      </c>
      <c r="C123" s="108" t="s">
        <v>44</v>
      </c>
      <c r="D123" s="108" t="s">
        <v>905</v>
      </c>
      <c r="E123" s="108" t="s">
        <v>901</v>
      </c>
      <c r="F123" s="108" t="s">
        <v>901</v>
      </c>
      <c r="G123" s="109" t="s">
        <v>61</v>
      </c>
      <c r="H123" s="1219">
        <v>182</v>
      </c>
      <c r="I123" s="233">
        <v>0</v>
      </c>
      <c r="J123" s="322"/>
      <c r="K123" s="1365">
        <v>21</v>
      </c>
      <c r="L123" s="694">
        <v>47520000</v>
      </c>
      <c r="M123" s="571">
        <v>20</v>
      </c>
      <c r="N123" s="185">
        <v>47520000</v>
      </c>
      <c r="O123" s="263">
        <v>12</v>
      </c>
      <c r="P123" s="268"/>
      <c r="Q123" s="175">
        <v>2016000</v>
      </c>
      <c r="R123" s="175">
        <v>4320000</v>
      </c>
      <c r="S123" s="165"/>
      <c r="T123" s="165"/>
      <c r="U123" s="174"/>
      <c r="V123" s="175"/>
      <c r="W123" s="175"/>
      <c r="X123" s="175"/>
      <c r="Y123" s="174"/>
      <c r="Z123" s="174"/>
      <c r="AA123" s="174"/>
      <c r="AB123" s="207">
        <f t="shared" si="33"/>
        <v>6336000</v>
      </c>
      <c r="AC123" s="447">
        <f t="shared" si="31"/>
        <v>41184000</v>
      </c>
      <c r="AE123" s="1219">
        <v>182</v>
      </c>
      <c r="AF123" s="1220" t="s">
        <v>433</v>
      </c>
      <c r="AG123" s="313" t="s">
        <v>770</v>
      </c>
      <c r="AH123" s="1113">
        <f t="shared" si="34"/>
        <v>12</v>
      </c>
      <c r="AI123" s="1221">
        <v>47520000</v>
      </c>
      <c r="AJ123" s="1215">
        <f t="shared" si="35"/>
        <v>0</v>
      </c>
      <c r="AK123" s="1137"/>
    </row>
    <row r="124" spans="1:37" s="7" customFormat="1">
      <c r="A124" s="1134" t="s">
        <v>66</v>
      </c>
      <c r="B124" s="165">
        <f t="shared" si="32"/>
        <v>46200000</v>
      </c>
      <c r="C124" s="108" t="s">
        <v>44</v>
      </c>
      <c r="D124" s="108" t="s">
        <v>905</v>
      </c>
      <c r="E124" s="108" t="s">
        <v>901</v>
      </c>
      <c r="F124" s="108" t="s">
        <v>901</v>
      </c>
      <c r="G124" s="109" t="s">
        <v>61</v>
      </c>
      <c r="H124" s="1219">
        <v>184</v>
      </c>
      <c r="I124" s="233">
        <v>0</v>
      </c>
      <c r="J124" s="322"/>
      <c r="K124" s="1365">
        <v>20</v>
      </c>
      <c r="L124" s="694">
        <v>46200000</v>
      </c>
      <c r="M124" s="571">
        <v>30</v>
      </c>
      <c r="N124" s="185">
        <v>46200000</v>
      </c>
      <c r="O124" s="263">
        <v>11</v>
      </c>
      <c r="P124" s="268"/>
      <c r="Q124" s="175">
        <v>1820000</v>
      </c>
      <c r="R124" s="175">
        <v>4200000</v>
      </c>
      <c r="S124" s="165"/>
      <c r="T124" s="165"/>
      <c r="U124" s="174"/>
      <c r="V124" s="175"/>
      <c r="W124" s="175"/>
      <c r="X124" s="175"/>
      <c r="Y124" s="174"/>
      <c r="Z124" s="174"/>
      <c r="AA124" s="174"/>
      <c r="AB124" s="207">
        <f t="shared" si="33"/>
        <v>6020000</v>
      </c>
      <c r="AC124" s="447">
        <f t="shared" si="31"/>
        <v>40180000</v>
      </c>
      <c r="AE124" s="1219">
        <v>184</v>
      </c>
      <c r="AF124" s="1220" t="s">
        <v>434</v>
      </c>
      <c r="AG124" s="313" t="s">
        <v>771</v>
      </c>
      <c r="AH124" s="1113">
        <f t="shared" si="34"/>
        <v>11</v>
      </c>
      <c r="AI124" s="1221">
        <v>46200000</v>
      </c>
      <c r="AJ124" s="1215">
        <f t="shared" si="35"/>
        <v>0</v>
      </c>
      <c r="AK124" s="1137"/>
    </row>
    <row r="125" spans="1:37" s="7" customFormat="1">
      <c r="A125" s="1134" t="s">
        <v>66</v>
      </c>
      <c r="B125" s="165">
        <f t="shared" si="32"/>
        <v>31570000</v>
      </c>
      <c r="C125" s="108" t="s">
        <v>44</v>
      </c>
      <c r="D125" s="108" t="s">
        <v>905</v>
      </c>
      <c r="E125" s="108" t="s">
        <v>901</v>
      </c>
      <c r="F125" s="108" t="s">
        <v>901</v>
      </c>
      <c r="G125" s="109" t="s">
        <v>61</v>
      </c>
      <c r="H125" s="1219">
        <v>186</v>
      </c>
      <c r="I125" s="233">
        <v>0</v>
      </c>
      <c r="J125" s="322"/>
      <c r="K125" s="691">
        <v>240</v>
      </c>
      <c r="L125" s="221">
        <v>31570000</v>
      </c>
      <c r="M125" s="571">
        <f>VLOOKUP(K125,[4]RP!I$249:J$307,2,0)</f>
        <v>222</v>
      </c>
      <c r="N125" s="176">
        <v>31570000</v>
      </c>
      <c r="O125" s="1368">
        <v>189</v>
      </c>
      <c r="P125" s="268"/>
      <c r="Q125" s="175"/>
      <c r="R125" s="175">
        <v>2583000</v>
      </c>
      <c r="S125" s="165"/>
      <c r="T125" s="165"/>
      <c r="U125" s="174"/>
      <c r="V125" s="175"/>
      <c r="W125" s="175"/>
      <c r="X125" s="175"/>
      <c r="Y125" s="174"/>
      <c r="Z125" s="174"/>
      <c r="AA125" s="174"/>
      <c r="AB125" s="207">
        <f t="shared" si="33"/>
        <v>2583000</v>
      </c>
      <c r="AC125" s="447">
        <f t="shared" si="31"/>
        <v>28987000</v>
      </c>
      <c r="AE125" s="1219">
        <v>186</v>
      </c>
      <c r="AF125" s="1220" t="s">
        <v>435</v>
      </c>
      <c r="AG125" s="1154" t="s">
        <v>772</v>
      </c>
      <c r="AH125" s="1113">
        <f t="shared" si="34"/>
        <v>189</v>
      </c>
      <c r="AI125" s="1221">
        <v>31570000</v>
      </c>
      <c r="AJ125" s="1215">
        <f t="shared" si="35"/>
        <v>0</v>
      </c>
      <c r="AK125" s="1137"/>
    </row>
    <row r="126" spans="1:37" s="7" customFormat="1">
      <c r="A126" s="1134" t="s">
        <v>66</v>
      </c>
      <c r="B126" s="165">
        <f t="shared" si="32"/>
        <v>57000000</v>
      </c>
      <c r="C126" s="108" t="s">
        <v>44</v>
      </c>
      <c r="D126" s="108" t="s">
        <v>905</v>
      </c>
      <c r="E126" s="108" t="s">
        <v>901</v>
      </c>
      <c r="F126" s="108" t="s">
        <v>901</v>
      </c>
      <c r="G126" s="109" t="s">
        <v>61</v>
      </c>
      <c r="H126" s="1219">
        <v>187</v>
      </c>
      <c r="I126" s="233">
        <v>0</v>
      </c>
      <c r="J126" s="322"/>
      <c r="K126" s="1365">
        <v>322</v>
      </c>
      <c r="L126" s="221">
        <v>57000000</v>
      </c>
      <c r="M126" s="318">
        <v>332</v>
      </c>
      <c r="N126" s="1133">
        <v>57000000</v>
      </c>
      <c r="O126" s="272">
        <v>277</v>
      </c>
      <c r="P126" s="268"/>
      <c r="Q126" s="175"/>
      <c r="R126" s="175"/>
      <c r="S126" s="165"/>
      <c r="T126" s="165"/>
      <c r="U126" s="174"/>
      <c r="V126" s="175"/>
      <c r="W126" s="175"/>
      <c r="X126" s="175"/>
      <c r="Y126" s="174"/>
      <c r="Z126" s="174"/>
      <c r="AA126" s="174"/>
      <c r="AB126" s="207">
        <f t="shared" si="33"/>
        <v>0</v>
      </c>
      <c r="AC126" s="447">
        <f t="shared" si="31"/>
        <v>57000000</v>
      </c>
      <c r="AE126" s="1219">
        <v>187</v>
      </c>
      <c r="AF126" s="1220" t="s">
        <v>436</v>
      </c>
      <c r="AG126" s="1220" t="s">
        <v>861</v>
      </c>
      <c r="AH126" s="1113">
        <f t="shared" si="34"/>
        <v>277</v>
      </c>
      <c r="AI126" s="1221">
        <f>45000000+12000000</f>
        <v>57000000</v>
      </c>
      <c r="AJ126" s="1215">
        <f t="shared" si="35"/>
        <v>0</v>
      </c>
      <c r="AK126" s="1137"/>
    </row>
    <row r="127" spans="1:37" s="7" customFormat="1">
      <c r="A127" s="1134" t="s">
        <v>66</v>
      </c>
      <c r="B127" s="165">
        <f t="shared" si="32"/>
        <v>57000000</v>
      </c>
      <c r="C127" s="108" t="s">
        <v>44</v>
      </c>
      <c r="D127" s="108" t="s">
        <v>905</v>
      </c>
      <c r="E127" s="108" t="s">
        <v>901</v>
      </c>
      <c r="F127" s="108" t="s">
        <v>901</v>
      </c>
      <c r="G127" s="109" t="s">
        <v>61</v>
      </c>
      <c r="H127" s="1219">
        <v>188</v>
      </c>
      <c r="I127" s="233">
        <v>0</v>
      </c>
      <c r="J127" s="322"/>
      <c r="K127" s="1365">
        <v>323</v>
      </c>
      <c r="L127" s="221">
        <v>57000000</v>
      </c>
      <c r="M127" s="318">
        <v>339</v>
      </c>
      <c r="N127" s="1133">
        <v>57000000</v>
      </c>
      <c r="O127" s="272">
        <v>278</v>
      </c>
      <c r="P127" s="268"/>
      <c r="Q127" s="175"/>
      <c r="R127" s="175"/>
      <c r="S127" s="165"/>
      <c r="T127" s="165"/>
      <c r="U127" s="174"/>
      <c r="V127" s="175"/>
      <c r="W127" s="175"/>
      <c r="X127" s="175"/>
      <c r="Y127" s="174"/>
      <c r="Z127" s="174"/>
      <c r="AA127" s="174"/>
      <c r="AB127" s="207">
        <f t="shared" si="33"/>
        <v>0</v>
      </c>
      <c r="AC127" s="447">
        <f t="shared" si="31"/>
        <v>57000000</v>
      </c>
      <c r="AE127" s="1219">
        <v>188</v>
      </c>
      <c r="AF127" s="1220" t="s">
        <v>437</v>
      </c>
      <c r="AG127" s="1220" t="s">
        <v>862</v>
      </c>
      <c r="AH127" s="1113">
        <f t="shared" si="34"/>
        <v>278</v>
      </c>
      <c r="AI127" s="1221">
        <f>56000000+1000000</f>
        <v>57000000</v>
      </c>
      <c r="AJ127" s="1215">
        <f t="shared" si="35"/>
        <v>0</v>
      </c>
      <c r="AK127" s="1137"/>
    </row>
    <row r="128" spans="1:37" s="7" customFormat="1">
      <c r="A128" s="1134" t="s">
        <v>66</v>
      </c>
      <c r="B128" s="165">
        <f t="shared" si="32"/>
        <v>33990000</v>
      </c>
      <c r="C128" s="108" t="s">
        <v>44</v>
      </c>
      <c r="D128" s="108" t="s">
        <v>905</v>
      </c>
      <c r="E128" s="108" t="s">
        <v>901</v>
      </c>
      <c r="F128" s="108" t="s">
        <v>901</v>
      </c>
      <c r="G128" s="109" t="s">
        <v>61</v>
      </c>
      <c r="H128" s="1219">
        <v>189</v>
      </c>
      <c r="I128" s="233">
        <v>0</v>
      </c>
      <c r="J128" s="322"/>
      <c r="K128" s="1365">
        <v>54</v>
      </c>
      <c r="L128" s="694">
        <v>33990000</v>
      </c>
      <c r="M128" s="571">
        <v>31</v>
      </c>
      <c r="N128" s="185">
        <v>33990000</v>
      </c>
      <c r="O128" s="263">
        <v>27</v>
      </c>
      <c r="P128" s="268"/>
      <c r="Q128" s="175">
        <v>1339000</v>
      </c>
      <c r="R128" s="175">
        <v>3090000</v>
      </c>
      <c r="S128" s="165"/>
      <c r="T128" s="165"/>
      <c r="U128" s="174"/>
      <c r="V128" s="175"/>
      <c r="W128" s="175"/>
      <c r="X128" s="175"/>
      <c r="Y128" s="174"/>
      <c r="Z128" s="174"/>
      <c r="AA128" s="174"/>
      <c r="AB128" s="207">
        <f t="shared" si="33"/>
        <v>4429000</v>
      </c>
      <c r="AC128" s="447">
        <f t="shared" si="31"/>
        <v>29561000</v>
      </c>
      <c r="AE128" s="1219">
        <v>189</v>
      </c>
      <c r="AF128" s="1220" t="s">
        <v>407</v>
      </c>
      <c r="AG128" s="313" t="s">
        <v>773</v>
      </c>
      <c r="AH128" s="1113">
        <f t="shared" si="34"/>
        <v>27</v>
      </c>
      <c r="AI128" s="1221">
        <v>33990000</v>
      </c>
      <c r="AJ128" s="1215">
        <f t="shared" si="35"/>
        <v>0</v>
      </c>
      <c r="AK128" s="1137"/>
    </row>
    <row r="129" spans="1:37" s="7" customFormat="1">
      <c r="A129" s="1134" t="s">
        <v>66</v>
      </c>
      <c r="B129" s="165">
        <f t="shared" si="32"/>
        <v>33300000</v>
      </c>
      <c r="C129" s="108" t="s">
        <v>44</v>
      </c>
      <c r="D129" s="108" t="s">
        <v>905</v>
      </c>
      <c r="E129" s="108" t="s">
        <v>901</v>
      </c>
      <c r="F129" s="108" t="s">
        <v>901</v>
      </c>
      <c r="G129" s="109" t="s">
        <v>61</v>
      </c>
      <c r="H129" s="1219">
        <v>190</v>
      </c>
      <c r="I129" s="233">
        <v>0</v>
      </c>
      <c r="J129" s="322"/>
      <c r="K129" s="1365">
        <v>360</v>
      </c>
      <c r="L129" s="221">
        <v>33300000</v>
      </c>
      <c r="M129" s="318">
        <v>365</v>
      </c>
      <c r="N129" s="1133">
        <v>33300000</v>
      </c>
      <c r="O129" s="272">
        <v>290</v>
      </c>
      <c r="P129" s="268"/>
      <c r="Q129" s="175"/>
      <c r="R129" s="175"/>
      <c r="S129" s="165"/>
      <c r="T129" s="165"/>
      <c r="U129" s="174"/>
      <c r="V129" s="175"/>
      <c r="W129" s="175"/>
      <c r="X129" s="175"/>
      <c r="Y129" s="174"/>
      <c r="Z129" s="174"/>
      <c r="AA129" s="174"/>
      <c r="AB129" s="207">
        <f t="shared" si="33"/>
        <v>0</v>
      </c>
      <c r="AC129" s="447">
        <f t="shared" si="31"/>
        <v>33300000</v>
      </c>
      <c r="AE129" s="1219">
        <v>190</v>
      </c>
      <c r="AF129" s="1220" t="s">
        <v>438</v>
      </c>
      <c r="AG129" s="1220" t="s">
        <v>878</v>
      </c>
      <c r="AH129" s="1113">
        <f t="shared" si="34"/>
        <v>290</v>
      </c>
      <c r="AI129" s="1221">
        <v>33300000</v>
      </c>
      <c r="AJ129" s="1215">
        <f t="shared" si="35"/>
        <v>0</v>
      </c>
      <c r="AK129" s="1137"/>
    </row>
    <row r="130" spans="1:37" s="7" customFormat="1">
      <c r="A130" s="1134" t="s">
        <v>66</v>
      </c>
      <c r="B130" s="165">
        <f t="shared" si="32"/>
        <v>54600000</v>
      </c>
      <c r="C130" s="108" t="s">
        <v>44</v>
      </c>
      <c r="D130" s="108" t="s">
        <v>905</v>
      </c>
      <c r="E130" s="108" t="s">
        <v>901</v>
      </c>
      <c r="F130" s="108" t="s">
        <v>901</v>
      </c>
      <c r="G130" s="109" t="s">
        <v>61</v>
      </c>
      <c r="H130" s="1219">
        <v>191</v>
      </c>
      <c r="I130" s="233">
        <v>0</v>
      </c>
      <c r="J130" s="322"/>
      <c r="K130" s="1365">
        <v>297</v>
      </c>
      <c r="L130" s="221">
        <v>54600000</v>
      </c>
      <c r="M130" s="571">
        <v>322</v>
      </c>
      <c r="N130" s="1133">
        <v>54600000</v>
      </c>
      <c r="O130" s="272">
        <v>257</v>
      </c>
      <c r="P130" s="268"/>
      <c r="Q130" s="175"/>
      <c r="R130" s="175">
        <v>866667</v>
      </c>
      <c r="S130" s="165"/>
      <c r="T130" s="165"/>
      <c r="U130" s="174"/>
      <c r="V130" s="175"/>
      <c r="W130" s="175"/>
      <c r="X130" s="175"/>
      <c r="Y130" s="174"/>
      <c r="Z130" s="174"/>
      <c r="AA130" s="174"/>
      <c r="AB130" s="207">
        <f t="shared" si="33"/>
        <v>866667</v>
      </c>
      <c r="AC130" s="447">
        <f t="shared" si="31"/>
        <v>53733333</v>
      </c>
      <c r="AE130" s="1219">
        <v>191</v>
      </c>
      <c r="AF130" s="1220" t="s">
        <v>539</v>
      </c>
      <c r="AG130" s="1220" t="s">
        <v>849</v>
      </c>
      <c r="AH130" s="1113">
        <f t="shared" si="34"/>
        <v>257</v>
      </c>
      <c r="AI130" s="1221">
        <v>57200000</v>
      </c>
      <c r="AJ130" s="1215">
        <f t="shared" si="35"/>
        <v>2600000</v>
      </c>
      <c r="AK130" s="1137"/>
    </row>
    <row r="131" spans="1:37" s="7" customFormat="1">
      <c r="A131" s="1134" t="s">
        <v>66</v>
      </c>
      <c r="B131" s="165">
        <f t="shared" si="32"/>
        <v>38729000</v>
      </c>
      <c r="C131" s="108" t="s">
        <v>44</v>
      </c>
      <c r="D131" s="108" t="s">
        <v>905</v>
      </c>
      <c r="E131" s="108" t="s">
        <v>901</v>
      </c>
      <c r="F131" s="108" t="s">
        <v>901</v>
      </c>
      <c r="G131" s="109" t="s">
        <v>61</v>
      </c>
      <c r="H131" s="1219">
        <v>192</v>
      </c>
      <c r="I131" s="233">
        <v>0</v>
      </c>
      <c r="J131" s="322"/>
      <c r="K131" s="1365">
        <v>152</v>
      </c>
      <c r="L131" s="694">
        <v>38729000</v>
      </c>
      <c r="M131" s="571">
        <v>186</v>
      </c>
      <c r="N131" s="694">
        <v>38729000</v>
      </c>
      <c r="O131" s="263">
        <v>139</v>
      </c>
      <c r="P131" s="268"/>
      <c r="Q131" s="175"/>
      <c r="R131" s="175">
        <v>3700000</v>
      </c>
      <c r="S131" s="165"/>
      <c r="T131" s="165"/>
      <c r="U131" s="174"/>
      <c r="V131" s="175"/>
      <c r="W131" s="175"/>
      <c r="X131" s="175"/>
      <c r="Y131" s="174"/>
      <c r="Z131" s="174"/>
      <c r="AA131" s="174"/>
      <c r="AB131" s="207">
        <f t="shared" si="33"/>
        <v>3700000</v>
      </c>
      <c r="AC131" s="447">
        <f t="shared" si="31"/>
        <v>35029000</v>
      </c>
      <c r="AE131" s="1219">
        <v>192</v>
      </c>
      <c r="AF131" s="1220" t="s">
        <v>439</v>
      </c>
      <c r="AG131" s="313" t="s">
        <v>774</v>
      </c>
      <c r="AH131" s="1113">
        <f t="shared" si="34"/>
        <v>139</v>
      </c>
      <c r="AI131" s="1221">
        <v>38729000</v>
      </c>
      <c r="AJ131" s="1215">
        <f>AI131-N131</f>
        <v>0</v>
      </c>
      <c r="AK131" s="1137"/>
    </row>
    <row r="132" spans="1:37" s="7" customFormat="1">
      <c r="A132" s="1134" t="s">
        <v>66</v>
      </c>
      <c r="B132" s="165">
        <f t="shared" si="32"/>
        <v>70290000</v>
      </c>
      <c r="C132" s="108" t="s">
        <v>44</v>
      </c>
      <c r="D132" s="108" t="s">
        <v>905</v>
      </c>
      <c r="E132" s="108" t="s">
        <v>901</v>
      </c>
      <c r="F132" s="108" t="s">
        <v>901</v>
      </c>
      <c r="G132" s="109" t="s">
        <v>61</v>
      </c>
      <c r="H132" s="1219">
        <v>194</v>
      </c>
      <c r="I132" s="233">
        <v>0</v>
      </c>
      <c r="J132" s="322"/>
      <c r="K132" s="1365">
        <v>26</v>
      </c>
      <c r="L132" s="694">
        <v>70290000</v>
      </c>
      <c r="M132" s="571">
        <v>10</v>
      </c>
      <c r="N132" s="185">
        <v>70290000</v>
      </c>
      <c r="O132" s="263">
        <v>8</v>
      </c>
      <c r="P132" s="268"/>
      <c r="Q132" s="175">
        <v>3195000</v>
      </c>
      <c r="R132" s="175">
        <v>6390000</v>
      </c>
      <c r="S132" s="165"/>
      <c r="T132" s="165"/>
      <c r="U132" s="174"/>
      <c r="V132" s="175"/>
      <c r="W132" s="175"/>
      <c r="X132" s="175"/>
      <c r="Y132" s="174"/>
      <c r="Z132" s="174"/>
      <c r="AA132" s="174"/>
      <c r="AB132" s="207">
        <f t="shared" si="33"/>
        <v>9585000</v>
      </c>
      <c r="AC132" s="447">
        <f t="shared" si="31"/>
        <v>60705000</v>
      </c>
      <c r="AE132" s="1219">
        <v>194</v>
      </c>
      <c r="AF132" s="1220" t="s">
        <v>440</v>
      </c>
      <c r="AG132" s="313" t="s">
        <v>775</v>
      </c>
      <c r="AH132" s="1113">
        <f t="shared" si="34"/>
        <v>8</v>
      </c>
      <c r="AI132" s="1221">
        <v>70290000</v>
      </c>
      <c r="AJ132" s="1215"/>
      <c r="AK132" s="1137"/>
    </row>
    <row r="133" spans="1:37" s="7" customFormat="1">
      <c r="A133" s="1134" t="s">
        <v>66</v>
      </c>
      <c r="B133" s="165">
        <f t="shared" si="32"/>
        <v>38280000</v>
      </c>
      <c r="C133" s="108" t="s">
        <v>44</v>
      </c>
      <c r="D133" s="108" t="s">
        <v>905</v>
      </c>
      <c r="E133" s="108" t="s">
        <v>901</v>
      </c>
      <c r="F133" s="108" t="s">
        <v>901</v>
      </c>
      <c r="G133" s="109" t="s">
        <v>61</v>
      </c>
      <c r="H133" s="1219">
        <v>196</v>
      </c>
      <c r="I133" s="233">
        <v>0</v>
      </c>
      <c r="J133" s="322"/>
      <c r="K133" s="1365">
        <v>64</v>
      </c>
      <c r="L133" s="694">
        <v>38280000</v>
      </c>
      <c r="M133" s="571">
        <v>13</v>
      </c>
      <c r="N133" s="185">
        <v>38280000</v>
      </c>
      <c r="O133" s="263">
        <v>5</v>
      </c>
      <c r="P133" s="268"/>
      <c r="Q133" s="175">
        <v>1740000</v>
      </c>
      <c r="R133" s="175">
        <v>3480000</v>
      </c>
      <c r="S133" s="165"/>
      <c r="T133" s="165"/>
      <c r="U133" s="174"/>
      <c r="V133" s="175"/>
      <c r="W133" s="175"/>
      <c r="X133" s="175"/>
      <c r="Y133" s="174"/>
      <c r="Z133" s="174"/>
      <c r="AA133" s="174"/>
      <c r="AB133" s="207">
        <f t="shared" si="33"/>
        <v>5220000</v>
      </c>
      <c r="AC133" s="447">
        <f t="shared" si="31"/>
        <v>33060000</v>
      </c>
      <c r="AE133" s="1219">
        <v>196</v>
      </c>
      <c r="AF133" s="1220" t="s">
        <v>441</v>
      </c>
      <c r="AG133" s="313" t="s">
        <v>776</v>
      </c>
      <c r="AH133" s="1113">
        <f t="shared" si="34"/>
        <v>5</v>
      </c>
      <c r="AI133" s="1221">
        <v>38280000</v>
      </c>
      <c r="AJ133" s="1215">
        <f t="shared" si="35"/>
        <v>0</v>
      </c>
      <c r="AK133" s="1137"/>
    </row>
    <row r="134" spans="1:37" s="7" customFormat="1">
      <c r="A134" s="1134" t="s">
        <v>66</v>
      </c>
      <c r="B134" s="165">
        <f t="shared" si="32"/>
        <v>33550000</v>
      </c>
      <c r="C134" s="108" t="s">
        <v>44</v>
      </c>
      <c r="D134" s="108" t="s">
        <v>905</v>
      </c>
      <c r="E134" s="108" t="s">
        <v>901</v>
      </c>
      <c r="F134" s="108" t="s">
        <v>901</v>
      </c>
      <c r="G134" s="109" t="s">
        <v>61</v>
      </c>
      <c r="H134" s="1219">
        <v>199</v>
      </c>
      <c r="I134" s="233">
        <v>0</v>
      </c>
      <c r="J134" s="322"/>
      <c r="K134" s="1365">
        <v>62</v>
      </c>
      <c r="L134" s="694">
        <v>33550000</v>
      </c>
      <c r="M134" s="571">
        <v>12</v>
      </c>
      <c r="N134" s="185">
        <v>33550000</v>
      </c>
      <c r="O134" s="263">
        <v>2</v>
      </c>
      <c r="P134" s="268"/>
      <c r="Q134" s="175">
        <v>1525000</v>
      </c>
      <c r="R134" s="175">
        <v>3050000</v>
      </c>
      <c r="S134" s="165"/>
      <c r="T134" s="165"/>
      <c r="U134" s="174"/>
      <c r="V134" s="175"/>
      <c r="W134" s="175"/>
      <c r="X134" s="175"/>
      <c r="Y134" s="174"/>
      <c r="Z134" s="174"/>
      <c r="AA134" s="174"/>
      <c r="AB134" s="207">
        <f t="shared" si="33"/>
        <v>4575000</v>
      </c>
      <c r="AC134" s="447">
        <f t="shared" si="31"/>
        <v>28975000</v>
      </c>
      <c r="AE134" s="1219">
        <v>199</v>
      </c>
      <c r="AF134" s="1220" t="s">
        <v>442</v>
      </c>
      <c r="AG134" s="313" t="s">
        <v>777</v>
      </c>
      <c r="AH134" s="1113">
        <f t="shared" si="34"/>
        <v>2</v>
      </c>
      <c r="AI134" s="1221">
        <v>33550000</v>
      </c>
      <c r="AJ134" s="1215">
        <f t="shared" si="35"/>
        <v>0</v>
      </c>
      <c r="AK134" s="1137"/>
    </row>
    <row r="135" spans="1:37" s="7" customFormat="1">
      <c r="A135" s="1134" t="s">
        <v>66</v>
      </c>
      <c r="B135" s="165">
        <f t="shared" si="32"/>
        <v>0</v>
      </c>
      <c r="C135" s="108" t="s">
        <v>44</v>
      </c>
      <c r="D135" s="108" t="s">
        <v>905</v>
      </c>
      <c r="E135" s="108" t="s">
        <v>901</v>
      </c>
      <c r="F135" s="108" t="s">
        <v>901</v>
      </c>
      <c r="G135" s="109" t="s">
        <v>61</v>
      </c>
      <c r="H135" s="1219" t="s">
        <v>156</v>
      </c>
      <c r="I135" s="233">
        <v>0</v>
      </c>
      <c r="J135" s="322"/>
      <c r="K135" s="1365"/>
      <c r="L135" s="221"/>
      <c r="M135" s="318"/>
      <c r="N135" s="1133"/>
      <c r="O135" s="272"/>
      <c r="P135" s="268"/>
      <c r="Q135" s="175"/>
      <c r="R135" s="175"/>
      <c r="S135" s="165"/>
      <c r="T135" s="165"/>
      <c r="U135" s="174"/>
      <c r="V135" s="175"/>
      <c r="W135" s="175"/>
      <c r="X135" s="175"/>
      <c r="Y135" s="174"/>
      <c r="Z135" s="174"/>
      <c r="AA135" s="174"/>
      <c r="AB135" s="207">
        <f t="shared" si="33"/>
        <v>0</v>
      </c>
      <c r="AC135" s="447">
        <f t="shared" si="31"/>
        <v>0</v>
      </c>
      <c r="AE135" s="1219" t="s">
        <v>156</v>
      </c>
      <c r="AF135" s="1220" t="s">
        <v>443</v>
      </c>
      <c r="AG135" s="1220" t="s">
        <v>188</v>
      </c>
      <c r="AH135" s="1113">
        <f t="shared" si="34"/>
        <v>0</v>
      </c>
      <c r="AI135" s="1221">
        <v>1300000</v>
      </c>
      <c r="AJ135" s="1215">
        <f t="shared" si="35"/>
        <v>1300000</v>
      </c>
      <c r="AK135" s="1137"/>
    </row>
    <row r="136" spans="1:37" s="7" customFormat="1">
      <c r="A136" s="1134" t="s">
        <v>66</v>
      </c>
      <c r="B136" s="165">
        <f t="shared" si="32"/>
        <v>82500000</v>
      </c>
      <c r="C136" s="108" t="s">
        <v>44</v>
      </c>
      <c r="D136" s="108" t="s">
        <v>905</v>
      </c>
      <c r="E136" s="108" t="s">
        <v>901</v>
      </c>
      <c r="F136" s="108" t="s">
        <v>901</v>
      </c>
      <c r="G136" s="109" t="s">
        <v>61</v>
      </c>
      <c r="H136" s="1219">
        <v>206</v>
      </c>
      <c r="I136" s="233">
        <v>0</v>
      </c>
      <c r="J136" s="322"/>
      <c r="K136" s="1365">
        <v>239</v>
      </c>
      <c r="L136" s="694">
        <v>82500000</v>
      </c>
      <c r="M136" s="571">
        <v>204</v>
      </c>
      <c r="N136" s="185">
        <v>82500000</v>
      </c>
      <c r="O136" s="263">
        <v>194</v>
      </c>
      <c r="P136" s="268"/>
      <c r="Q136" s="175"/>
      <c r="R136" s="175">
        <v>7500000</v>
      </c>
      <c r="S136" s="165"/>
      <c r="T136" s="165"/>
      <c r="U136" s="174"/>
      <c r="V136" s="175"/>
      <c r="W136" s="175"/>
      <c r="X136" s="175"/>
      <c r="Y136" s="174"/>
      <c r="Z136" s="174"/>
      <c r="AA136" s="174"/>
      <c r="AB136" s="207">
        <f t="shared" si="33"/>
        <v>7500000</v>
      </c>
      <c r="AC136" s="447">
        <f t="shared" si="31"/>
        <v>75000000</v>
      </c>
      <c r="AE136" s="1219">
        <v>206</v>
      </c>
      <c r="AF136" s="1220" t="s">
        <v>444</v>
      </c>
      <c r="AG136" s="313" t="s">
        <v>778</v>
      </c>
      <c r="AH136" s="1113">
        <f t="shared" si="34"/>
        <v>194</v>
      </c>
      <c r="AI136" s="1221">
        <v>82500000</v>
      </c>
      <c r="AJ136" s="1215">
        <f t="shared" si="35"/>
        <v>0</v>
      </c>
      <c r="AK136" s="1137"/>
    </row>
    <row r="137" spans="1:37" s="7" customFormat="1">
      <c r="A137" s="1134" t="s">
        <v>66</v>
      </c>
      <c r="B137" s="165">
        <f t="shared" si="32"/>
        <v>57000000</v>
      </c>
      <c r="C137" s="108" t="s">
        <v>44</v>
      </c>
      <c r="D137" s="108" t="s">
        <v>905</v>
      </c>
      <c r="E137" s="108" t="s">
        <v>901</v>
      </c>
      <c r="F137" s="108" t="s">
        <v>901</v>
      </c>
      <c r="G137" s="109" t="s">
        <v>61</v>
      </c>
      <c r="H137" s="1203">
        <v>437</v>
      </c>
      <c r="I137" s="233">
        <v>0</v>
      </c>
      <c r="J137" s="322"/>
      <c r="K137" s="318">
        <v>271</v>
      </c>
      <c r="L137" s="221">
        <v>57000000</v>
      </c>
      <c r="M137" s="571">
        <f>VLOOKUP(K137,[4]RP!I$249:J$307,2,0)</f>
        <v>278</v>
      </c>
      <c r="N137" s="176">
        <v>57000000</v>
      </c>
      <c r="O137" s="1368">
        <v>246</v>
      </c>
      <c r="P137" s="268"/>
      <c r="Q137" s="175"/>
      <c r="R137" s="175">
        <v>3610000</v>
      </c>
      <c r="S137" s="165"/>
      <c r="T137" s="165"/>
      <c r="U137" s="174"/>
      <c r="V137" s="175"/>
      <c r="W137" s="175"/>
      <c r="X137" s="175"/>
      <c r="Y137" s="174"/>
      <c r="Z137" s="174"/>
      <c r="AA137" s="174"/>
      <c r="AB137" s="207">
        <f t="shared" si="33"/>
        <v>3610000</v>
      </c>
      <c r="AC137" s="447">
        <f t="shared" si="31"/>
        <v>53390000</v>
      </c>
      <c r="AE137" s="1203">
        <v>437</v>
      </c>
      <c r="AF137" s="313" t="s">
        <v>722</v>
      </c>
      <c r="AG137" s="1154" t="s">
        <v>779</v>
      </c>
      <c r="AH137" s="1113">
        <f t="shared" si="34"/>
        <v>246</v>
      </c>
      <c r="AI137" s="355">
        <v>57000000</v>
      </c>
      <c r="AJ137" s="1215">
        <f t="shared" si="35"/>
        <v>0</v>
      </c>
      <c r="AK137" s="1137"/>
    </row>
    <row r="138" spans="1:37" s="7" customFormat="1">
      <c r="A138" s="1134" t="s">
        <v>66</v>
      </c>
      <c r="B138" s="165">
        <f t="shared" si="32"/>
        <v>30000000</v>
      </c>
      <c r="C138" s="108" t="s">
        <v>44</v>
      </c>
      <c r="D138" s="108" t="s">
        <v>905</v>
      </c>
      <c r="E138" s="108" t="s">
        <v>901</v>
      </c>
      <c r="F138" s="108" t="s">
        <v>901</v>
      </c>
      <c r="G138" s="109" t="s">
        <v>61</v>
      </c>
      <c r="H138" s="1352">
        <v>447</v>
      </c>
      <c r="I138" s="233">
        <v>0</v>
      </c>
      <c r="J138" s="322"/>
      <c r="K138" s="318">
        <v>367</v>
      </c>
      <c r="L138" s="221">
        <v>30000000</v>
      </c>
      <c r="M138" s="318">
        <v>379</v>
      </c>
      <c r="N138" s="1133">
        <v>30000000</v>
      </c>
      <c r="O138" s="272">
        <v>296</v>
      </c>
      <c r="P138" s="268"/>
      <c r="Q138" s="165"/>
      <c r="R138" s="165"/>
      <c r="S138" s="165"/>
      <c r="T138" s="165"/>
      <c r="U138" s="174"/>
      <c r="V138" s="175"/>
      <c r="W138" s="175"/>
      <c r="X138" s="175"/>
      <c r="Y138" s="174"/>
      <c r="Z138" s="174"/>
      <c r="AA138" s="174"/>
      <c r="AB138" s="207">
        <f t="shared" si="33"/>
        <v>0</v>
      </c>
      <c r="AC138" s="447">
        <f t="shared" si="31"/>
        <v>30000000</v>
      </c>
      <c r="AE138" s="1203">
        <v>447</v>
      </c>
      <c r="AF138" s="313" t="s">
        <v>816</v>
      </c>
      <c r="AG138" s="1220" t="s">
        <v>890</v>
      </c>
      <c r="AH138" s="1113">
        <f t="shared" si="34"/>
        <v>296</v>
      </c>
      <c r="AI138" s="355">
        <v>31779333</v>
      </c>
      <c r="AJ138" s="1215">
        <f t="shared" si="35"/>
        <v>1779333</v>
      </c>
      <c r="AK138" s="1137"/>
    </row>
    <row r="139" spans="1:37" s="7" customFormat="1">
      <c r="A139" s="1134" t="s">
        <v>66</v>
      </c>
      <c r="B139" s="165">
        <f t="shared" si="32"/>
        <v>44940000</v>
      </c>
      <c r="C139" s="108" t="s">
        <v>44</v>
      </c>
      <c r="D139" s="108" t="s">
        <v>905</v>
      </c>
      <c r="E139" s="108" t="s">
        <v>901</v>
      </c>
      <c r="F139" s="108" t="s">
        <v>901</v>
      </c>
      <c r="G139" s="109" t="s">
        <v>61</v>
      </c>
      <c r="H139" s="1352">
        <v>448</v>
      </c>
      <c r="I139" s="233">
        <v>0</v>
      </c>
      <c r="J139" s="322"/>
      <c r="K139" s="318">
        <v>368</v>
      </c>
      <c r="L139" s="221">
        <v>44940000</v>
      </c>
      <c r="M139" s="318">
        <v>383</v>
      </c>
      <c r="N139" s="1133">
        <v>44940000</v>
      </c>
      <c r="O139" s="272">
        <v>383</v>
      </c>
      <c r="P139" s="268"/>
      <c r="Q139" s="165"/>
      <c r="R139" s="165"/>
      <c r="S139" s="165"/>
      <c r="T139" s="165"/>
      <c r="U139" s="174"/>
      <c r="V139" s="175"/>
      <c r="W139" s="175"/>
      <c r="X139" s="175"/>
      <c r="Y139" s="174"/>
      <c r="Z139" s="174"/>
      <c r="AA139" s="174"/>
      <c r="AB139" s="207">
        <f t="shared" si="33"/>
        <v>0</v>
      </c>
      <c r="AC139" s="447">
        <f t="shared" si="31"/>
        <v>44940000</v>
      </c>
      <c r="AE139" s="1203">
        <v>448</v>
      </c>
      <c r="AF139" s="313" t="s">
        <v>817</v>
      </c>
      <c r="AG139" s="1220" t="s">
        <v>891</v>
      </c>
      <c r="AH139" s="1113">
        <f t="shared" si="34"/>
        <v>383</v>
      </c>
      <c r="AI139" s="355">
        <v>44940000</v>
      </c>
      <c r="AJ139" s="1215">
        <f t="shared" si="35"/>
        <v>0</v>
      </c>
      <c r="AK139" s="1137"/>
    </row>
    <row r="140" spans="1:37" s="7" customFormat="1">
      <c r="A140" s="1134" t="s">
        <v>66</v>
      </c>
      <c r="B140" s="165">
        <f t="shared" si="32"/>
        <v>42600000</v>
      </c>
      <c r="C140" s="108" t="s">
        <v>44</v>
      </c>
      <c r="D140" s="108" t="s">
        <v>905</v>
      </c>
      <c r="E140" s="108" t="s">
        <v>901</v>
      </c>
      <c r="F140" s="108" t="s">
        <v>901</v>
      </c>
      <c r="G140" s="109" t="s">
        <v>61</v>
      </c>
      <c r="H140" s="1352">
        <v>449</v>
      </c>
      <c r="I140" s="233">
        <v>0</v>
      </c>
      <c r="J140" s="322"/>
      <c r="K140" s="318">
        <v>369</v>
      </c>
      <c r="L140" s="221">
        <v>42600000</v>
      </c>
      <c r="M140" s="318">
        <v>378</v>
      </c>
      <c r="N140" s="1133">
        <v>42600000</v>
      </c>
      <c r="O140" s="272">
        <v>295</v>
      </c>
      <c r="P140" s="268"/>
      <c r="Q140" s="165"/>
      <c r="R140" s="165"/>
      <c r="S140" s="165"/>
      <c r="T140" s="165"/>
      <c r="U140" s="174"/>
      <c r="V140" s="175"/>
      <c r="W140" s="175"/>
      <c r="X140" s="175"/>
      <c r="Y140" s="174"/>
      <c r="Z140" s="174"/>
      <c r="AA140" s="174"/>
      <c r="AB140" s="207">
        <f t="shared" si="33"/>
        <v>0</v>
      </c>
      <c r="AC140" s="447">
        <f t="shared" si="31"/>
        <v>42600000</v>
      </c>
      <c r="AE140" s="1203">
        <v>449</v>
      </c>
      <c r="AF140" s="313" t="s">
        <v>818</v>
      </c>
      <c r="AG140" s="1220" t="s">
        <v>889</v>
      </c>
      <c r="AH140" s="1113">
        <f t="shared" si="34"/>
        <v>295</v>
      </c>
      <c r="AI140" s="355">
        <v>42600000</v>
      </c>
      <c r="AJ140" s="1215">
        <f t="shared" si="35"/>
        <v>0</v>
      </c>
      <c r="AK140" s="1137"/>
    </row>
    <row r="141" spans="1:37" s="7" customFormat="1">
      <c r="A141" s="1134" t="s">
        <v>66</v>
      </c>
      <c r="B141" s="165">
        <f t="shared" si="32"/>
        <v>0</v>
      </c>
      <c r="C141" s="108" t="s">
        <v>44</v>
      </c>
      <c r="D141" s="108" t="s">
        <v>905</v>
      </c>
      <c r="E141" s="108" t="s">
        <v>901</v>
      </c>
      <c r="F141" s="108" t="s">
        <v>901</v>
      </c>
      <c r="G141" s="109" t="s">
        <v>61</v>
      </c>
      <c r="H141" s="1321" t="s">
        <v>188</v>
      </c>
      <c r="I141" s="233">
        <v>0</v>
      </c>
      <c r="J141" s="322"/>
      <c r="K141" s="318"/>
      <c r="L141" s="221"/>
      <c r="M141" s="318"/>
      <c r="N141" s="1133"/>
      <c r="O141" s="272"/>
      <c r="P141" s="268"/>
      <c r="Q141" s="165"/>
      <c r="R141" s="165"/>
      <c r="S141" s="165"/>
      <c r="T141" s="165"/>
      <c r="U141" s="174"/>
      <c r="V141" s="175"/>
      <c r="W141" s="175"/>
      <c r="X141" s="175"/>
      <c r="Y141" s="174"/>
      <c r="Z141" s="174"/>
      <c r="AA141" s="174"/>
      <c r="AB141" s="207">
        <f t="shared" si="33"/>
        <v>0</v>
      </c>
      <c r="AC141" s="447">
        <f t="shared" si="31"/>
        <v>0</v>
      </c>
      <c r="AE141" s="1203"/>
      <c r="AF141" s="313"/>
      <c r="AG141" s="1220" t="s">
        <v>188</v>
      </c>
      <c r="AH141" s="1113">
        <f t="shared" si="34"/>
        <v>0</v>
      </c>
      <c r="AI141" s="355"/>
      <c r="AJ141" s="1215">
        <f t="shared" si="35"/>
        <v>0</v>
      </c>
      <c r="AK141" s="1137"/>
    </row>
    <row r="142" spans="1:37" s="7" customFormat="1">
      <c r="A142" s="1134" t="s">
        <v>66</v>
      </c>
      <c r="B142" s="165">
        <f t="shared" si="32"/>
        <v>0</v>
      </c>
      <c r="C142" s="108" t="s">
        <v>44</v>
      </c>
      <c r="D142" s="108" t="s">
        <v>905</v>
      </c>
      <c r="E142" s="108" t="s">
        <v>901</v>
      </c>
      <c r="F142" s="108" t="s">
        <v>901</v>
      </c>
      <c r="G142" s="109" t="s">
        <v>61</v>
      </c>
      <c r="H142" s="1321" t="s">
        <v>188</v>
      </c>
      <c r="I142" s="233">
        <v>0</v>
      </c>
      <c r="J142" s="322"/>
      <c r="K142" s="318"/>
      <c r="L142" s="221"/>
      <c r="M142" s="318"/>
      <c r="N142" s="1133"/>
      <c r="O142" s="272"/>
      <c r="P142" s="268"/>
      <c r="Q142" s="165"/>
      <c r="R142" s="165"/>
      <c r="S142" s="165"/>
      <c r="T142" s="165"/>
      <c r="U142" s="174"/>
      <c r="V142" s="175"/>
      <c r="W142" s="175"/>
      <c r="X142" s="175"/>
      <c r="Y142" s="174"/>
      <c r="Z142" s="174"/>
      <c r="AA142" s="174"/>
      <c r="AB142" s="207">
        <f t="shared" si="33"/>
        <v>0</v>
      </c>
      <c r="AC142" s="447">
        <f t="shared" si="31"/>
        <v>0</v>
      </c>
      <c r="AE142" s="1203"/>
      <c r="AF142" s="313"/>
      <c r="AG142" s="1220" t="s">
        <v>188</v>
      </c>
      <c r="AH142" s="1113">
        <f t="shared" si="34"/>
        <v>0</v>
      </c>
      <c r="AI142" s="355"/>
      <c r="AJ142" s="1215">
        <f t="shared" si="35"/>
        <v>0</v>
      </c>
      <c r="AK142" s="1137"/>
    </row>
    <row r="143" spans="1:37" s="1130" customFormat="1">
      <c r="A143" s="1134" t="s">
        <v>66</v>
      </c>
      <c r="B143" s="165">
        <f t="shared" si="32"/>
        <v>0</v>
      </c>
      <c r="C143" s="108" t="s">
        <v>44</v>
      </c>
      <c r="D143" s="108" t="s">
        <v>905</v>
      </c>
      <c r="E143" s="108" t="s">
        <v>901</v>
      </c>
      <c r="F143" s="108" t="s">
        <v>901</v>
      </c>
      <c r="G143" s="109" t="s">
        <v>61</v>
      </c>
      <c r="H143" s="1321" t="s">
        <v>188</v>
      </c>
      <c r="I143" s="233">
        <v>0</v>
      </c>
      <c r="J143" s="278"/>
      <c r="K143" s="1124"/>
      <c r="L143" s="1123"/>
      <c r="M143" s="1124"/>
      <c r="N143" s="1123"/>
      <c r="O143" s="272"/>
      <c r="P143" s="268"/>
      <c r="Q143" s="165"/>
      <c r="R143" s="165"/>
      <c r="S143" s="165"/>
      <c r="T143" s="165"/>
      <c r="U143" s="175"/>
      <c r="V143" s="175"/>
      <c r="W143" s="175"/>
      <c r="X143" s="175"/>
      <c r="Y143" s="174"/>
      <c r="Z143" s="174"/>
      <c r="AA143" s="174"/>
      <c r="AB143" s="207">
        <f>SUM(P143:AA143)</f>
        <v>0</v>
      </c>
      <c r="AC143" s="447">
        <f t="shared" si="31"/>
        <v>0</v>
      </c>
      <c r="AE143" s="1203"/>
      <c r="AF143" s="410"/>
      <c r="AG143" s="1220" t="s">
        <v>188</v>
      </c>
      <c r="AH143" s="1113">
        <f t="shared" si="34"/>
        <v>0</v>
      </c>
      <c r="AI143" s="1136"/>
      <c r="AJ143" s="1215">
        <f t="shared" si="35"/>
        <v>0</v>
      </c>
      <c r="AK143" s="1137"/>
    </row>
    <row r="144" spans="1:37" s="9" customFormat="1">
      <c r="A144" s="190" t="s">
        <v>31</v>
      </c>
      <c r="B144" s="310">
        <f>B83-SUM(B84:B143)</f>
        <v>132284666</v>
      </c>
      <c r="C144" s="92"/>
      <c r="D144" s="92"/>
      <c r="E144" s="92"/>
      <c r="F144" s="92"/>
      <c r="G144" s="93"/>
      <c r="H144" s="1307"/>
      <c r="I144" s="236"/>
      <c r="J144" s="325"/>
      <c r="K144" s="119"/>
      <c r="L144" s="164">
        <f>SUM(L83:L143)</f>
        <v>2344796334</v>
      </c>
      <c r="M144" s="119"/>
      <c r="N144" s="164">
        <f>SUM(N83:N143)</f>
        <v>2334936334</v>
      </c>
      <c r="O144" s="206"/>
      <c r="P144" s="164">
        <f>SUM(P84:P143)</f>
        <v>0</v>
      </c>
      <c r="Q144" s="164">
        <f>SUM(Q84:Q143)</f>
        <v>49922664</v>
      </c>
      <c r="R144" s="164">
        <f>SUM(R84:R143)</f>
        <v>178783969</v>
      </c>
      <c r="S144" s="164">
        <f t="shared" ref="S144:AD144" si="36">SUM(S84:S143)</f>
        <v>0</v>
      </c>
      <c r="T144" s="164">
        <f t="shared" si="36"/>
        <v>0</v>
      </c>
      <c r="U144" s="164">
        <f t="shared" si="36"/>
        <v>0</v>
      </c>
      <c r="V144" s="164">
        <f t="shared" si="36"/>
        <v>0</v>
      </c>
      <c r="W144" s="164">
        <f t="shared" si="36"/>
        <v>0</v>
      </c>
      <c r="X144" s="164">
        <f t="shared" si="36"/>
        <v>0</v>
      </c>
      <c r="Y144" s="164">
        <f t="shared" si="36"/>
        <v>0</v>
      </c>
      <c r="Z144" s="164">
        <f t="shared" si="36"/>
        <v>0</v>
      </c>
      <c r="AA144" s="164">
        <f t="shared" si="36"/>
        <v>0</v>
      </c>
      <c r="AB144" s="164">
        <f>SUM(AB84:AB143)</f>
        <v>228706633</v>
      </c>
      <c r="AC144" s="164">
        <f t="shared" si="36"/>
        <v>2106229701</v>
      </c>
      <c r="AD144" s="164">
        <f t="shared" si="36"/>
        <v>0</v>
      </c>
      <c r="AE144" s="1180"/>
      <c r="AF144" s="15"/>
      <c r="AG144" s="15"/>
      <c r="AH144" s="119"/>
      <c r="AI144" s="15">
        <f>SUM(AI84:AI143)</f>
        <v>2477081000</v>
      </c>
      <c r="AJ144" s="206">
        <f>SUM(AJ84:AJ143)</f>
        <v>142144666</v>
      </c>
      <c r="AK144" s="1137">
        <f>B83-AI144</f>
        <v>0</v>
      </c>
    </row>
    <row r="145" spans="1:37" s="9" customFormat="1" ht="63.75">
      <c r="A145" s="686" t="s">
        <v>66</v>
      </c>
      <c r="B145" s="561">
        <v>1971000</v>
      </c>
      <c r="C145" s="1008" t="s">
        <v>62</v>
      </c>
      <c r="D145" s="1008" t="s">
        <v>905</v>
      </c>
      <c r="E145" s="1008" t="s">
        <v>901</v>
      </c>
      <c r="F145" s="1008" t="s">
        <v>901</v>
      </c>
      <c r="G145" s="1026" t="s">
        <v>61</v>
      </c>
      <c r="H145" s="1344"/>
      <c r="I145" s="1521"/>
      <c r="J145" s="1522"/>
      <c r="K145" s="1523"/>
      <c r="L145" s="1524"/>
      <c r="M145" s="1523"/>
      <c r="N145" s="1524"/>
      <c r="O145" s="1525"/>
      <c r="P145" s="1526"/>
      <c r="Q145" s="1524"/>
      <c r="R145" s="1524"/>
      <c r="S145" s="1524"/>
      <c r="T145" s="1524"/>
      <c r="U145" s="1524"/>
      <c r="V145" s="1524"/>
      <c r="W145" s="1524"/>
      <c r="X145" s="1524"/>
      <c r="Y145" s="1524"/>
      <c r="Z145" s="1524"/>
      <c r="AA145" s="1524"/>
      <c r="AB145" s="1527">
        <f>SUM(P145:AA145)</f>
        <v>0</v>
      </c>
      <c r="AC145" s="1528">
        <f>N145-AB145</f>
        <v>0</v>
      </c>
      <c r="AD145" s="1529"/>
      <c r="AE145" s="1530"/>
      <c r="AF145" s="1531"/>
      <c r="AG145" s="1531"/>
      <c r="AH145" s="1532"/>
      <c r="AI145" s="1533"/>
      <c r="AJ145" s="1534"/>
      <c r="AK145" s="1137"/>
    </row>
    <row r="146" spans="1:37" s="149" customFormat="1">
      <c r="A146" s="1141" t="s">
        <v>66</v>
      </c>
      <c r="B146" s="995">
        <f>J146</f>
        <v>0</v>
      </c>
      <c r="C146" s="108" t="s">
        <v>62</v>
      </c>
      <c r="D146" s="108" t="s">
        <v>905</v>
      </c>
      <c r="E146" s="108" t="s">
        <v>901</v>
      </c>
      <c r="F146" s="108" t="s">
        <v>901</v>
      </c>
      <c r="G146" s="109" t="s">
        <v>61</v>
      </c>
      <c r="H146" s="1213">
        <v>193</v>
      </c>
      <c r="I146" s="1002">
        <v>0</v>
      </c>
      <c r="J146" s="1003"/>
      <c r="K146" s="1365">
        <v>152</v>
      </c>
      <c r="L146" s="694">
        <v>1971000</v>
      </c>
      <c r="M146" s="693">
        <v>186</v>
      </c>
      <c r="N146" s="694">
        <v>1971000</v>
      </c>
      <c r="O146" s="792">
        <v>139</v>
      </c>
      <c r="P146" s="1006"/>
      <c r="Q146" s="1004"/>
      <c r="R146" s="1004"/>
      <c r="S146" s="1004"/>
      <c r="T146" s="1004"/>
      <c r="U146" s="1004"/>
      <c r="V146" s="1004"/>
      <c r="W146" s="1004"/>
      <c r="X146" s="1004"/>
      <c r="Y146" s="1004"/>
      <c r="Z146" s="1004"/>
      <c r="AA146" s="1004"/>
      <c r="AB146" s="207">
        <f>SUM(P146:AA146)</f>
        <v>0</v>
      </c>
      <c r="AC146" s="447">
        <f>N146-AB146</f>
        <v>1971000</v>
      </c>
      <c r="AE146" s="1213">
        <v>193</v>
      </c>
      <c r="AF146" s="362" t="s">
        <v>439</v>
      </c>
      <c r="AG146" s="313" t="s">
        <v>774</v>
      </c>
      <c r="AH146" s="1113">
        <f>O146</f>
        <v>139</v>
      </c>
      <c r="AI146" s="1214">
        <v>1971000</v>
      </c>
      <c r="AJ146" s="1215">
        <f>AI146-N146</f>
        <v>0</v>
      </c>
      <c r="AK146" s="1139"/>
    </row>
    <row r="147" spans="1:37" s="9" customFormat="1">
      <c r="A147" s="190" t="s">
        <v>31</v>
      </c>
      <c r="B147" s="310">
        <f>B145-SUM(B146:B146)</f>
        <v>1971000</v>
      </c>
      <c r="C147" s="92"/>
      <c r="D147" s="92"/>
      <c r="E147" s="92"/>
      <c r="F147" s="92"/>
      <c r="G147" s="93"/>
      <c r="H147" s="1307"/>
      <c r="I147" s="236"/>
      <c r="J147" s="325"/>
      <c r="K147" s="119"/>
      <c r="L147" s="164">
        <f>SUM(L145:L146)</f>
        <v>1971000</v>
      </c>
      <c r="M147" s="119"/>
      <c r="N147" s="164">
        <f>SUM(N145:N146)</f>
        <v>1971000</v>
      </c>
      <c r="O147" s="206"/>
      <c r="P147" s="164">
        <f>SUM(P146)</f>
        <v>0</v>
      </c>
      <c r="Q147" s="164">
        <f>SUM(Q146)</f>
        <v>0</v>
      </c>
      <c r="R147" s="164">
        <f>SUM(R146)</f>
        <v>0</v>
      </c>
      <c r="S147" s="164">
        <f t="shared" ref="S147:AC147" si="37">SUM(S146)</f>
        <v>0</v>
      </c>
      <c r="T147" s="164">
        <f t="shared" si="37"/>
        <v>0</v>
      </c>
      <c r="U147" s="164">
        <f t="shared" si="37"/>
        <v>0</v>
      </c>
      <c r="V147" s="164">
        <f t="shared" si="37"/>
        <v>0</v>
      </c>
      <c r="W147" s="164">
        <f t="shared" si="37"/>
        <v>0</v>
      </c>
      <c r="X147" s="164">
        <f t="shared" si="37"/>
        <v>0</v>
      </c>
      <c r="Y147" s="164">
        <f t="shared" si="37"/>
        <v>0</v>
      </c>
      <c r="Z147" s="164">
        <f t="shared" si="37"/>
        <v>0</v>
      </c>
      <c r="AA147" s="164">
        <f t="shared" si="37"/>
        <v>0</v>
      </c>
      <c r="AB147" s="164">
        <f t="shared" si="37"/>
        <v>0</v>
      </c>
      <c r="AC147" s="164">
        <f t="shared" si="37"/>
        <v>1971000</v>
      </c>
      <c r="AD147" s="164">
        <f>SUM(AD145:AD146)</f>
        <v>0</v>
      </c>
      <c r="AE147" s="1180"/>
      <c r="AF147" s="15"/>
      <c r="AG147" s="15"/>
      <c r="AH147" s="119"/>
      <c r="AI147" s="15">
        <f>SUM(AI145:AI146)</f>
        <v>1971000</v>
      </c>
      <c r="AJ147" s="206">
        <f>SUM(AJ145:AJ146)</f>
        <v>0</v>
      </c>
      <c r="AK147" s="1137">
        <f>B145-AI147</f>
        <v>0</v>
      </c>
    </row>
    <row r="148" spans="1:37" s="7" customFormat="1" ht="96" customHeight="1">
      <c r="A148" s="1013" t="s">
        <v>67</v>
      </c>
      <c r="B148" s="560">
        <f>267820000-8140000</f>
        <v>259680000</v>
      </c>
      <c r="C148" s="1012" t="s">
        <v>44</v>
      </c>
      <c r="D148" s="1012" t="s">
        <v>905</v>
      </c>
      <c r="E148" s="1012" t="s">
        <v>901</v>
      </c>
      <c r="F148" s="1012" t="s">
        <v>901</v>
      </c>
      <c r="G148" s="1027" t="s">
        <v>61</v>
      </c>
      <c r="H148" s="1345"/>
      <c r="I148" s="439">
        <v>0</v>
      </c>
      <c r="J148" s="540"/>
      <c r="K148" s="512"/>
      <c r="L148" s="440"/>
      <c r="M148" s="512"/>
      <c r="N148" s="441"/>
      <c r="O148" s="442"/>
      <c r="P148" s="443"/>
      <c r="Q148" s="441"/>
      <c r="R148" s="441"/>
      <c r="S148" s="441"/>
      <c r="T148" s="441"/>
      <c r="U148" s="441"/>
      <c r="V148" s="441"/>
      <c r="W148" s="441"/>
      <c r="X148" s="441"/>
      <c r="Y148" s="441"/>
      <c r="Z148" s="441"/>
      <c r="AA148" s="441"/>
      <c r="AB148" s="444"/>
      <c r="AC148" s="453"/>
      <c r="AE148" s="1216"/>
      <c r="AF148" s="290"/>
      <c r="AG148" s="290"/>
      <c r="AH148" s="1458"/>
      <c r="AI148" s="1126"/>
      <c r="AJ148" s="1199"/>
      <c r="AK148" s="1137"/>
    </row>
    <row r="149" spans="1:37" s="7" customFormat="1">
      <c r="A149" s="1142" t="s">
        <v>67</v>
      </c>
      <c r="B149" s="165">
        <f t="shared" ref="B149:B155" si="38">L149</f>
        <v>55000000</v>
      </c>
      <c r="C149" s="244" t="s">
        <v>44</v>
      </c>
      <c r="D149" s="244" t="s">
        <v>905</v>
      </c>
      <c r="E149" s="244" t="s">
        <v>901</v>
      </c>
      <c r="F149" s="244" t="s">
        <v>901</v>
      </c>
      <c r="G149" s="245" t="s">
        <v>61</v>
      </c>
      <c r="H149" s="1203">
        <v>121</v>
      </c>
      <c r="I149" s="575">
        <v>0</v>
      </c>
      <c r="J149" s="1143"/>
      <c r="K149" s="1365">
        <v>85</v>
      </c>
      <c r="L149" s="694">
        <v>55000000</v>
      </c>
      <c r="M149" s="571">
        <v>41</v>
      </c>
      <c r="N149" s="185">
        <v>55000000</v>
      </c>
      <c r="O149" s="263">
        <v>57</v>
      </c>
      <c r="P149" s="268"/>
      <c r="Q149" s="175">
        <v>2166667</v>
      </c>
      <c r="R149" s="175">
        <v>5000000</v>
      </c>
      <c r="S149" s="174"/>
      <c r="T149" s="174"/>
      <c r="U149" s="174"/>
      <c r="V149" s="174"/>
      <c r="W149" s="174"/>
      <c r="X149" s="174"/>
      <c r="Y149" s="174"/>
      <c r="Z149" s="174"/>
      <c r="AA149" s="174"/>
      <c r="AB149" s="207">
        <f t="shared" ref="AB149:AB155" si="39">SUM(P149:AA149)</f>
        <v>7166667</v>
      </c>
      <c r="AC149" s="447">
        <f t="shared" ref="AC149:AC155" si="40">N149-AB149</f>
        <v>47833333</v>
      </c>
      <c r="AE149" s="1203">
        <v>121</v>
      </c>
      <c r="AF149" s="313" t="s">
        <v>445</v>
      </c>
      <c r="AG149" s="313" t="s">
        <v>780</v>
      </c>
      <c r="AH149" s="1113">
        <f t="shared" ref="AH149:AH155" si="41">O149</f>
        <v>57</v>
      </c>
      <c r="AI149" s="355">
        <v>55000000</v>
      </c>
      <c r="AJ149" s="1215">
        <f>AI149-N149</f>
        <v>0</v>
      </c>
      <c r="AK149" s="1137"/>
    </row>
    <row r="150" spans="1:37" s="7" customFormat="1">
      <c r="A150" s="1142" t="s">
        <v>67</v>
      </c>
      <c r="B150" s="165">
        <f t="shared" si="38"/>
        <v>22660000</v>
      </c>
      <c r="C150" s="244" t="s">
        <v>44</v>
      </c>
      <c r="D150" s="244" t="s">
        <v>905</v>
      </c>
      <c r="E150" s="244" t="s">
        <v>901</v>
      </c>
      <c r="F150" s="244" t="s">
        <v>901</v>
      </c>
      <c r="G150" s="245" t="s">
        <v>61</v>
      </c>
      <c r="H150" s="1203">
        <v>126</v>
      </c>
      <c r="I150" s="575">
        <v>0</v>
      </c>
      <c r="J150" s="1143"/>
      <c r="K150" s="1365">
        <v>245</v>
      </c>
      <c r="L150" s="694">
        <v>22660000</v>
      </c>
      <c r="M150" s="571">
        <f>VLOOKUP(K150,[4]RP!I$249:J$307,2,0)</f>
        <v>233</v>
      </c>
      <c r="N150" s="176">
        <v>21630000</v>
      </c>
      <c r="O150" s="1368">
        <v>211</v>
      </c>
      <c r="P150" s="268"/>
      <c r="Q150" s="175"/>
      <c r="R150" s="175">
        <v>1716666</v>
      </c>
      <c r="S150" s="174"/>
      <c r="T150" s="174"/>
      <c r="U150" s="174"/>
      <c r="V150" s="174"/>
      <c r="W150" s="174"/>
      <c r="X150" s="174"/>
      <c r="Y150" s="174"/>
      <c r="Z150" s="174"/>
      <c r="AA150" s="174"/>
      <c r="AB150" s="207">
        <f t="shared" si="39"/>
        <v>1716666</v>
      </c>
      <c r="AC150" s="447">
        <f t="shared" si="40"/>
        <v>19913334</v>
      </c>
      <c r="AE150" s="1203">
        <v>126</v>
      </c>
      <c r="AF150" s="313" t="s">
        <v>446</v>
      </c>
      <c r="AG150" s="1154" t="s">
        <v>781</v>
      </c>
      <c r="AH150" s="1113">
        <f t="shared" si="41"/>
        <v>211</v>
      </c>
      <c r="AI150" s="355">
        <f>30800000-8140000</f>
        <v>22660000</v>
      </c>
      <c r="AJ150" s="1215">
        <f t="shared" ref="AJ150:AJ155" si="42">AI150-N150</f>
        <v>1030000</v>
      </c>
      <c r="AK150" s="1137"/>
    </row>
    <row r="151" spans="1:37" s="7" customFormat="1">
      <c r="A151" s="1142" t="s">
        <v>67</v>
      </c>
      <c r="B151" s="165">
        <f t="shared" si="38"/>
        <v>40700000</v>
      </c>
      <c r="C151" s="244" t="s">
        <v>44</v>
      </c>
      <c r="D151" s="244" t="s">
        <v>905</v>
      </c>
      <c r="E151" s="244" t="s">
        <v>901</v>
      </c>
      <c r="F151" s="244" t="s">
        <v>901</v>
      </c>
      <c r="G151" s="245" t="s">
        <v>61</v>
      </c>
      <c r="H151" s="1203">
        <v>127</v>
      </c>
      <c r="I151" s="575">
        <v>0</v>
      </c>
      <c r="J151" s="1143"/>
      <c r="K151" s="1365">
        <v>148</v>
      </c>
      <c r="L151" s="694">
        <v>40700000</v>
      </c>
      <c r="M151" s="571">
        <v>68</v>
      </c>
      <c r="N151" s="185">
        <v>40700000</v>
      </c>
      <c r="O151" s="263">
        <v>129</v>
      </c>
      <c r="P151" s="268"/>
      <c r="Q151" s="175">
        <v>986667</v>
      </c>
      <c r="R151" s="175">
        <v>3700000</v>
      </c>
      <c r="S151" s="174"/>
      <c r="T151" s="174"/>
      <c r="U151" s="174"/>
      <c r="V151" s="174"/>
      <c r="W151" s="174"/>
      <c r="X151" s="174"/>
      <c r="Y151" s="174"/>
      <c r="Z151" s="174"/>
      <c r="AA151" s="174"/>
      <c r="AB151" s="207">
        <f t="shared" si="39"/>
        <v>4686667</v>
      </c>
      <c r="AC151" s="447">
        <f t="shared" si="40"/>
        <v>36013333</v>
      </c>
      <c r="AE151" s="1203">
        <v>127</v>
      </c>
      <c r="AF151" s="313" t="s">
        <v>447</v>
      </c>
      <c r="AG151" s="313" t="s">
        <v>782</v>
      </c>
      <c r="AH151" s="1113">
        <f t="shared" si="41"/>
        <v>129</v>
      </c>
      <c r="AI151" s="355">
        <v>40700000</v>
      </c>
      <c r="AJ151" s="1215">
        <f t="shared" si="42"/>
        <v>0</v>
      </c>
      <c r="AK151" s="1137"/>
    </row>
    <row r="152" spans="1:37" s="7" customFormat="1">
      <c r="A152" s="1142" t="s">
        <v>67</v>
      </c>
      <c r="B152" s="165">
        <f t="shared" si="38"/>
        <v>94820000</v>
      </c>
      <c r="C152" s="244" t="s">
        <v>44</v>
      </c>
      <c r="D152" s="244" t="s">
        <v>905</v>
      </c>
      <c r="E152" s="244" t="s">
        <v>901</v>
      </c>
      <c r="F152" s="244" t="s">
        <v>901</v>
      </c>
      <c r="G152" s="245" t="s">
        <v>61</v>
      </c>
      <c r="H152" s="1203">
        <v>133</v>
      </c>
      <c r="I152" s="575">
        <v>0</v>
      </c>
      <c r="J152" s="1143"/>
      <c r="K152" s="1365">
        <v>102</v>
      </c>
      <c r="L152" s="694">
        <v>94820000</v>
      </c>
      <c r="M152" s="571">
        <v>107</v>
      </c>
      <c r="N152" s="185">
        <v>94820000</v>
      </c>
      <c r="O152" s="263">
        <v>76</v>
      </c>
      <c r="P152" s="268"/>
      <c r="Q152" s="175">
        <v>2298667</v>
      </c>
      <c r="R152" s="175">
        <v>8620000</v>
      </c>
      <c r="S152" s="174"/>
      <c r="T152" s="174"/>
      <c r="U152" s="174"/>
      <c r="V152" s="174"/>
      <c r="W152" s="174"/>
      <c r="X152" s="174"/>
      <c r="Y152" s="174"/>
      <c r="Z152" s="174"/>
      <c r="AA152" s="174"/>
      <c r="AB152" s="207">
        <f t="shared" si="39"/>
        <v>10918667</v>
      </c>
      <c r="AC152" s="447">
        <f t="shared" si="40"/>
        <v>83901333</v>
      </c>
      <c r="AE152" s="1203">
        <v>133</v>
      </c>
      <c r="AF152" s="313" t="s">
        <v>448</v>
      </c>
      <c r="AG152" s="313" t="s">
        <v>783</v>
      </c>
      <c r="AH152" s="1113">
        <f t="shared" si="41"/>
        <v>76</v>
      </c>
      <c r="AI152" s="355">
        <v>94820000</v>
      </c>
      <c r="AJ152" s="1215">
        <f t="shared" si="42"/>
        <v>0</v>
      </c>
      <c r="AK152" s="1137"/>
    </row>
    <row r="153" spans="1:37" s="7" customFormat="1">
      <c r="A153" s="1142" t="s">
        <v>67</v>
      </c>
      <c r="B153" s="165">
        <f t="shared" si="38"/>
        <v>37000000</v>
      </c>
      <c r="C153" s="244" t="s">
        <v>44</v>
      </c>
      <c r="D153" s="244" t="s">
        <v>905</v>
      </c>
      <c r="E153" s="244" t="s">
        <v>901</v>
      </c>
      <c r="F153" s="244" t="s">
        <v>901</v>
      </c>
      <c r="G153" s="245" t="s">
        <v>61</v>
      </c>
      <c r="H153" s="1203">
        <v>135</v>
      </c>
      <c r="I153" s="575">
        <v>0</v>
      </c>
      <c r="J153" s="1143"/>
      <c r="K153" s="1365">
        <v>318</v>
      </c>
      <c r="L153" s="694">
        <v>37000000</v>
      </c>
      <c r="M153" s="571">
        <v>325</v>
      </c>
      <c r="N153" s="176">
        <v>37000000</v>
      </c>
      <c r="O153" s="1368">
        <v>272</v>
      </c>
      <c r="P153" s="268"/>
      <c r="Q153" s="174"/>
      <c r="R153" s="175"/>
      <c r="S153" s="174"/>
      <c r="T153" s="174"/>
      <c r="U153" s="174"/>
      <c r="V153" s="174"/>
      <c r="W153" s="174"/>
      <c r="X153" s="174"/>
      <c r="Y153" s="174"/>
      <c r="Z153" s="174"/>
      <c r="AA153" s="174"/>
      <c r="AB153" s="207">
        <f t="shared" si="39"/>
        <v>0</v>
      </c>
      <c r="AC153" s="447">
        <f t="shared" si="40"/>
        <v>37000000</v>
      </c>
      <c r="AE153" s="1203">
        <v>135</v>
      </c>
      <c r="AF153" s="313" t="s">
        <v>449</v>
      </c>
      <c r="AG153" s="313" t="s">
        <v>748</v>
      </c>
      <c r="AH153" s="1113">
        <f t="shared" si="41"/>
        <v>272</v>
      </c>
      <c r="AI153" s="355">
        <v>46500000</v>
      </c>
      <c r="AJ153" s="1215">
        <f t="shared" si="42"/>
        <v>9500000</v>
      </c>
      <c r="AK153" s="1137"/>
    </row>
    <row r="154" spans="1:37" s="7" customFormat="1">
      <c r="A154" s="1142" t="s">
        <v>67</v>
      </c>
      <c r="B154" s="165">
        <f t="shared" si="38"/>
        <v>0</v>
      </c>
      <c r="C154" s="244" t="s">
        <v>44</v>
      </c>
      <c r="D154" s="244" t="s">
        <v>905</v>
      </c>
      <c r="E154" s="244" t="s">
        <v>901</v>
      </c>
      <c r="F154" s="244" t="s">
        <v>901</v>
      </c>
      <c r="G154" s="245" t="s">
        <v>61</v>
      </c>
      <c r="H154" s="1321" t="s">
        <v>188</v>
      </c>
      <c r="I154" s="575">
        <v>0</v>
      </c>
      <c r="J154" s="1143"/>
      <c r="K154" s="317"/>
      <c r="L154" s="694"/>
      <c r="M154" s="317"/>
      <c r="N154" s="174"/>
      <c r="O154" s="1125"/>
      <c r="P154" s="268"/>
      <c r="Q154" s="174"/>
      <c r="R154" s="174"/>
      <c r="S154" s="174"/>
      <c r="T154" s="174"/>
      <c r="U154" s="174"/>
      <c r="V154" s="174"/>
      <c r="W154" s="174"/>
      <c r="X154" s="174"/>
      <c r="Y154" s="174"/>
      <c r="Z154" s="174"/>
      <c r="AA154" s="174"/>
      <c r="AB154" s="207">
        <f t="shared" si="39"/>
        <v>0</v>
      </c>
      <c r="AC154" s="447">
        <f t="shared" si="40"/>
        <v>0</v>
      </c>
      <c r="AE154" s="1203"/>
      <c r="AF154" s="313"/>
      <c r="AG154" s="313" t="s">
        <v>188</v>
      </c>
      <c r="AH154" s="1113">
        <f t="shared" si="41"/>
        <v>0</v>
      </c>
      <c r="AI154" s="355"/>
      <c r="AJ154" s="1215">
        <f t="shared" si="42"/>
        <v>0</v>
      </c>
      <c r="AK154" s="1137"/>
    </row>
    <row r="155" spans="1:37" s="1130" customFormat="1">
      <c r="A155" s="1142" t="s">
        <v>67</v>
      </c>
      <c r="B155" s="165">
        <f t="shared" si="38"/>
        <v>0</v>
      </c>
      <c r="C155" s="244" t="s">
        <v>44</v>
      </c>
      <c r="D155" s="244" t="s">
        <v>905</v>
      </c>
      <c r="E155" s="244" t="s">
        <v>901</v>
      </c>
      <c r="F155" s="244" t="s">
        <v>901</v>
      </c>
      <c r="G155" s="245" t="s">
        <v>61</v>
      </c>
      <c r="H155" s="1321" t="s">
        <v>188</v>
      </c>
      <c r="I155" s="1135">
        <v>0</v>
      </c>
      <c r="J155" s="278"/>
      <c r="K155" s="1124"/>
      <c r="L155" s="694"/>
      <c r="M155" s="1124"/>
      <c r="N155" s="165"/>
      <c r="O155" s="272"/>
      <c r="P155" s="268"/>
      <c r="Q155" s="176"/>
      <c r="R155" s="176"/>
      <c r="S155" s="176"/>
      <c r="T155" s="176"/>
      <c r="U155" s="175"/>
      <c r="V155" s="175"/>
      <c r="W155" s="175"/>
      <c r="X155" s="175"/>
      <c r="Y155" s="174"/>
      <c r="Z155" s="174"/>
      <c r="AA155" s="174"/>
      <c r="AB155" s="207">
        <f t="shared" si="39"/>
        <v>0</v>
      </c>
      <c r="AC155" s="447">
        <f t="shared" si="40"/>
        <v>0</v>
      </c>
      <c r="AE155" s="1203"/>
      <c r="AF155" s="410"/>
      <c r="AG155" s="313" t="s">
        <v>188</v>
      </c>
      <c r="AH155" s="1113">
        <f t="shared" si="41"/>
        <v>0</v>
      </c>
      <c r="AI155" s="1136"/>
      <c r="AJ155" s="1215">
        <f t="shared" si="42"/>
        <v>0</v>
      </c>
      <c r="AK155" s="1137"/>
    </row>
    <row r="156" spans="1:37">
      <c r="A156" s="62" t="s">
        <v>31</v>
      </c>
      <c r="B156" s="564">
        <f>B148-SUM(B149:B155)</f>
        <v>9500000</v>
      </c>
      <c r="C156" s="76"/>
      <c r="D156" s="76"/>
      <c r="E156" s="76"/>
      <c r="F156" s="76"/>
      <c r="G156" s="77"/>
      <c r="H156" s="1346"/>
      <c r="I156" s="237"/>
      <c r="J156" s="541"/>
      <c r="K156" s="523"/>
      <c r="L156" s="216">
        <f>SUM(L149:L155)</f>
        <v>250180000</v>
      </c>
      <c r="M156" s="523"/>
      <c r="N156" s="216">
        <f>SUM(N149:N155)</f>
        <v>249150000</v>
      </c>
      <c r="O156" s="273"/>
      <c r="P156" s="216">
        <f>SUM(P149:P155)</f>
        <v>0</v>
      </c>
      <c r="Q156" s="216">
        <f>SUM(Q149:Q155)</f>
        <v>5452001</v>
      </c>
      <c r="R156" s="216">
        <f>SUM(R149:R155)</f>
        <v>19036666</v>
      </c>
      <c r="S156" s="216">
        <f t="shared" ref="S156:AC156" si="43">SUM(S149:S155)</f>
        <v>0</v>
      </c>
      <c r="T156" s="216">
        <f t="shared" si="43"/>
        <v>0</v>
      </c>
      <c r="U156" s="216">
        <f t="shared" si="43"/>
        <v>0</v>
      </c>
      <c r="V156" s="216">
        <f t="shared" si="43"/>
        <v>0</v>
      </c>
      <c r="W156" s="216">
        <f t="shared" si="43"/>
        <v>0</v>
      </c>
      <c r="X156" s="216">
        <f t="shared" si="43"/>
        <v>0</v>
      </c>
      <c r="Y156" s="216">
        <f t="shared" si="43"/>
        <v>0</v>
      </c>
      <c r="Z156" s="216">
        <f t="shared" si="43"/>
        <v>0</v>
      </c>
      <c r="AA156" s="216">
        <f t="shared" si="43"/>
        <v>0</v>
      </c>
      <c r="AB156" s="216">
        <f t="shared" si="43"/>
        <v>24488667</v>
      </c>
      <c r="AC156" s="216">
        <f t="shared" si="43"/>
        <v>224661333</v>
      </c>
      <c r="AE156" s="1222"/>
      <c r="AF156" s="1223"/>
      <c r="AG156" s="1223"/>
      <c r="AH156" s="523"/>
      <c r="AI156" s="1223">
        <f>SUM(AI149:AI155)</f>
        <v>259680000</v>
      </c>
      <c r="AJ156" s="273">
        <f>SUM(AJ149:AJ155)</f>
        <v>10530000</v>
      </c>
      <c r="AK156" s="1138">
        <f>B148-AI156</f>
        <v>0</v>
      </c>
    </row>
    <row r="157" spans="1:37" s="9" customFormat="1">
      <c r="A157" s="199"/>
      <c r="B157" s="565"/>
      <c r="C157" s="246"/>
      <c r="D157" s="246"/>
      <c r="E157" s="246"/>
      <c r="F157" s="246"/>
      <c r="G157" s="247"/>
      <c r="H157" s="1347"/>
      <c r="I157" s="248"/>
      <c r="J157" s="542"/>
      <c r="K157" s="524"/>
      <c r="L157" s="249"/>
      <c r="M157" s="524"/>
      <c r="N157" s="616"/>
      <c r="O157" s="274"/>
      <c r="P157" s="269"/>
      <c r="Q157" s="616"/>
      <c r="R157" s="616"/>
      <c r="S157" s="616"/>
      <c r="T157" s="616"/>
      <c r="U157" s="616"/>
      <c r="V157" s="616"/>
      <c r="W157" s="616"/>
      <c r="X157" s="616"/>
      <c r="Y157" s="616"/>
      <c r="Z157" s="616"/>
      <c r="AA157" s="616"/>
      <c r="AB157" s="363"/>
      <c r="AC157" s="454"/>
      <c r="AE157" s="1204"/>
      <c r="AF157" s="291"/>
      <c r="AG157" s="291"/>
      <c r="AH157" s="1113"/>
      <c r="AI157" s="356"/>
      <c r="AJ157" s="1207"/>
      <c r="AK157" s="1137"/>
    </row>
    <row r="158" spans="1:37" ht="13.5" thickBot="1">
      <c r="A158" s="637" t="s">
        <v>185</v>
      </c>
      <c r="B158" s="566">
        <f>B16+B33+B54+B63+B82+B148</f>
        <v>5578162000</v>
      </c>
      <c r="C158" s="217"/>
      <c r="D158" s="217"/>
      <c r="E158" s="217"/>
      <c r="F158" s="217"/>
      <c r="G158" s="218"/>
      <c r="H158" s="1348"/>
      <c r="I158" s="238"/>
      <c r="J158" s="543"/>
      <c r="K158" s="525"/>
      <c r="L158" s="219">
        <f>L26+L29+L32+L45+L53+L62+L81+L144+L147+L156</f>
        <v>4261980190</v>
      </c>
      <c r="M158" s="525"/>
      <c r="N158" s="219">
        <f>N26+N29+N32+N45+N53+N62+N81+N144+N147+N156</f>
        <v>3596004932</v>
      </c>
      <c r="O158" s="275"/>
      <c r="P158" s="219">
        <f t="shared" ref="P158:AC158" si="44">P26+P29+P32+P45+P53+P62+P81+P144+P147+P156</f>
        <v>5808174</v>
      </c>
      <c r="Q158" s="219">
        <f t="shared" si="44"/>
        <v>73612986</v>
      </c>
      <c r="R158" s="219">
        <f t="shared" si="44"/>
        <v>321065651</v>
      </c>
      <c r="S158" s="219">
        <f t="shared" si="44"/>
        <v>0</v>
      </c>
      <c r="T158" s="219">
        <f t="shared" si="44"/>
        <v>0</v>
      </c>
      <c r="U158" s="219">
        <f t="shared" si="44"/>
        <v>0</v>
      </c>
      <c r="V158" s="219">
        <f t="shared" si="44"/>
        <v>0</v>
      </c>
      <c r="W158" s="219">
        <f t="shared" si="44"/>
        <v>0</v>
      </c>
      <c r="X158" s="219">
        <f t="shared" si="44"/>
        <v>0</v>
      </c>
      <c r="Y158" s="219">
        <f t="shared" si="44"/>
        <v>0</v>
      </c>
      <c r="Z158" s="219">
        <f t="shared" si="44"/>
        <v>0</v>
      </c>
      <c r="AA158" s="219">
        <f t="shared" si="44"/>
        <v>0</v>
      </c>
      <c r="AB158" s="275">
        <f t="shared" si="44"/>
        <v>400486811</v>
      </c>
      <c r="AC158" s="1014">
        <f t="shared" si="44"/>
        <v>3184588121</v>
      </c>
      <c r="AE158" s="1224"/>
      <c r="AF158" s="1210"/>
      <c r="AG158" s="1210"/>
      <c r="AH158" s="1460"/>
      <c r="AI158" s="275">
        <f>AI26+AI29+AI32+AI45+AI53+AI62+AI81+AI144+AI147+AI156</f>
        <v>5578162000</v>
      </c>
      <c r="AJ158" s="275">
        <f>AJ26+AJ29+AJ32+AJ45+AJ53+AJ62+AJ81+AJ144+AJ147+AJ156</f>
        <v>1982157068</v>
      </c>
      <c r="AK158" s="275">
        <f>AK26+AK29+AK32+AK45+AK53+AK62+AK81+AK144+AK147+AK156</f>
        <v>0</v>
      </c>
    </row>
    <row r="159" spans="1:37" s="9" customFormat="1">
      <c r="A159" s="1017"/>
      <c r="B159" s="544"/>
      <c r="C159" s="79"/>
      <c r="D159" s="79"/>
      <c r="E159" s="79"/>
      <c r="F159" s="79"/>
      <c r="G159" s="79"/>
      <c r="H159" s="1349"/>
      <c r="I159" s="239"/>
      <c r="J159" s="544"/>
      <c r="K159" s="323"/>
      <c r="L159" s="81"/>
      <c r="M159" s="323"/>
      <c r="N159" s="81"/>
      <c r="O159" s="81"/>
      <c r="P159" s="81"/>
      <c r="Q159" s="81"/>
      <c r="R159" s="81"/>
      <c r="S159" s="81"/>
      <c r="T159" s="81"/>
      <c r="U159" s="81"/>
      <c r="V159" s="81"/>
      <c r="W159" s="81"/>
      <c r="X159" s="81"/>
      <c r="Y159" s="81"/>
      <c r="Z159" s="81"/>
      <c r="AA159" s="81"/>
      <c r="AB159" s="81"/>
      <c r="AC159" s="1018"/>
      <c r="AE159" s="1103"/>
      <c r="AH159" s="1461"/>
      <c r="AI159" s="354"/>
      <c r="AJ159" s="354"/>
      <c r="AK159" s="1137"/>
    </row>
    <row r="160" spans="1:37" s="9" customFormat="1">
      <c r="A160" s="1017"/>
      <c r="B160" s="544"/>
      <c r="C160" s="79"/>
      <c r="D160" s="79"/>
      <c r="E160" s="79"/>
      <c r="F160" s="79"/>
      <c r="G160" s="79"/>
      <c r="H160" s="1349"/>
      <c r="I160" s="239"/>
      <c r="J160" s="544"/>
      <c r="K160" s="323"/>
      <c r="L160" s="81"/>
      <c r="M160" s="323"/>
      <c r="N160" s="81"/>
      <c r="O160" s="81"/>
      <c r="P160" s="81"/>
      <c r="Q160" s="81"/>
      <c r="R160" s="81"/>
      <c r="S160" s="81"/>
      <c r="T160" s="81"/>
      <c r="U160" s="81"/>
      <c r="V160" s="81"/>
      <c r="W160" s="81"/>
      <c r="X160" s="81"/>
      <c r="Y160" s="81"/>
      <c r="Z160" s="81"/>
      <c r="AA160" s="81"/>
      <c r="AB160" s="81"/>
      <c r="AC160" s="1018"/>
      <c r="AE160" s="1103"/>
      <c r="AH160" s="1461"/>
      <c r="AI160" s="354"/>
      <c r="AJ160" s="354"/>
      <c r="AK160" s="1137"/>
    </row>
    <row r="161" spans="1:37" s="9" customFormat="1">
      <c r="A161" s="677"/>
      <c r="B161" s="567"/>
      <c r="C161" s="78"/>
      <c r="D161" s="79"/>
      <c r="E161" s="79"/>
      <c r="F161" s="79"/>
      <c r="G161" s="79"/>
      <c r="H161" s="1349"/>
      <c r="I161" s="239"/>
      <c r="J161" s="544"/>
      <c r="K161" s="323"/>
      <c r="L161" s="81"/>
      <c r="M161" s="323"/>
      <c r="N161" s="250"/>
      <c r="O161" s="251"/>
      <c r="P161" s="250"/>
      <c r="Q161" s="250"/>
      <c r="R161" s="250"/>
      <c r="S161" s="250"/>
      <c r="T161" s="250"/>
      <c r="U161" s="250"/>
      <c r="V161" s="250"/>
      <c r="W161" s="250"/>
      <c r="X161" s="250"/>
      <c r="Y161" s="250"/>
      <c r="Z161" s="250"/>
      <c r="AA161" s="250"/>
      <c r="AB161" s="250"/>
      <c r="AC161" s="678"/>
      <c r="AE161" s="1103"/>
      <c r="AH161" s="1461"/>
      <c r="AI161" s="354"/>
      <c r="AJ161" s="354"/>
      <c r="AK161" s="1137"/>
    </row>
    <row r="162" spans="1:37">
      <c r="A162" s="24" t="s">
        <v>37</v>
      </c>
      <c r="B162" s="145" t="s">
        <v>19</v>
      </c>
      <c r="C162" s="1106"/>
      <c r="D162" s="1106"/>
      <c r="E162" s="1106"/>
      <c r="F162" s="1106"/>
      <c r="G162" s="1106"/>
      <c r="H162" s="240"/>
      <c r="I162" s="240"/>
      <c r="J162" s="144"/>
      <c r="K162" s="202"/>
      <c r="L162" s="129"/>
      <c r="M162" s="121"/>
      <c r="N162" s="252"/>
      <c r="O162" s="253"/>
      <c r="P162" s="252"/>
      <c r="Q162" s="252"/>
      <c r="R162" s="252"/>
      <c r="S162" s="252"/>
      <c r="T162" s="252"/>
      <c r="U162" s="252"/>
      <c r="V162" s="252"/>
      <c r="W162" s="252"/>
      <c r="X162" s="252"/>
      <c r="Y162" s="252"/>
      <c r="Z162" s="252"/>
      <c r="AA162" s="252"/>
      <c r="AB162" s="252"/>
      <c r="AC162" s="639"/>
    </row>
    <row r="163" spans="1:37" s="148" customFormat="1" ht="24.75" customHeight="1">
      <c r="A163" s="27" t="s">
        <v>38</v>
      </c>
      <c r="B163" s="82">
        <f>B17+B27+B30+B34+B46+B54+B63+B83+B145+B148</f>
        <v>5578162000</v>
      </c>
      <c r="C163" s="652"/>
      <c r="D163" s="652"/>
      <c r="E163" s="652"/>
      <c r="F163" s="652"/>
      <c r="G163" s="652"/>
      <c r="H163" s="1294"/>
      <c r="I163" s="255"/>
      <c r="J163" s="254"/>
      <c r="K163" s="324"/>
      <c r="L163" s="130" t="s">
        <v>24</v>
      </c>
      <c r="M163" s="403" t="s">
        <v>25</v>
      </c>
      <c r="N163" s="26" t="s">
        <v>26</v>
      </c>
      <c r="O163" s="611" t="s">
        <v>136</v>
      </c>
      <c r="P163" s="610">
        <v>5808174</v>
      </c>
      <c r="Q163" s="610">
        <v>73612986</v>
      </c>
      <c r="R163" s="610">
        <v>321065651</v>
      </c>
      <c r="S163" s="610"/>
      <c r="T163" s="610"/>
      <c r="U163" s="610"/>
      <c r="V163" s="610"/>
      <c r="W163" s="610"/>
      <c r="X163" s="610"/>
      <c r="Y163" s="610"/>
      <c r="Z163" s="610"/>
      <c r="AA163" s="610"/>
      <c r="AB163" s="610">
        <f>SUM(P163:AA163)</f>
        <v>400486811</v>
      </c>
      <c r="AC163" s="641">
        <f>N158-AB163</f>
        <v>3195518121</v>
      </c>
      <c r="AE163" s="605"/>
      <c r="AH163" s="1462"/>
      <c r="AI163" s="607"/>
      <c r="AJ163" s="607"/>
      <c r="AK163" s="1140"/>
    </row>
    <row r="164" spans="1:37" ht="15">
      <c r="A164" s="64"/>
      <c r="B164" s="364"/>
      <c r="C164" s="66"/>
      <c r="D164" s="1716" t="s">
        <v>143</v>
      </c>
      <c r="E164" s="1748"/>
      <c r="F164" s="1748" t="s">
        <v>141</v>
      </c>
      <c r="G164" s="1748"/>
      <c r="H164" s="1314"/>
      <c r="I164" s="253"/>
      <c r="J164" s="553"/>
      <c r="K164" s="1366"/>
      <c r="L164" s="131">
        <f>L158</f>
        <v>4261980190</v>
      </c>
      <c r="M164" s="131">
        <f>N158</f>
        <v>3596004932</v>
      </c>
      <c r="N164" s="131">
        <f>AB158</f>
        <v>400486811</v>
      </c>
      <c r="O164" s="253"/>
      <c r="P164" s="252"/>
      <c r="Q164" s="252"/>
      <c r="R164" s="252"/>
      <c r="S164" s="252"/>
      <c r="T164" s="252"/>
      <c r="U164" s="252"/>
      <c r="V164" s="252"/>
      <c r="W164" s="252"/>
      <c r="X164" s="252"/>
      <c r="Y164" s="252"/>
      <c r="Z164" s="252"/>
      <c r="AA164" s="252"/>
      <c r="AB164" s="252"/>
      <c r="AC164" s="639"/>
    </row>
    <row r="165" spans="1:37" ht="24.75" customHeight="1">
      <c r="A165" s="1028" t="s">
        <v>39</v>
      </c>
      <c r="B165" s="364"/>
      <c r="C165" s="66"/>
      <c r="D165" s="1771" t="s">
        <v>454</v>
      </c>
      <c r="E165" s="1771"/>
      <c r="F165" s="1771" t="s">
        <v>142</v>
      </c>
      <c r="G165" s="1771"/>
      <c r="H165" s="1350"/>
      <c r="I165" s="253"/>
      <c r="J165" s="553"/>
      <c r="K165" s="1366"/>
      <c r="L165" s="81"/>
      <c r="M165" s="526" t="s">
        <v>38</v>
      </c>
      <c r="N165" s="131">
        <f>N158</f>
        <v>3596004932</v>
      </c>
      <c r="O165" s="253"/>
      <c r="P165" s="131">
        <f t="shared" ref="P165:AB165" si="45">P26+P29+P32+P45+P53+P62+P81+P144+P147+P156</f>
        <v>5808174</v>
      </c>
      <c r="Q165" s="131">
        <f t="shared" si="45"/>
        <v>73612986</v>
      </c>
      <c r="R165" s="131">
        <f t="shared" si="45"/>
        <v>321065651</v>
      </c>
      <c r="S165" s="131">
        <f t="shared" si="45"/>
        <v>0</v>
      </c>
      <c r="T165" s="131">
        <f t="shared" si="45"/>
        <v>0</v>
      </c>
      <c r="U165" s="131">
        <f t="shared" si="45"/>
        <v>0</v>
      </c>
      <c r="V165" s="131">
        <f t="shared" si="45"/>
        <v>0</v>
      </c>
      <c r="W165" s="131">
        <f t="shared" si="45"/>
        <v>0</v>
      </c>
      <c r="X165" s="131">
        <f t="shared" si="45"/>
        <v>0</v>
      </c>
      <c r="Y165" s="131">
        <f t="shared" si="45"/>
        <v>0</v>
      </c>
      <c r="Z165" s="131">
        <f t="shared" si="45"/>
        <v>0</v>
      </c>
      <c r="AA165" s="131">
        <f t="shared" si="45"/>
        <v>0</v>
      </c>
      <c r="AB165" s="131">
        <f t="shared" si="45"/>
        <v>400486811</v>
      </c>
      <c r="AC165" s="1611">
        <f>N165-AB165</f>
        <v>3195518121</v>
      </c>
    </row>
    <row r="166" spans="1:37" ht="13.5" thickBot="1">
      <c r="A166" s="679"/>
      <c r="B166" s="680"/>
      <c r="C166" s="681"/>
      <c r="D166" s="682"/>
      <c r="E166" s="72"/>
      <c r="F166" s="72"/>
      <c r="G166" s="72"/>
      <c r="H166" s="1351"/>
      <c r="I166" s="292"/>
      <c r="J166" s="569"/>
      <c r="K166" s="1367"/>
      <c r="L166" s="644"/>
      <c r="M166" s="723"/>
      <c r="N166" s="649"/>
      <c r="O166" s="292"/>
      <c r="P166" s="649"/>
      <c r="Q166" s="649"/>
      <c r="R166" s="649"/>
      <c r="S166" s="649"/>
      <c r="T166" s="649"/>
      <c r="U166" s="649"/>
      <c r="V166" s="649"/>
      <c r="W166" s="649"/>
      <c r="X166" s="649"/>
      <c r="Y166" s="649"/>
      <c r="Z166" s="649"/>
      <c r="AA166" s="649"/>
      <c r="AB166" s="649"/>
      <c r="AC166" s="651"/>
    </row>
    <row r="167" spans="1:37">
      <c r="A167" s="35"/>
      <c r="B167" s="147"/>
      <c r="C167" s="37"/>
      <c r="D167" s="38"/>
      <c r="AB167" s="134">
        <f>AB165-AB158</f>
        <v>0</v>
      </c>
    </row>
    <row r="168" spans="1:37">
      <c r="L168" s="412">
        <v>4261980190</v>
      </c>
      <c r="M168" s="412">
        <v>3596004932</v>
      </c>
      <c r="N168" s="459">
        <f>N164</f>
        <v>400486811</v>
      </c>
      <c r="Q168" s="134">
        <f>Q165-Q163</f>
        <v>0</v>
      </c>
      <c r="R168" s="134">
        <f>R163-R158</f>
        <v>0</v>
      </c>
    </row>
  </sheetData>
  <autoFilter ref="A15:AK156"/>
  <mergeCells count="20">
    <mergeCell ref="A1:A2"/>
    <mergeCell ref="C1:M1"/>
    <mergeCell ref="Z1:AA1"/>
    <mergeCell ref="AB1:AC1"/>
    <mergeCell ref="C2:M2"/>
    <mergeCell ref="Z2:AA2"/>
    <mergeCell ref="AB2:AC2"/>
    <mergeCell ref="D165:E165"/>
    <mergeCell ref="F165:G165"/>
    <mergeCell ref="A3:G3"/>
    <mergeCell ref="A4:G4"/>
    <mergeCell ref="A5:G5"/>
    <mergeCell ref="A6:G6"/>
    <mergeCell ref="A7:G7"/>
    <mergeCell ref="A8:G8"/>
    <mergeCell ref="B9:D9"/>
    <mergeCell ref="B10:G10"/>
    <mergeCell ref="B11:G11"/>
    <mergeCell ref="D164:E164"/>
    <mergeCell ref="F164:G164"/>
  </mergeCells>
  <conditionalFormatting sqref="AC148 AC27 AC1:AC25 AC33:AC34 AC54 AC63 AC82:AC83 AC61 AC143 AC157 AC46:AC50 AC161:AC1048576">
    <cfRule type="cellIs" dxfId="114" priority="15" operator="lessThan">
      <formula>0</formula>
    </cfRule>
  </conditionalFormatting>
  <conditionalFormatting sqref="M147">
    <cfRule type="duplicateValues" dxfId="113" priority="13"/>
  </conditionalFormatting>
  <conditionalFormatting sqref="AC28">
    <cfRule type="cellIs" dxfId="112" priority="12" operator="lessThan">
      <formula>0</formula>
    </cfRule>
  </conditionalFormatting>
  <conditionalFormatting sqref="AC30:AC31">
    <cfRule type="cellIs" dxfId="111" priority="11" operator="lessThan">
      <formula>0</formula>
    </cfRule>
  </conditionalFormatting>
  <conditionalFormatting sqref="AC35:AC44">
    <cfRule type="cellIs" dxfId="110" priority="10" operator="lessThan">
      <formula>0</formula>
    </cfRule>
  </conditionalFormatting>
  <conditionalFormatting sqref="AC51:AC52">
    <cfRule type="cellIs" dxfId="109" priority="9" operator="lessThan">
      <formula>0</formula>
    </cfRule>
  </conditionalFormatting>
  <conditionalFormatting sqref="AC55:AC60">
    <cfRule type="cellIs" dxfId="108" priority="8" operator="lessThan">
      <formula>0</formula>
    </cfRule>
  </conditionalFormatting>
  <conditionalFormatting sqref="AC64:AC80">
    <cfRule type="cellIs" dxfId="107" priority="7" operator="lessThan">
      <formula>0</formula>
    </cfRule>
  </conditionalFormatting>
  <conditionalFormatting sqref="AC84:AC142">
    <cfRule type="cellIs" dxfId="106" priority="6" operator="lessThan">
      <formula>0</formula>
    </cfRule>
  </conditionalFormatting>
  <conditionalFormatting sqref="AC145:AC146">
    <cfRule type="cellIs" dxfId="105" priority="5" operator="lessThan">
      <formula>0</formula>
    </cfRule>
  </conditionalFormatting>
  <conditionalFormatting sqref="AC149:AC155">
    <cfRule type="cellIs" dxfId="104" priority="4" operator="lessThan">
      <formula>0</formula>
    </cfRule>
  </conditionalFormatting>
  <conditionalFormatting sqref="M1:M163 M165:M167 M169:M1048576">
    <cfRule type="duplicateValues" dxfId="103" priority="3"/>
  </conditionalFormatting>
  <conditionalFormatting sqref="O1:O1048576">
    <cfRule type="duplicateValues" dxfId="102" priority="2"/>
  </conditionalFormatting>
  <conditionalFormatting sqref="M1:M163 M169:M1048576 M165:M167">
    <cfRule type="duplicateValues" dxfId="101" priority="1"/>
  </conditionalFormatting>
  <conditionalFormatting sqref="M165:M167 M169:M1048576 M148:M163 M3:M146">
    <cfRule type="duplicateValues" dxfId="100" priority="319"/>
  </conditionalFormatting>
  <printOptions horizontalCentered="1" verticalCentered="1"/>
  <pageMargins left="0.70866141732283472" right="1.74" top="0" bottom="0" header="0" footer="0"/>
  <pageSetup scale="35" fitToWidth="2"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44"/>
  <sheetViews>
    <sheetView zoomScale="78" zoomScaleNormal="78" workbookViewId="0">
      <selection activeCell="B10" sqref="B10:G10"/>
    </sheetView>
  </sheetViews>
  <sheetFormatPr baseColWidth="10" defaultRowHeight="12.75"/>
  <cols>
    <col min="1" max="1" width="31" customWidth="1"/>
    <col min="2" max="2" width="22.85546875" style="132" customWidth="1"/>
    <col min="3" max="3" width="30.7109375" customWidth="1"/>
    <col min="4" max="4" width="29.42578125" customWidth="1"/>
    <col min="5" max="5" width="20.85546875" customWidth="1"/>
    <col min="6" max="6" width="25.42578125" customWidth="1"/>
    <col min="7" max="7" width="26" customWidth="1"/>
    <col min="8" max="8" width="13.28515625" style="122" customWidth="1"/>
    <col min="9" max="9" width="13.42578125" style="578" hidden="1" customWidth="1"/>
    <col min="10" max="10" width="13.42578125" style="186" hidden="1" customWidth="1"/>
    <col min="11" max="11" width="9.42578125" style="153" customWidth="1"/>
    <col min="12" max="12" width="20" style="152" bestFit="1" customWidth="1"/>
    <col min="13" max="13" width="16.5703125" style="153" customWidth="1"/>
    <col min="14" max="14" width="17.28515625" style="599" customWidth="1"/>
    <col min="15" max="15" width="11.42578125" style="153" customWidth="1"/>
    <col min="16" max="16" width="11.42578125" style="600" customWidth="1"/>
    <col min="17" max="17" width="14.140625" style="600" customWidth="1"/>
    <col min="18" max="18" width="15.28515625" style="599" customWidth="1"/>
    <col min="19" max="19" width="15.28515625" style="600" customWidth="1"/>
    <col min="20" max="20" width="15" style="600" customWidth="1"/>
    <col min="21" max="23" width="14.28515625" style="600" customWidth="1"/>
    <col min="24" max="24" width="18.5703125" style="599" customWidth="1"/>
    <col min="25" max="27" width="11.42578125" style="600" customWidth="1"/>
    <col min="28" max="28" width="18" style="600" customWidth="1"/>
    <col min="29" max="29" width="17.140625" style="600" bestFit="1" customWidth="1"/>
    <col min="30" max="30" width="4.140625" customWidth="1"/>
    <col min="32" max="32" width="11.42578125" style="1160"/>
    <col min="33" max="33" width="13.28515625" style="1510" customWidth="1"/>
    <col min="34" max="34" width="11.42578125" style="122"/>
    <col min="35" max="36" width="16.28515625" style="132" bestFit="1" customWidth="1"/>
    <col min="37" max="37" width="14" style="1140" bestFit="1" customWidth="1"/>
  </cols>
  <sheetData>
    <row r="1" spans="1:37" ht="42" customHeight="1">
      <c r="A1" s="1720"/>
      <c r="B1" s="619" t="s">
        <v>0</v>
      </c>
      <c r="C1" s="1728" t="s">
        <v>1</v>
      </c>
      <c r="D1" s="1729"/>
      <c r="E1" s="1729"/>
      <c r="F1" s="1729"/>
      <c r="G1" s="1729"/>
      <c r="H1" s="1729"/>
      <c r="I1" s="1729"/>
      <c r="J1" s="1729"/>
      <c r="K1" s="1729"/>
      <c r="L1" s="1729"/>
      <c r="M1" s="1729"/>
      <c r="N1" s="1729"/>
      <c r="O1" s="1729"/>
      <c r="P1" s="1729"/>
      <c r="Q1" s="1729"/>
      <c r="R1" s="1729"/>
      <c r="S1" s="1729"/>
      <c r="T1" s="1729"/>
      <c r="U1" s="1729"/>
      <c r="V1" s="1729"/>
      <c r="W1" s="1729"/>
      <c r="X1" s="1729"/>
      <c r="Y1" s="1778"/>
      <c r="Z1" s="1722" t="s">
        <v>2</v>
      </c>
      <c r="AA1" s="1722"/>
      <c r="AB1" s="1775" t="s">
        <v>3</v>
      </c>
      <c r="AC1" s="1776"/>
    </row>
    <row r="2" spans="1:37" ht="42" customHeight="1">
      <c r="A2" s="1721"/>
      <c r="B2" s="137" t="s">
        <v>4</v>
      </c>
      <c r="C2" s="1730" t="s">
        <v>5</v>
      </c>
      <c r="D2" s="1731"/>
      <c r="E2" s="1731"/>
      <c r="F2" s="1731"/>
      <c r="G2" s="1731"/>
      <c r="H2" s="1731"/>
      <c r="I2" s="1731"/>
      <c r="J2" s="1731"/>
      <c r="K2" s="1731"/>
      <c r="L2" s="1731"/>
      <c r="M2" s="1731"/>
      <c r="N2" s="1731"/>
      <c r="O2" s="1731"/>
      <c r="P2" s="1731"/>
      <c r="Q2" s="1731"/>
      <c r="R2" s="1731"/>
      <c r="S2" s="1731"/>
      <c r="T2" s="1731"/>
      <c r="U2" s="1731"/>
      <c r="V2" s="1731"/>
      <c r="W2" s="1731"/>
      <c r="X2" s="1731"/>
      <c r="Y2" s="1777"/>
      <c r="Z2" s="1725" t="s">
        <v>6</v>
      </c>
      <c r="AA2" s="1725"/>
      <c r="AB2" s="1726">
        <v>1</v>
      </c>
      <c r="AC2" s="1727"/>
    </row>
    <row r="3" spans="1:37">
      <c r="A3" s="1772" t="s">
        <v>7</v>
      </c>
      <c r="B3" s="1762"/>
      <c r="C3" s="1762"/>
      <c r="D3" s="1762"/>
      <c r="E3" s="1762"/>
      <c r="F3" s="1762"/>
      <c r="G3" s="1762"/>
      <c r="H3" s="1369"/>
      <c r="I3" s="1370"/>
      <c r="J3" s="1500"/>
      <c r="K3" s="1671"/>
      <c r="L3" s="1656"/>
      <c r="M3" s="1671"/>
      <c r="N3" s="1661"/>
      <c r="O3" s="1671"/>
      <c r="P3" s="43"/>
      <c r="Q3" s="43"/>
      <c r="R3" s="1654"/>
      <c r="S3" s="43"/>
      <c r="T3" s="43"/>
      <c r="U3" s="319"/>
      <c r="V3" s="319"/>
      <c r="W3" s="319"/>
      <c r="X3" s="1500"/>
      <c r="Y3" s="319"/>
      <c r="Z3" s="319"/>
      <c r="AA3" s="319"/>
      <c r="AB3" s="319"/>
      <c r="AC3" s="706"/>
    </row>
    <row r="4" spans="1:37">
      <c r="A4" s="1761" t="s">
        <v>452</v>
      </c>
      <c r="B4" s="1762"/>
      <c r="C4" s="1762"/>
      <c r="D4" s="1762"/>
      <c r="E4" s="1762"/>
      <c r="F4" s="1762"/>
      <c r="G4" s="1762"/>
      <c r="H4" s="1369"/>
      <c r="I4" s="1370"/>
      <c r="J4" s="1500"/>
      <c r="K4" s="1671"/>
      <c r="L4" s="1656"/>
      <c r="M4" s="1671"/>
      <c r="N4" s="1661"/>
      <c r="O4" s="1671"/>
      <c r="P4" s="43"/>
      <c r="Q4" s="43"/>
      <c r="R4" s="1654"/>
      <c r="S4" s="43"/>
      <c r="T4" s="43"/>
      <c r="U4" s="319"/>
      <c r="V4" s="319"/>
      <c r="W4" s="319"/>
      <c r="X4" s="1500"/>
      <c r="Y4" s="319"/>
      <c r="Z4" s="319"/>
      <c r="AA4" s="319"/>
      <c r="AB4" s="319"/>
      <c r="AC4" s="707"/>
    </row>
    <row r="5" spans="1:37">
      <c r="A5" s="1772" t="s">
        <v>68</v>
      </c>
      <c r="B5" s="1762"/>
      <c r="C5" s="1762"/>
      <c r="D5" s="1762"/>
      <c r="E5" s="1762"/>
      <c r="F5" s="1762"/>
      <c r="G5" s="1762"/>
      <c r="H5" s="1369"/>
      <c r="I5" s="1370"/>
      <c r="J5" s="1500"/>
      <c r="K5" s="1671"/>
      <c r="L5" s="1656"/>
      <c r="M5" s="1671"/>
      <c r="N5" s="1661"/>
      <c r="O5" s="1671"/>
      <c r="P5" s="43"/>
      <c r="Q5" s="43"/>
      <c r="R5" s="1654"/>
      <c r="S5" s="43"/>
      <c r="T5" s="43"/>
      <c r="U5" s="319"/>
      <c r="V5" s="319"/>
      <c r="W5" s="319"/>
      <c r="X5" s="1500"/>
      <c r="Y5" s="319"/>
      <c r="Z5" s="319"/>
      <c r="AA5" s="319"/>
      <c r="AB5" s="319"/>
      <c r="AC5" s="707"/>
    </row>
    <row r="6" spans="1:37">
      <c r="A6" s="1772" t="s">
        <v>69</v>
      </c>
      <c r="B6" s="1762"/>
      <c r="C6" s="1762"/>
      <c r="D6" s="1762"/>
      <c r="E6" s="1762"/>
      <c r="F6" s="1762"/>
      <c r="G6" s="1762"/>
      <c r="H6" s="1369"/>
      <c r="I6" s="1370"/>
      <c r="J6" s="1500"/>
      <c r="K6" s="1671"/>
      <c r="L6" s="1656"/>
      <c r="M6" s="1671"/>
      <c r="N6" s="1661"/>
      <c r="O6" s="1671"/>
      <c r="P6" s="43"/>
      <c r="Q6" s="43"/>
      <c r="R6" s="1654"/>
      <c r="S6" s="43"/>
      <c r="T6" s="43"/>
      <c r="U6" s="319"/>
      <c r="V6" s="319"/>
      <c r="W6" s="319"/>
      <c r="X6" s="1500"/>
      <c r="Y6" s="319"/>
      <c r="Z6" s="319"/>
      <c r="AA6" s="319"/>
      <c r="AB6" s="319"/>
      <c r="AC6" s="707"/>
    </row>
    <row r="7" spans="1:37">
      <c r="A7" s="1772" t="s">
        <v>70</v>
      </c>
      <c r="B7" s="1762"/>
      <c r="C7" s="1762"/>
      <c r="D7" s="1762"/>
      <c r="E7" s="1762"/>
      <c r="F7" s="1762"/>
      <c r="G7" s="1762"/>
      <c r="H7" s="1370"/>
      <c r="I7" s="1370"/>
      <c r="J7" s="1500"/>
      <c r="K7" s="1671"/>
      <c r="L7" s="1656"/>
      <c r="M7" s="1671"/>
      <c r="N7" s="1661"/>
      <c r="O7" s="1671"/>
      <c r="P7" s="43"/>
      <c r="Q7" s="43"/>
      <c r="R7" s="1654"/>
      <c r="S7" s="43"/>
      <c r="T7" s="43"/>
      <c r="U7" s="319"/>
      <c r="V7" s="319"/>
      <c r="W7" s="319"/>
      <c r="X7" s="1500"/>
      <c r="Y7" s="319"/>
      <c r="Z7" s="319"/>
      <c r="AA7" s="319"/>
      <c r="AB7" s="319"/>
      <c r="AC7" s="707"/>
    </row>
    <row r="8" spans="1:37">
      <c r="A8" s="1773" t="s">
        <v>71</v>
      </c>
      <c r="B8" s="1774"/>
      <c r="C8" s="1774"/>
      <c r="D8" s="1774"/>
      <c r="E8" s="1774"/>
      <c r="F8" s="1774"/>
      <c r="G8" s="1774"/>
      <c r="H8" s="1370"/>
      <c r="I8" s="1370"/>
      <c r="J8" s="1500"/>
      <c r="K8" s="1671"/>
      <c r="L8" s="1656"/>
      <c r="M8" s="1671"/>
      <c r="N8" s="1661"/>
      <c r="O8" s="1671"/>
      <c r="P8" s="43"/>
      <c r="Q8" s="43"/>
      <c r="R8" s="1654"/>
      <c r="S8" s="43"/>
      <c r="T8" s="43"/>
      <c r="U8" s="319"/>
      <c r="V8" s="319"/>
      <c r="W8" s="319"/>
      <c r="X8" s="1500"/>
      <c r="Y8" s="319"/>
      <c r="Z8" s="319"/>
      <c r="AA8" s="319"/>
      <c r="AB8" s="319"/>
      <c r="AC8" s="707"/>
    </row>
    <row r="9" spans="1:37">
      <c r="A9" s="337" t="s">
        <v>9</v>
      </c>
      <c r="B9" s="1762" t="s">
        <v>72</v>
      </c>
      <c r="C9" s="1762"/>
      <c r="D9" s="1762"/>
      <c r="E9" s="338"/>
      <c r="F9" s="338"/>
      <c r="G9" s="340"/>
      <c r="H9" s="1370"/>
      <c r="I9" s="1370"/>
      <c r="J9" s="1500"/>
      <c r="K9" s="1671"/>
      <c r="L9" s="1656"/>
      <c r="M9" s="1671"/>
      <c r="N9" s="1661"/>
      <c r="O9" s="1671"/>
      <c r="P9" s="43"/>
      <c r="Q9" s="43"/>
      <c r="R9" s="1654"/>
      <c r="S9" s="43"/>
      <c r="T9" s="43"/>
      <c r="U9" s="319"/>
      <c r="V9" s="319"/>
      <c r="W9" s="319"/>
      <c r="X9" s="1500"/>
      <c r="Y9" s="319"/>
      <c r="Z9" s="319"/>
      <c r="AA9" s="319"/>
      <c r="AB9" s="319"/>
      <c r="AC9" s="707"/>
    </row>
    <row r="10" spans="1:37">
      <c r="A10" s="337" t="s">
        <v>11</v>
      </c>
      <c r="B10" s="1762" t="s">
        <v>73</v>
      </c>
      <c r="C10" s="1762"/>
      <c r="D10" s="1762"/>
      <c r="E10" s="1762"/>
      <c r="F10" s="1762"/>
      <c r="G10" s="1762"/>
      <c r="H10" s="1370"/>
      <c r="I10" s="1370"/>
      <c r="J10" s="1500"/>
      <c r="K10" s="1671"/>
      <c r="L10" s="1656"/>
      <c r="M10" s="1671"/>
      <c r="N10" s="1661"/>
      <c r="O10" s="1671"/>
      <c r="P10" s="43"/>
      <c r="Q10" s="43"/>
      <c r="R10" s="1654"/>
      <c r="S10" s="43"/>
      <c r="T10" s="43"/>
      <c r="U10" s="319"/>
      <c r="V10" s="319"/>
      <c r="W10" s="319"/>
      <c r="X10" s="1500"/>
      <c r="Y10" s="319"/>
      <c r="Z10" s="319"/>
      <c r="AA10" s="319"/>
      <c r="AB10" s="319"/>
      <c r="AC10" s="707"/>
    </row>
    <row r="11" spans="1:37">
      <c r="A11" s="339" t="s">
        <v>13</v>
      </c>
      <c r="B11" s="1762" t="s">
        <v>74</v>
      </c>
      <c r="C11" s="1762"/>
      <c r="D11" s="1762"/>
      <c r="E11" s="1762"/>
      <c r="F11" s="1762"/>
      <c r="G11" s="1762"/>
      <c r="H11" s="1370"/>
      <c r="I11" s="1370"/>
      <c r="J11" s="1500"/>
      <c r="K11" s="1671"/>
      <c r="L11" s="1656"/>
      <c r="M11" s="1671"/>
      <c r="N11" s="1661"/>
      <c r="O11" s="1671"/>
      <c r="P11" s="43"/>
      <c r="Q11" s="43"/>
      <c r="R11" s="1654"/>
      <c r="S11" s="43"/>
      <c r="T11" s="43"/>
      <c r="U11" s="319"/>
      <c r="V11" s="319"/>
      <c r="W11" s="319"/>
      <c r="X11" s="1500"/>
      <c r="Y11" s="319"/>
      <c r="Z11" s="319"/>
      <c r="AA11" s="319"/>
      <c r="AB11" s="319"/>
      <c r="AC11" s="707"/>
    </row>
    <row r="12" spans="1:37">
      <c r="A12" s="708" t="s">
        <v>15</v>
      </c>
      <c r="B12" s="349">
        <v>43555</v>
      </c>
      <c r="C12" s="345"/>
      <c r="D12" s="345"/>
      <c r="E12" s="345"/>
      <c r="F12" s="345"/>
      <c r="G12" s="346"/>
      <c r="H12" s="1370"/>
      <c r="I12" s="1370"/>
      <c r="J12" s="1500"/>
      <c r="K12" s="1671"/>
      <c r="L12" s="1656"/>
      <c r="M12" s="1671"/>
      <c r="N12" s="1661"/>
      <c r="O12" s="1671"/>
      <c r="P12" s="43"/>
      <c r="Q12" s="43"/>
      <c r="R12" s="1654"/>
      <c r="S12" s="43"/>
      <c r="T12" s="43"/>
      <c r="U12" s="319"/>
      <c r="V12" s="319"/>
      <c r="W12" s="319"/>
      <c r="X12" s="1500"/>
      <c r="Y12" s="319"/>
      <c r="Z12" s="319"/>
      <c r="AA12" s="319"/>
      <c r="AB12" s="319"/>
      <c r="AC12" s="707"/>
    </row>
    <row r="13" spans="1:37">
      <c r="A13" s="1157" t="s">
        <v>16</v>
      </c>
      <c r="B13" s="1164">
        <f>D14-E14</f>
        <v>0</v>
      </c>
      <c r="C13" s="584" t="s">
        <v>133</v>
      </c>
      <c r="D13" s="584" t="s">
        <v>134</v>
      </c>
      <c r="E13" s="584" t="s">
        <v>135</v>
      </c>
      <c r="F13" s="350"/>
      <c r="G13" s="1155"/>
      <c r="H13" s="1371"/>
      <c r="I13" s="1371"/>
      <c r="J13" s="1501"/>
      <c r="K13" s="1672"/>
      <c r="L13" s="1657"/>
      <c r="M13" s="1672"/>
      <c r="N13" s="1662"/>
      <c r="O13" s="1672"/>
      <c r="P13" s="48"/>
      <c r="Q13" s="48"/>
      <c r="R13" s="1655"/>
      <c r="S13" s="48"/>
      <c r="T13" s="48"/>
      <c r="U13" s="320"/>
      <c r="V13" s="320"/>
      <c r="W13" s="320"/>
      <c r="X13" s="1501"/>
      <c r="Y13" s="320"/>
      <c r="Z13" s="320"/>
      <c r="AA13" s="320"/>
      <c r="AB13" s="320"/>
      <c r="AC13" s="709"/>
    </row>
    <row r="14" spans="1:37" ht="28.5" customHeight="1" thickBot="1">
      <c r="A14" s="1158" t="s">
        <v>75</v>
      </c>
      <c r="B14" s="1156">
        <f>B16+B66+B82</f>
        <v>2424000000</v>
      </c>
      <c r="C14" s="1156"/>
      <c r="D14" s="1156"/>
      <c r="E14" s="1156"/>
      <c r="F14" s="353"/>
      <c r="G14" s="347"/>
      <c r="H14" s="1354"/>
      <c r="I14" s="1354"/>
      <c r="J14" s="529"/>
      <c r="K14" s="1673"/>
      <c r="L14" s="1658"/>
      <c r="M14" s="1676"/>
      <c r="N14" s="1663"/>
      <c r="O14" s="1676"/>
      <c r="P14" s="50"/>
      <c r="Q14" s="50"/>
      <c r="R14" s="1695"/>
      <c r="S14" s="50"/>
      <c r="T14" s="50"/>
      <c r="U14" s="321"/>
      <c r="V14" s="321"/>
      <c r="W14" s="321"/>
      <c r="X14" s="311"/>
      <c r="Y14" s="321"/>
      <c r="Z14" s="321"/>
      <c r="AA14" s="321"/>
      <c r="AB14" s="321"/>
      <c r="AC14" s="710"/>
    </row>
    <row r="15" spans="1:37" ht="38.25">
      <c r="A15" s="51" t="s">
        <v>18</v>
      </c>
      <c r="B15" s="308" t="s">
        <v>19</v>
      </c>
      <c r="C15" s="52" t="s">
        <v>20</v>
      </c>
      <c r="D15" s="52" t="s">
        <v>21</v>
      </c>
      <c r="E15" s="52" t="s">
        <v>22</v>
      </c>
      <c r="F15" s="52" t="s">
        <v>451</v>
      </c>
      <c r="G15" s="52" t="s">
        <v>23</v>
      </c>
      <c r="H15" s="124" t="s">
        <v>549</v>
      </c>
      <c r="I15" s="124" t="s">
        <v>95</v>
      </c>
      <c r="J15" s="312" t="s">
        <v>127</v>
      </c>
      <c r="K15" s="124" t="s">
        <v>96</v>
      </c>
      <c r="L15" s="312" t="s">
        <v>24</v>
      </c>
      <c r="M15" s="1684" t="s">
        <v>97</v>
      </c>
      <c r="N15" s="1669" t="s">
        <v>116</v>
      </c>
      <c r="O15" s="1684" t="s">
        <v>98</v>
      </c>
      <c r="P15" s="294" t="s">
        <v>99</v>
      </c>
      <c r="Q15" s="293" t="s">
        <v>100</v>
      </c>
      <c r="R15" s="293" t="s">
        <v>101</v>
      </c>
      <c r="S15" s="293" t="s">
        <v>102</v>
      </c>
      <c r="T15" s="293" t="s">
        <v>103</v>
      </c>
      <c r="U15" s="293" t="s">
        <v>104</v>
      </c>
      <c r="V15" s="293" t="s">
        <v>105</v>
      </c>
      <c r="W15" s="293" t="s">
        <v>106</v>
      </c>
      <c r="X15" s="293" t="s">
        <v>107</v>
      </c>
      <c r="Y15" s="293" t="s">
        <v>108</v>
      </c>
      <c r="Z15" s="293" t="s">
        <v>109</v>
      </c>
      <c r="AA15" s="326" t="s">
        <v>110</v>
      </c>
      <c r="AB15" s="294" t="s">
        <v>111</v>
      </c>
      <c r="AC15" s="326" t="s">
        <v>112</v>
      </c>
      <c r="AE15" s="1193" t="s">
        <v>137</v>
      </c>
      <c r="AF15" s="1194" t="s">
        <v>114</v>
      </c>
      <c r="AG15" s="1511" t="s">
        <v>115</v>
      </c>
      <c r="AH15" s="1447" t="s">
        <v>119</v>
      </c>
      <c r="AI15" s="1196" t="s">
        <v>122</v>
      </c>
      <c r="AJ15" s="1197" t="s">
        <v>126</v>
      </c>
    </row>
    <row r="16" spans="1:37" s="7" customFormat="1" ht="76.5">
      <c r="A16" s="711" t="s">
        <v>78</v>
      </c>
      <c r="B16" s="560">
        <f>1610400000+1050000-4750000</f>
        <v>1606700000</v>
      </c>
      <c r="C16" s="1708" t="s">
        <v>44</v>
      </c>
      <c r="D16" s="1708" t="s">
        <v>908</v>
      </c>
      <c r="E16" s="702" t="s">
        <v>76</v>
      </c>
      <c r="F16" s="702" t="s">
        <v>455</v>
      </c>
      <c r="G16" s="702" t="s">
        <v>77</v>
      </c>
      <c r="H16" s="1372"/>
      <c r="I16" s="573"/>
      <c r="J16" s="110"/>
      <c r="K16" s="1674"/>
      <c r="L16" s="1659"/>
      <c r="M16" s="1674"/>
      <c r="N16" s="1659"/>
      <c r="O16" s="1689"/>
      <c r="P16" s="110"/>
      <c r="Q16" s="110"/>
      <c r="R16" s="612"/>
      <c r="S16" s="110"/>
      <c r="T16" s="110"/>
      <c r="U16" s="110"/>
      <c r="V16" s="110"/>
      <c r="W16" s="110"/>
      <c r="X16" s="612"/>
      <c r="Y16" s="110"/>
      <c r="Z16" s="110"/>
      <c r="AA16" s="712"/>
      <c r="AB16" s="110"/>
      <c r="AC16" s="712"/>
      <c r="AE16" s="1198"/>
      <c r="AF16" s="1188"/>
      <c r="AG16" s="1512"/>
      <c r="AH16" s="1458"/>
      <c r="AI16" s="1126"/>
      <c r="AJ16" s="1199"/>
      <c r="AK16" s="1139"/>
    </row>
    <row r="17" spans="1:37" s="1130" customFormat="1">
      <c r="A17" s="1153" t="s">
        <v>78</v>
      </c>
      <c r="B17" s="1049">
        <f>L17</f>
        <v>48000000</v>
      </c>
      <c r="C17" s="110" t="s">
        <v>44</v>
      </c>
      <c r="D17" s="110" t="s">
        <v>908</v>
      </c>
      <c r="E17" s="110" t="s">
        <v>76</v>
      </c>
      <c r="F17" s="110" t="s">
        <v>455</v>
      </c>
      <c r="G17" s="110" t="s">
        <v>77</v>
      </c>
      <c r="H17" s="1200">
        <v>207</v>
      </c>
      <c r="I17" s="1383">
        <v>0</v>
      </c>
      <c r="J17" s="1150"/>
      <c r="K17" s="1386">
        <v>251</v>
      </c>
      <c r="L17" s="1048">
        <v>48000000</v>
      </c>
      <c r="M17" s="1386">
        <v>249</v>
      </c>
      <c r="N17" s="1048">
        <v>48000000</v>
      </c>
      <c r="O17" s="1690">
        <v>216</v>
      </c>
      <c r="P17" s="1150"/>
      <c r="Q17" s="1150"/>
      <c r="R17" s="1151">
        <v>3450000</v>
      </c>
      <c r="S17" s="1150"/>
      <c r="T17" s="1150"/>
      <c r="U17" s="1150"/>
      <c r="V17" s="1150"/>
      <c r="W17" s="1150"/>
      <c r="X17" s="1151"/>
      <c r="Y17" s="1150"/>
      <c r="Z17" s="1150"/>
      <c r="AA17" s="1152"/>
      <c r="AB17" s="267">
        <f t="shared" ref="AB17:AB60" si="0">SUM(P17:AA17)</f>
        <v>3450000</v>
      </c>
      <c r="AC17" s="207">
        <f t="shared" ref="AC17:AC60" si="1">N17-AB17</f>
        <v>44550000</v>
      </c>
      <c r="AE17" s="1200">
        <v>207</v>
      </c>
      <c r="AF17" s="1117" t="s">
        <v>459</v>
      </c>
      <c r="AG17" s="1513" t="s">
        <v>790</v>
      </c>
      <c r="AH17" s="691">
        <f>O17</f>
        <v>216</v>
      </c>
      <c r="AI17" s="176">
        <f>49500000-1500000-48000000</f>
        <v>0</v>
      </c>
      <c r="AJ17" s="1201">
        <f t="shared" ref="AJ17:AJ64" si="2">AI17-N17</f>
        <v>-48000000</v>
      </c>
      <c r="AK17" s="1139"/>
    </row>
    <row r="18" spans="1:37" s="1130" customFormat="1">
      <c r="A18" s="1153" t="s">
        <v>78</v>
      </c>
      <c r="B18" s="1049">
        <f t="shared" ref="B18:B64" si="3">L18</f>
        <v>37600000</v>
      </c>
      <c r="C18" s="110" t="s">
        <v>44</v>
      </c>
      <c r="D18" s="110" t="s">
        <v>908</v>
      </c>
      <c r="E18" s="110" t="s">
        <v>76</v>
      </c>
      <c r="F18" s="110" t="s">
        <v>455</v>
      </c>
      <c r="G18" s="110" t="s">
        <v>77</v>
      </c>
      <c r="H18" s="1200">
        <v>209</v>
      </c>
      <c r="I18" s="1383">
        <v>0</v>
      </c>
      <c r="J18" s="1150"/>
      <c r="K18" s="1386">
        <v>50</v>
      </c>
      <c r="L18" s="1048">
        <v>37600000</v>
      </c>
      <c r="M18" s="1386">
        <v>99</v>
      </c>
      <c r="N18" s="1048">
        <v>37600000</v>
      </c>
      <c r="O18" s="1690">
        <v>34</v>
      </c>
      <c r="P18" s="1150"/>
      <c r="Q18" s="1535">
        <v>2506667</v>
      </c>
      <c r="R18" s="1151">
        <v>7520000</v>
      </c>
      <c r="S18" s="1150"/>
      <c r="T18" s="1150"/>
      <c r="U18" s="1150"/>
      <c r="V18" s="1150"/>
      <c r="W18" s="1150"/>
      <c r="X18" s="1151"/>
      <c r="Y18" s="1150"/>
      <c r="Z18" s="1150"/>
      <c r="AA18" s="1152"/>
      <c r="AB18" s="267">
        <f t="shared" si="0"/>
        <v>10026667</v>
      </c>
      <c r="AC18" s="207">
        <f t="shared" si="1"/>
        <v>27573333</v>
      </c>
      <c r="AE18" s="1200">
        <v>209</v>
      </c>
      <c r="AF18" s="1117" t="s">
        <v>460</v>
      </c>
      <c r="AG18" s="1513" t="str">
        <f>VLOOKUP(M18,[3]Hoja2!J$48:N$75,5,0)</f>
        <v>ANA MARIA FLOREZ FLOREZ</v>
      </c>
      <c r="AH18" s="691">
        <f t="shared" ref="AH18:AH64" si="4">O18</f>
        <v>34</v>
      </c>
      <c r="AI18" s="176">
        <v>37600000</v>
      </c>
      <c r="AJ18" s="1201">
        <f t="shared" si="2"/>
        <v>0</v>
      </c>
      <c r="AK18" s="1139"/>
    </row>
    <row r="19" spans="1:37" s="1130" customFormat="1">
      <c r="A19" s="1153" t="s">
        <v>78</v>
      </c>
      <c r="B19" s="1049">
        <f t="shared" si="3"/>
        <v>0</v>
      </c>
      <c r="C19" s="110" t="s">
        <v>44</v>
      </c>
      <c r="D19" s="110" t="s">
        <v>908</v>
      </c>
      <c r="E19" s="110" t="s">
        <v>76</v>
      </c>
      <c r="F19" s="110" t="s">
        <v>455</v>
      </c>
      <c r="G19" s="110" t="s">
        <v>77</v>
      </c>
      <c r="H19" s="1200">
        <v>210</v>
      </c>
      <c r="I19" s="1383">
        <v>0</v>
      </c>
      <c r="J19" s="1150"/>
      <c r="K19" s="1386"/>
      <c r="L19" s="1048"/>
      <c r="M19" s="1386"/>
      <c r="N19" s="1048"/>
      <c r="O19" s="1690"/>
      <c r="P19" s="1150"/>
      <c r="Q19" s="1535"/>
      <c r="R19" s="1151"/>
      <c r="S19" s="1150"/>
      <c r="T19" s="1150"/>
      <c r="U19" s="1150"/>
      <c r="V19" s="1150"/>
      <c r="W19" s="1150"/>
      <c r="X19" s="1151"/>
      <c r="Y19" s="1150"/>
      <c r="Z19" s="1150"/>
      <c r="AA19" s="1152"/>
      <c r="AB19" s="267">
        <f t="shared" si="0"/>
        <v>0</v>
      </c>
      <c r="AC19" s="207">
        <f t="shared" si="1"/>
        <v>0</v>
      </c>
      <c r="AE19" s="1200">
        <v>210</v>
      </c>
      <c r="AF19" s="1117" t="s">
        <v>461</v>
      </c>
      <c r="AG19" s="1513">
        <v>0</v>
      </c>
      <c r="AH19" s="691">
        <f t="shared" si="4"/>
        <v>0</v>
      </c>
      <c r="AI19" s="176">
        <v>37600000</v>
      </c>
      <c r="AJ19" s="1201">
        <f t="shared" si="2"/>
        <v>37600000</v>
      </c>
      <c r="AK19" s="1139"/>
    </row>
    <row r="20" spans="1:37" s="1130" customFormat="1">
      <c r="A20" s="1153" t="s">
        <v>78</v>
      </c>
      <c r="B20" s="1049">
        <f t="shared" si="3"/>
        <v>12360000</v>
      </c>
      <c r="C20" s="110" t="s">
        <v>44</v>
      </c>
      <c r="D20" s="110" t="s">
        <v>908</v>
      </c>
      <c r="E20" s="110" t="s">
        <v>76</v>
      </c>
      <c r="F20" s="110" t="s">
        <v>455</v>
      </c>
      <c r="G20" s="110" t="s">
        <v>77</v>
      </c>
      <c r="H20" s="1200">
        <v>211</v>
      </c>
      <c r="I20" s="1383">
        <v>0</v>
      </c>
      <c r="J20" s="1150"/>
      <c r="K20" s="1386">
        <v>16</v>
      </c>
      <c r="L20" s="1048">
        <v>12360000</v>
      </c>
      <c r="M20" s="1386">
        <v>39</v>
      </c>
      <c r="N20" s="1048">
        <v>12360000</v>
      </c>
      <c r="O20" s="1690">
        <v>49</v>
      </c>
      <c r="P20" s="1150"/>
      <c r="Q20" s="1535">
        <v>1373333</v>
      </c>
      <c r="R20" s="1151">
        <v>4120000</v>
      </c>
      <c r="S20" s="1150"/>
      <c r="T20" s="1150"/>
      <c r="U20" s="1150"/>
      <c r="V20" s="1150"/>
      <c r="W20" s="1150"/>
      <c r="X20" s="1151"/>
      <c r="Y20" s="1150"/>
      <c r="Z20" s="1150"/>
      <c r="AA20" s="1152"/>
      <c r="AB20" s="267">
        <f t="shared" si="0"/>
        <v>5493333</v>
      </c>
      <c r="AC20" s="207">
        <f t="shared" si="1"/>
        <v>6866667</v>
      </c>
      <c r="AE20" s="1200">
        <v>211</v>
      </c>
      <c r="AF20" s="1117" t="s">
        <v>462</v>
      </c>
      <c r="AG20" s="1513" t="str">
        <f>VLOOKUP(M20,[3]Hoja2!J$48:N$75,5,0)</f>
        <v>LAURA ANGELICA MORENO LEMUS</v>
      </c>
      <c r="AH20" s="691">
        <f t="shared" si="4"/>
        <v>49</v>
      </c>
      <c r="AI20" s="176">
        <v>12360000</v>
      </c>
      <c r="AJ20" s="1201">
        <f t="shared" si="2"/>
        <v>0</v>
      </c>
      <c r="AK20" s="1139"/>
    </row>
    <row r="21" spans="1:37" s="1130" customFormat="1">
      <c r="A21" s="1153" t="s">
        <v>78</v>
      </c>
      <c r="B21" s="1049">
        <f t="shared" si="3"/>
        <v>107100000</v>
      </c>
      <c r="C21" s="110" t="s">
        <v>44</v>
      </c>
      <c r="D21" s="110" t="s">
        <v>908</v>
      </c>
      <c r="E21" s="110" t="s">
        <v>76</v>
      </c>
      <c r="F21" s="110" t="s">
        <v>455</v>
      </c>
      <c r="G21" s="110" t="s">
        <v>77</v>
      </c>
      <c r="H21" s="1200">
        <v>212</v>
      </c>
      <c r="I21" s="1383">
        <v>0</v>
      </c>
      <c r="J21" s="1150"/>
      <c r="K21" s="1386">
        <v>304</v>
      </c>
      <c r="L21" s="1048">
        <v>107100000</v>
      </c>
      <c r="M21" s="1386"/>
      <c r="N21" s="1048"/>
      <c r="O21" s="1690"/>
      <c r="P21" s="1150"/>
      <c r="Q21" s="1535"/>
      <c r="R21" s="1151"/>
      <c r="S21" s="1150"/>
      <c r="T21" s="1150"/>
      <c r="U21" s="1150"/>
      <c r="V21" s="1150"/>
      <c r="W21" s="1150"/>
      <c r="X21" s="1151"/>
      <c r="Y21" s="1150"/>
      <c r="Z21" s="1150"/>
      <c r="AA21" s="1152"/>
      <c r="AB21" s="267">
        <f t="shared" si="0"/>
        <v>0</v>
      </c>
      <c r="AC21" s="207">
        <f t="shared" si="1"/>
        <v>0</v>
      </c>
      <c r="AE21" s="1200">
        <v>212</v>
      </c>
      <c r="AF21" s="1117" t="s">
        <v>463</v>
      </c>
      <c r="AG21" s="1513">
        <v>0</v>
      </c>
      <c r="AH21" s="691">
        <f t="shared" si="4"/>
        <v>0</v>
      </c>
      <c r="AI21" s="176">
        <f>112200000-5100000</f>
        <v>107100000</v>
      </c>
      <c r="AJ21" s="1201">
        <f t="shared" si="2"/>
        <v>107100000</v>
      </c>
      <c r="AK21" s="1139"/>
    </row>
    <row r="22" spans="1:37" s="1130" customFormat="1">
      <c r="A22" s="1153" t="s">
        <v>78</v>
      </c>
      <c r="B22" s="1049">
        <f t="shared" si="3"/>
        <v>64000000</v>
      </c>
      <c r="C22" s="110" t="s">
        <v>44</v>
      </c>
      <c r="D22" s="110" t="s">
        <v>908</v>
      </c>
      <c r="E22" s="110" t="s">
        <v>76</v>
      </c>
      <c r="F22" s="110" t="s">
        <v>455</v>
      </c>
      <c r="G22" s="110" t="s">
        <v>77</v>
      </c>
      <c r="H22" s="1200">
        <v>213</v>
      </c>
      <c r="I22" s="1383">
        <v>0</v>
      </c>
      <c r="J22" s="1150"/>
      <c r="K22" s="1386">
        <v>363</v>
      </c>
      <c r="L22" s="1048">
        <v>64000000</v>
      </c>
      <c r="M22" s="1386">
        <v>363</v>
      </c>
      <c r="N22" s="1048">
        <v>64000000</v>
      </c>
      <c r="O22" s="1690">
        <v>289</v>
      </c>
      <c r="P22" s="1150"/>
      <c r="Q22" s="1535"/>
      <c r="R22" s="1151"/>
      <c r="S22" s="1150"/>
      <c r="T22" s="1150"/>
      <c r="U22" s="1150"/>
      <c r="V22" s="1150"/>
      <c r="W22" s="1150"/>
      <c r="X22" s="1151"/>
      <c r="Y22" s="1150"/>
      <c r="Z22" s="1150"/>
      <c r="AA22" s="1152"/>
      <c r="AB22" s="267">
        <f t="shared" si="0"/>
        <v>0</v>
      </c>
      <c r="AC22" s="207">
        <f t="shared" si="1"/>
        <v>64000000</v>
      </c>
      <c r="AE22" s="1200">
        <v>213</v>
      </c>
      <c r="AF22" s="1117" t="s">
        <v>480</v>
      </c>
      <c r="AG22" s="1513" t="s">
        <v>879</v>
      </c>
      <c r="AH22" s="691">
        <f t="shared" si="4"/>
        <v>289</v>
      </c>
      <c r="AI22" s="176">
        <f>66000000+10000000</f>
        <v>76000000</v>
      </c>
      <c r="AJ22" s="1201">
        <f t="shared" si="2"/>
        <v>12000000</v>
      </c>
      <c r="AK22" s="1139"/>
    </row>
    <row r="23" spans="1:37" s="1130" customFormat="1">
      <c r="A23" s="1153" t="s">
        <v>78</v>
      </c>
      <c r="B23" s="1049">
        <f t="shared" si="3"/>
        <v>48000000</v>
      </c>
      <c r="C23" s="110" t="s">
        <v>44</v>
      </c>
      <c r="D23" s="110" t="s">
        <v>908</v>
      </c>
      <c r="E23" s="110" t="s">
        <v>76</v>
      </c>
      <c r="F23" s="110" t="s">
        <v>455</v>
      </c>
      <c r="G23" s="110" t="s">
        <v>77</v>
      </c>
      <c r="H23" s="1200">
        <v>214</v>
      </c>
      <c r="I23" s="1383">
        <v>0</v>
      </c>
      <c r="J23" s="1150"/>
      <c r="K23" s="1386">
        <v>305</v>
      </c>
      <c r="L23" s="1048">
        <v>48000000</v>
      </c>
      <c r="M23" s="1386">
        <v>320</v>
      </c>
      <c r="N23" s="1048">
        <v>48000000</v>
      </c>
      <c r="O23" s="1690">
        <v>269</v>
      </c>
      <c r="P23" s="1150"/>
      <c r="Q23" s="1535"/>
      <c r="R23" s="1151"/>
      <c r="S23" s="1150"/>
      <c r="T23" s="1150"/>
      <c r="U23" s="1150"/>
      <c r="V23" s="1150"/>
      <c r="W23" s="1150"/>
      <c r="X23" s="1151"/>
      <c r="Y23" s="1150"/>
      <c r="Z23" s="1150"/>
      <c r="AA23" s="1152"/>
      <c r="AB23" s="267">
        <f t="shared" si="0"/>
        <v>0</v>
      </c>
      <c r="AC23" s="207">
        <f t="shared" si="1"/>
        <v>48000000</v>
      </c>
      <c r="AE23" s="1200">
        <v>214</v>
      </c>
      <c r="AF23" s="1117" t="s">
        <v>464</v>
      </c>
      <c r="AG23" s="1513" t="s">
        <v>856</v>
      </c>
      <c r="AH23" s="691">
        <f t="shared" si="4"/>
        <v>269</v>
      </c>
      <c r="AI23" s="176">
        <f>47010000+990000</f>
        <v>48000000</v>
      </c>
      <c r="AJ23" s="1201">
        <f t="shared" si="2"/>
        <v>0</v>
      </c>
      <c r="AK23" s="1139"/>
    </row>
    <row r="24" spans="1:37" s="1130" customFormat="1">
      <c r="A24" s="1153" t="s">
        <v>78</v>
      </c>
      <c r="B24" s="1049">
        <f t="shared" si="3"/>
        <v>32000000</v>
      </c>
      <c r="C24" s="110" t="s">
        <v>44</v>
      </c>
      <c r="D24" s="110" t="s">
        <v>908</v>
      </c>
      <c r="E24" s="110" t="s">
        <v>76</v>
      </c>
      <c r="F24" s="110" t="s">
        <v>455</v>
      </c>
      <c r="G24" s="110" t="s">
        <v>77</v>
      </c>
      <c r="H24" s="1200">
        <v>215</v>
      </c>
      <c r="I24" s="1383">
        <v>0</v>
      </c>
      <c r="J24" s="1150"/>
      <c r="K24" s="1386">
        <v>183</v>
      </c>
      <c r="L24" s="1048">
        <v>32000000</v>
      </c>
      <c r="M24" s="1386">
        <v>188</v>
      </c>
      <c r="N24" s="1048">
        <v>32000000</v>
      </c>
      <c r="O24" s="1690">
        <v>165</v>
      </c>
      <c r="P24" s="1150"/>
      <c r="Q24" s="1535"/>
      <c r="R24" s="1151">
        <v>4133333</v>
      </c>
      <c r="S24" s="1150"/>
      <c r="T24" s="1150"/>
      <c r="U24" s="1150"/>
      <c r="V24" s="1150"/>
      <c r="W24" s="1150"/>
      <c r="X24" s="1151"/>
      <c r="Y24" s="1150"/>
      <c r="Z24" s="1150"/>
      <c r="AA24" s="1152"/>
      <c r="AB24" s="267">
        <f t="shared" si="0"/>
        <v>4133333</v>
      </c>
      <c r="AC24" s="207">
        <f t="shared" si="1"/>
        <v>27866667</v>
      </c>
      <c r="AE24" s="1200">
        <v>215</v>
      </c>
      <c r="AF24" s="1117" t="s">
        <v>465</v>
      </c>
      <c r="AG24" s="1513" t="str">
        <f>VLOOKUP(M24,[3]Hoja2!J$48:N$75,5,0)</f>
        <v>JOHAN ALBERTO GARZON CASTAÑEDA</v>
      </c>
      <c r="AH24" s="691">
        <f t="shared" si="4"/>
        <v>165</v>
      </c>
      <c r="AI24" s="176">
        <v>32000000</v>
      </c>
      <c r="AJ24" s="1201">
        <f t="shared" si="2"/>
        <v>0</v>
      </c>
      <c r="AK24" s="1139"/>
    </row>
    <row r="25" spans="1:37" s="1130" customFormat="1">
      <c r="A25" s="1153" t="s">
        <v>78</v>
      </c>
      <c r="B25" s="1049">
        <f t="shared" si="3"/>
        <v>40640000</v>
      </c>
      <c r="C25" s="110" t="s">
        <v>44</v>
      </c>
      <c r="D25" s="110" t="s">
        <v>908</v>
      </c>
      <c r="E25" s="110" t="s">
        <v>76</v>
      </c>
      <c r="F25" s="110" t="s">
        <v>455</v>
      </c>
      <c r="G25" s="110" t="s">
        <v>77</v>
      </c>
      <c r="H25" s="1200">
        <v>216</v>
      </c>
      <c r="I25" s="1383">
        <v>0</v>
      </c>
      <c r="J25" s="1150"/>
      <c r="K25" s="1386">
        <v>268</v>
      </c>
      <c r="L25" s="1048">
        <v>40640000</v>
      </c>
      <c r="M25" s="1386">
        <v>314</v>
      </c>
      <c r="N25" s="1048">
        <v>40640000</v>
      </c>
      <c r="O25" s="1690">
        <v>256</v>
      </c>
      <c r="P25" s="1150"/>
      <c r="Q25" s="1535"/>
      <c r="R25" s="1151">
        <v>1016000</v>
      </c>
      <c r="S25" s="1150"/>
      <c r="T25" s="1150"/>
      <c r="U25" s="1150"/>
      <c r="V25" s="1150"/>
      <c r="W25" s="1150"/>
      <c r="X25" s="1151"/>
      <c r="Y25" s="1150"/>
      <c r="Z25" s="1150"/>
      <c r="AA25" s="1152"/>
      <c r="AB25" s="267">
        <f t="shared" si="0"/>
        <v>1016000</v>
      </c>
      <c r="AC25" s="207">
        <f t="shared" si="1"/>
        <v>39624000</v>
      </c>
      <c r="AE25" s="1200">
        <v>216</v>
      </c>
      <c r="AF25" s="1117" t="s">
        <v>466</v>
      </c>
      <c r="AG25" s="1513" t="s">
        <v>855</v>
      </c>
      <c r="AH25" s="691">
        <f t="shared" si="4"/>
        <v>256</v>
      </c>
      <c r="AI25" s="176">
        <v>40640000</v>
      </c>
      <c r="AJ25" s="1201">
        <f t="shared" si="2"/>
        <v>0</v>
      </c>
      <c r="AK25" s="1139"/>
    </row>
    <row r="26" spans="1:37" s="1130" customFormat="1">
      <c r="A26" s="1153" t="s">
        <v>78</v>
      </c>
      <c r="B26" s="1049">
        <f t="shared" si="3"/>
        <v>30480000</v>
      </c>
      <c r="C26" s="110" t="s">
        <v>44</v>
      </c>
      <c r="D26" s="110" t="s">
        <v>908</v>
      </c>
      <c r="E26" s="110" t="s">
        <v>76</v>
      </c>
      <c r="F26" s="110" t="s">
        <v>455</v>
      </c>
      <c r="G26" s="110" t="s">
        <v>77</v>
      </c>
      <c r="H26" s="1200">
        <v>217</v>
      </c>
      <c r="I26" s="1383">
        <v>0</v>
      </c>
      <c r="J26" s="1150"/>
      <c r="K26" s="1386">
        <v>184</v>
      </c>
      <c r="L26" s="1048">
        <v>30480000</v>
      </c>
      <c r="M26" s="1386">
        <v>247</v>
      </c>
      <c r="N26" s="1048">
        <v>30480000</v>
      </c>
      <c r="O26" s="1690">
        <v>163</v>
      </c>
      <c r="P26" s="1150"/>
      <c r="Q26" s="1535"/>
      <c r="R26" s="1151">
        <v>4064000</v>
      </c>
      <c r="S26" s="1150"/>
      <c r="T26" s="1150"/>
      <c r="U26" s="1150"/>
      <c r="V26" s="1150"/>
      <c r="W26" s="1150"/>
      <c r="X26" s="1151"/>
      <c r="Y26" s="1150"/>
      <c r="Z26" s="1150"/>
      <c r="AA26" s="1152"/>
      <c r="AB26" s="267">
        <f t="shared" si="0"/>
        <v>4064000</v>
      </c>
      <c r="AC26" s="207">
        <f t="shared" si="1"/>
        <v>26416000</v>
      </c>
      <c r="AE26" s="1200">
        <v>217</v>
      </c>
      <c r="AF26" s="1117" t="s">
        <v>466</v>
      </c>
      <c r="AG26" s="1513" t="s">
        <v>784</v>
      </c>
      <c r="AH26" s="691">
        <f t="shared" si="4"/>
        <v>163</v>
      </c>
      <c r="AI26" s="176">
        <v>30480000</v>
      </c>
      <c r="AJ26" s="1201">
        <f t="shared" si="2"/>
        <v>0</v>
      </c>
      <c r="AK26" s="1139"/>
    </row>
    <row r="27" spans="1:37" s="1130" customFormat="1">
      <c r="A27" s="1153" t="s">
        <v>78</v>
      </c>
      <c r="B27" s="1049">
        <f t="shared" si="3"/>
        <v>40640000</v>
      </c>
      <c r="C27" s="110" t="s">
        <v>44</v>
      </c>
      <c r="D27" s="110" t="s">
        <v>908</v>
      </c>
      <c r="E27" s="110" t="s">
        <v>76</v>
      </c>
      <c r="F27" s="110" t="s">
        <v>455</v>
      </c>
      <c r="G27" s="110" t="s">
        <v>77</v>
      </c>
      <c r="H27" s="1200">
        <v>218</v>
      </c>
      <c r="I27" s="1383">
        <v>0</v>
      </c>
      <c r="J27" s="1150"/>
      <c r="K27" s="1386">
        <v>185</v>
      </c>
      <c r="L27" s="1048">
        <v>40640000</v>
      </c>
      <c r="M27" s="1386">
        <v>264</v>
      </c>
      <c r="N27" s="1048">
        <v>40640000</v>
      </c>
      <c r="O27" s="1690">
        <v>162</v>
      </c>
      <c r="P27" s="1150"/>
      <c r="Q27" s="1535"/>
      <c r="R27" s="1151">
        <v>3894667</v>
      </c>
      <c r="S27" s="1150"/>
      <c r="T27" s="1150"/>
      <c r="U27" s="1150"/>
      <c r="V27" s="1150"/>
      <c r="W27" s="1150"/>
      <c r="X27" s="1151"/>
      <c r="Y27" s="1150"/>
      <c r="Z27" s="1150"/>
      <c r="AA27" s="1152"/>
      <c r="AB27" s="267">
        <f t="shared" si="0"/>
        <v>3894667</v>
      </c>
      <c r="AC27" s="207">
        <f t="shared" si="1"/>
        <v>36745333</v>
      </c>
      <c r="AE27" s="1200">
        <v>218</v>
      </c>
      <c r="AF27" s="1117" t="s">
        <v>467</v>
      </c>
      <c r="AG27" s="1513" t="s">
        <v>785</v>
      </c>
      <c r="AH27" s="691">
        <f t="shared" si="4"/>
        <v>162</v>
      </c>
      <c r="AI27" s="176">
        <v>40640000</v>
      </c>
      <c r="AJ27" s="1201">
        <f t="shared" si="2"/>
        <v>0</v>
      </c>
      <c r="AK27" s="1139"/>
    </row>
    <row r="28" spans="1:37" s="1130" customFormat="1">
      <c r="A28" s="1153" t="s">
        <v>78</v>
      </c>
      <c r="B28" s="1049">
        <f t="shared" si="3"/>
        <v>20000000</v>
      </c>
      <c r="C28" s="110" t="s">
        <v>44</v>
      </c>
      <c r="D28" s="110" t="s">
        <v>908</v>
      </c>
      <c r="E28" s="110" t="s">
        <v>76</v>
      </c>
      <c r="F28" s="110" t="s">
        <v>455</v>
      </c>
      <c r="G28" s="110" t="s">
        <v>77</v>
      </c>
      <c r="H28" s="1200">
        <v>219</v>
      </c>
      <c r="I28" s="1383">
        <v>0</v>
      </c>
      <c r="J28" s="1150"/>
      <c r="K28" s="1386">
        <v>186</v>
      </c>
      <c r="L28" s="1048">
        <v>20000000</v>
      </c>
      <c r="M28" s="1386">
        <v>260</v>
      </c>
      <c r="N28" s="1048">
        <v>20000000</v>
      </c>
      <c r="O28" s="1690">
        <v>173</v>
      </c>
      <c r="P28" s="1150"/>
      <c r="Q28" s="1535"/>
      <c r="R28" s="1151">
        <v>1833333</v>
      </c>
      <c r="S28" s="1150"/>
      <c r="T28" s="1150"/>
      <c r="U28" s="1150"/>
      <c r="V28" s="1150"/>
      <c r="W28" s="1150"/>
      <c r="X28" s="1151"/>
      <c r="Y28" s="1150"/>
      <c r="Z28" s="1150"/>
      <c r="AA28" s="1152"/>
      <c r="AB28" s="267">
        <f t="shared" si="0"/>
        <v>1833333</v>
      </c>
      <c r="AC28" s="207">
        <f t="shared" si="1"/>
        <v>18166667</v>
      </c>
      <c r="AE28" s="1200">
        <v>219</v>
      </c>
      <c r="AF28" s="1117" t="s">
        <v>468</v>
      </c>
      <c r="AG28" s="1513" t="s">
        <v>786</v>
      </c>
      <c r="AH28" s="691">
        <f t="shared" si="4"/>
        <v>173</v>
      </c>
      <c r="AI28" s="176">
        <v>20000000</v>
      </c>
      <c r="AJ28" s="1201">
        <f t="shared" si="2"/>
        <v>0</v>
      </c>
      <c r="AK28" s="1139"/>
    </row>
    <row r="29" spans="1:37" s="1130" customFormat="1">
      <c r="A29" s="1153" t="s">
        <v>78</v>
      </c>
      <c r="B29" s="1049">
        <f t="shared" si="3"/>
        <v>0</v>
      </c>
      <c r="C29" s="110" t="s">
        <v>44</v>
      </c>
      <c r="D29" s="110" t="s">
        <v>908</v>
      </c>
      <c r="E29" s="110" t="s">
        <v>76</v>
      </c>
      <c r="F29" s="110" t="s">
        <v>455</v>
      </c>
      <c r="G29" s="110" t="s">
        <v>77</v>
      </c>
      <c r="H29" s="1200">
        <v>220</v>
      </c>
      <c r="I29" s="1383">
        <v>0</v>
      </c>
      <c r="J29" s="1150"/>
      <c r="K29" s="1386"/>
      <c r="L29" s="1048"/>
      <c r="M29" s="1386"/>
      <c r="N29" s="1048"/>
      <c r="O29" s="1690"/>
      <c r="P29" s="1150"/>
      <c r="Q29" s="1535"/>
      <c r="R29" s="1151"/>
      <c r="S29" s="1150"/>
      <c r="T29" s="1150"/>
      <c r="U29" s="1150"/>
      <c r="V29" s="1150"/>
      <c r="W29" s="1150"/>
      <c r="X29" s="1151"/>
      <c r="Y29" s="1150"/>
      <c r="Z29" s="1150"/>
      <c r="AA29" s="1152"/>
      <c r="AB29" s="267">
        <f t="shared" si="0"/>
        <v>0</v>
      </c>
      <c r="AC29" s="207">
        <f t="shared" si="1"/>
        <v>0</v>
      </c>
      <c r="AE29" s="1200">
        <v>220</v>
      </c>
      <c r="AF29" s="1117" t="s">
        <v>469</v>
      </c>
      <c r="AG29" s="1513" t="s">
        <v>188</v>
      </c>
      <c r="AH29" s="691">
        <f t="shared" si="4"/>
        <v>0</v>
      </c>
      <c r="AI29" s="176">
        <f>66000000-3000000</f>
        <v>63000000</v>
      </c>
      <c r="AJ29" s="1201">
        <f t="shared" si="2"/>
        <v>63000000</v>
      </c>
      <c r="AK29" s="1139"/>
    </row>
    <row r="30" spans="1:37" s="1130" customFormat="1">
      <c r="A30" s="1153" t="s">
        <v>78</v>
      </c>
      <c r="B30" s="1049">
        <f t="shared" si="3"/>
        <v>0</v>
      </c>
      <c r="C30" s="110" t="s">
        <v>44</v>
      </c>
      <c r="D30" s="110" t="s">
        <v>908</v>
      </c>
      <c r="E30" s="110" t="s">
        <v>76</v>
      </c>
      <c r="F30" s="110" t="s">
        <v>455</v>
      </c>
      <c r="G30" s="110" t="s">
        <v>77</v>
      </c>
      <c r="H30" s="1200">
        <v>221</v>
      </c>
      <c r="I30" s="1383">
        <v>0</v>
      </c>
      <c r="J30" s="1150"/>
      <c r="K30" s="1386"/>
      <c r="L30" s="1048"/>
      <c r="M30" s="1386"/>
      <c r="N30" s="1048"/>
      <c r="O30" s="1690"/>
      <c r="P30" s="1150"/>
      <c r="Q30" s="1535"/>
      <c r="R30" s="1151"/>
      <c r="S30" s="1150"/>
      <c r="T30" s="1150"/>
      <c r="U30" s="1150"/>
      <c r="V30" s="1150"/>
      <c r="W30" s="1150"/>
      <c r="X30" s="1151"/>
      <c r="Y30" s="1150"/>
      <c r="Z30" s="1150"/>
      <c r="AA30" s="1152"/>
      <c r="AB30" s="267">
        <f t="shared" si="0"/>
        <v>0</v>
      </c>
      <c r="AC30" s="207">
        <f t="shared" si="1"/>
        <v>0</v>
      </c>
      <c r="AE30" s="1650">
        <v>221</v>
      </c>
      <c r="AF30" s="1117" t="s">
        <v>470</v>
      </c>
      <c r="AG30" s="1513" t="s">
        <v>188</v>
      </c>
      <c r="AH30" s="691">
        <f t="shared" si="4"/>
        <v>0</v>
      </c>
      <c r="AI30" s="1649">
        <f>46800000+5200000+200000</f>
        <v>52200000</v>
      </c>
      <c r="AJ30" s="1201">
        <f t="shared" si="2"/>
        <v>52200000</v>
      </c>
      <c r="AK30" s="1139"/>
    </row>
    <row r="31" spans="1:37" s="1130" customFormat="1">
      <c r="A31" s="1153" t="s">
        <v>78</v>
      </c>
      <c r="B31" s="1049">
        <f t="shared" si="3"/>
        <v>11100000</v>
      </c>
      <c r="C31" s="110" t="s">
        <v>44</v>
      </c>
      <c r="D31" s="110" t="s">
        <v>908</v>
      </c>
      <c r="E31" s="110" t="s">
        <v>76</v>
      </c>
      <c r="F31" s="110" t="s">
        <v>455</v>
      </c>
      <c r="G31" s="110" t="s">
        <v>77</v>
      </c>
      <c r="H31" s="1200">
        <v>224</v>
      </c>
      <c r="I31" s="1383">
        <v>0</v>
      </c>
      <c r="J31" s="1150"/>
      <c r="K31" s="1386">
        <v>12</v>
      </c>
      <c r="L31" s="1048">
        <v>11100000</v>
      </c>
      <c r="M31" s="1386">
        <v>141</v>
      </c>
      <c r="N31" s="1048">
        <v>11100000</v>
      </c>
      <c r="O31" s="1690">
        <v>55</v>
      </c>
      <c r="P31" s="1150"/>
      <c r="Q31" s="1535">
        <v>986667</v>
      </c>
      <c r="R31" s="1151">
        <v>3700000</v>
      </c>
      <c r="S31" s="1150"/>
      <c r="T31" s="1150"/>
      <c r="U31" s="1150"/>
      <c r="V31" s="1150"/>
      <c r="W31" s="1150"/>
      <c r="X31" s="1151"/>
      <c r="Y31" s="1150"/>
      <c r="Z31" s="1150"/>
      <c r="AA31" s="1152"/>
      <c r="AB31" s="267">
        <f t="shared" si="0"/>
        <v>4686667</v>
      </c>
      <c r="AC31" s="207">
        <f t="shared" si="1"/>
        <v>6413333</v>
      </c>
      <c r="AE31" s="1200">
        <v>224</v>
      </c>
      <c r="AF31" s="1117" t="s">
        <v>471</v>
      </c>
      <c r="AG31" s="1513" t="str">
        <f>VLOOKUP(M31,[3]Hoja2!J$48:N$75,5,0)</f>
        <v>yenifer andrea lagos bueno</v>
      </c>
      <c r="AH31" s="691">
        <f t="shared" si="4"/>
        <v>55</v>
      </c>
      <c r="AI31" s="176">
        <v>11100000</v>
      </c>
      <c r="AJ31" s="1201">
        <f t="shared" si="2"/>
        <v>0</v>
      </c>
      <c r="AK31" s="1139"/>
    </row>
    <row r="32" spans="1:37" s="1130" customFormat="1">
      <c r="A32" s="1153" t="s">
        <v>78</v>
      </c>
      <c r="B32" s="1049">
        <f t="shared" si="3"/>
        <v>60940000</v>
      </c>
      <c r="C32" s="110" t="s">
        <v>44</v>
      </c>
      <c r="D32" s="110" t="s">
        <v>908</v>
      </c>
      <c r="E32" s="110" t="s">
        <v>76</v>
      </c>
      <c r="F32" s="110" t="s">
        <v>455</v>
      </c>
      <c r="G32" s="110" t="s">
        <v>77</v>
      </c>
      <c r="H32" s="1200">
        <v>225</v>
      </c>
      <c r="I32" s="1383">
        <v>0</v>
      </c>
      <c r="J32" s="1150"/>
      <c r="K32" s="1386">
        <v>30</v>
      </c>
      <c r="L32" s="1048">
        <v>60940000</v>
      </c>
      <c r="M32" s="1386">
        <v>100</v>
      </c>
      <c r="N32" s="1048">
        <v>60940000</v>
      </c>
      <c r="O32" s="1690">
        <v>36</v>
      </c>
      <c r="P32" s="1150"/>
      <c r="Q32" s="1535">
        <v>1477333</v>
      </c>
      <c r="R32" s="1151">
        <v>5540000</v>
      </c>
      <c r="S32" s="1150"/>
      <c r="T32" s="1150"/>
      <c r="U32" s="1150"/>
      <c r="V32" s="1150"/>
      <c r="W32" s="1150"/>
      <c r="X32" s="1151"/>
      <c r="Y32" s="1150"/>
      <c r="Z32" s="1150"/>
      <c r="AA32" s="1152"/>
      <c r="AB32" s="267">
        <f t="shared" si="0"/>
        <v>7017333</v>
      </c>
      <c r="AC32" s="207">
        <f t="shared" si="1"/>
        <v>53922667</v>
      </c>
      <c r="AE32" s="1200">
        <v>225</v>
      </c>
      <c r="AF32" s="1117" t="s">
        <v>472</v>
      </c>
      <c r="AG32" s="1513" t="str">
        <f>VLOOKUP(M32,[3]Hoja2!J$48:N$75,5,0)</f>
        <v>CARLOS ERNESTO LINCE RODRIGUEZ</v>
      </c>
      <c r="AH32" s="691">
        <f t="shared" si="4"/>
        <v>36</v>
      </c>
      <c r="AI32" s="176">
        <v>60940000</v>
      </c>
      <c r="AJ32" s="1201">
        <f t="shared" si="2"/>
        <v>0</v>
      </c>
      <c r="AK32" s="1139"/>
    </row>
    <row r="33" spans="1:37" s="1130" customFormat="1">
      <c r="A33" s="1153" t="s">
        <v>78</v>
      </c>
      <c r="B33" s="1049">
        <f t="shared" si="3"/>
        <v>22000000</v>
      </c>
      <c r="C33" s="110" t="s">
        <v>44</v>
      </c>
      <c r="D33" s="110" t="s">
        <v>908</v>
      </c>
      <c r="E33" s="110" t="s">
        <v>76</v>
      </c>
      <c r="F33" s="110" t="s">
        <v>455</v>
      </c>
      <c r="G33" s="110" t="s">
        <v>77</v>
      </c>
      <c r="H33" s="1200">
        <v>227</v>
      </c>
      <c r="I33" s="1383">
        <v>0</v>
      </c>
      <c r="J33" s="1150"/>
      <c r="K33" s="1386">
        <v>5</v>
      </c>
      <c r="L33" s="1048">
        <v>22000000</v>
      </c>
      <c r="M33" s="1386">
        <v>52</v>
      </c>
      <c r="N33" s="1048">
        <v>22000000</v>
      </c>
      <c r="O33" s="1690">
        <v>44</v>
      </c>
      <c r="P33" s="1150"/>
      <c r="Q33" s="1535">
        <v>2383333</v>
      </c>
      <c r="R33" s="1151">
        <v>5500000</v>
      </c>
      <c r="S33" s="1150"/>
      <c r="T33" s="1150"/>
      <c r="U33" s="1150"/>
      <c r="V33" s="1150"/>
      <c r="W33" s="1150"/>
      <c r="X33" s="1151"/>
      <c r="Y33" s="1150"/>
      <c r="Z33" s="1150"/>
      <c r="AA33" s="1152"/>
      <c r="AB33" s="267">
        <f t="shared" si="0"/>
        <v>7883333</v>
      </c>
      <c r="AC33" s="207">
        <f t="shared" si="1"/>
        <v>14116667</v>
      </c>
      <c r="AE33" s="1200">
        <v>227</v>
      </c>
      <c r="AF33" s="1117" t="s">
        <v>473</v>
      </c>
      <c r="AG33" s="1513" t="str">
        <f>VLOOKUP(M33,[3]Hoja2!J$48:N$75,5,0)</f>
        <v>DIEGO IVAN MENESES FIGUEROA</v>
      </c>
      <c r="AH33" s="691">
        <f t="shared" si="4"/>
        <v>44</v>
      </c>
      <c r="AI33" s="176">
        <v>22000000</v>
      </c>
      <c r="AJ33" s="1201">
        <f t="shared" si="2"/>
        <v>0</v>
      </c>
      <c r="AK33" s="1139"/>
    </row>
    <row r="34" spans="1:37" s="1130" customFormat="1">
      <c r="A34" s="1153" t="s">
        <v>78</v>
      </c>
      <c r="B34" s="1049">
        <f t="shared" si="3"/>
        <v>0</v>
      </c>
      <c r="C34" s="110" t="s">
        <v>44</v>
      </c>
      <c r="D34" s="110" t="s">
        <v>908</v>
      </c>
      <c r="E34" s="110" t="s">
        <v>76</v>
      </c>
      <c r="F34" s="110" t="s">
        <v>455</v>
      </c>
      <c r="G34" s="110" t="s">
        <v>77</v>
      </c>
      <c r="H34" s="1200">
        <v>228</v>
      </c>
      <c r="I34" s="1383">
        <v>0</v>
      </c>
      <c r="J34" s="1150"/>
      <c r="K34" s="1386"/>
      <c r="L34" s="1048"/>
      <c r="M34" s="1386"/>
      <c r="N34" s="1048"/>
      <c r="O34" s="1690"/>
      <c r="P34" s="1150"/>
      <c r="Q34" s="1535"/>
      <c r="R34" s="1151"/>
      <c r="S34" s="1150"/>
      <c r="T34" s="1150"/>
      <c r="U34" s="1150"/>
      <c r="V34" s="1150"/>
      <c r="W34" s="1150"/>
      <c r="X34" s="1151"/>
      <c r="Y34" s="1150"/>
      <c r="Z34" s="1150"/>
      <c r="AA34" s="1152"/>
      <c r="AB34" s="267">
        <f t="shared" si="0"/>
        <v>0</v>
      </c>
      <c r="AC34" s="207">
        <f t="shared" si="1"/>
        <v>0</v>
      </c>
      <c r="AE34" s="1650">
        <v>228</v>
      </c>
      <c r="AF34" s="1117" t="s">
        <v>474</v>
      </c>
      <c r="AG34" s="1513" t="s">
        <v>188</v>
      </c>
      <c r="AH34" s="691">
        <f t="shared" si="4"/>
        <v>0</v>
      </c>
      <c r="AI34" s="1649">
        <f>60550000-15010000-6200000</f>
        <v>39340000</v>
      </c>
      <c r="AJ34" s="1201">
        <f t="shared" si="2"/>
        <v>39340000</v>
      </c>
      <c r="AK34" s="1139"/>
    </row>
    <row r="35" spans="1:37" s="1130" customFormat="1">
      <c r="A35" s="1153" t="s">
        <v>78</v>
      </c>
      <c r="B35" s="1049">
        <f t="shared" si="3"/>
        <v>0</v>
      </c>
      <c r="C35" s="110" t="s">
        <v>44</v>
      </c>
      <c r="D35" s="110" t="s">
        <v>908</v>
      </c>
      <c r="E35" s="110" t="s">
        <v>76</v>
      </c>
      <c r="F35" s="110" t="s">
        <v>455</v>
      </c>
      <c r="G35" s="110" t="s">
        <v>77</v>
      </c>
      <c r="H35" s="1200">
        <v>229</v>
      </c>
      <c r="I35" s="1383">
        <v>0</v>
      </c>
      <c r="J35" s="1150"/>
      <c r="K35" s="1386"/>
      <c r="L35" s="1048"/>
      <c r="M35" s="1386"/>
      <c r="N35" s="1048"/>
      <c r="O35" s="1690"/>
      <c r="P35" s="1150"/>
      <c r="Q35" s="1535"/>
      <c r="R35" s="1151"/>
      <c r="S35" s="1150"/>
      <c r="T35" s="1150"/>
      <c r="U35" s="1150"/>
      <c r="V35" s="1150"/>
      <c r="W35" s="1150"/>
      <c r="X35" s="1151"/>
      <c r="Y35" s="1150"/>
      <c r="Z35" s="1150"/>
      <c r="AA35" s="1152"/>
      <c r="AB35" s="267">
        <f t="shared" si="0"/>
        <v>0</v>
      </c>
      <c r="AC35" s="207">
        <f t="shared" si="1"/>
        <v>0</v>
      </c>
      <c r="AE35" s="1200">
        <v>229</v>
      </c>
      <c r="AF35" s="1117" t="s">
        <v>475</v>
      </c>
      <c r="AG35" s="1513" t="s">
        <v>188</v>
      </c>
      <c r="AH35" s="691">
        <f t="shared" si="4"/>
        <v>0</v>
      </c>
      <c r="AI35" s="176">
        <v>16900000</v>
      </c>
      <c r="AJ35" s="1201">
        <f t="shared" si="2"/>
        <v>16900000</v>
      </c>
      <c r="AK35" s="1139"/>
    </row>
    <row r="36" spans="1:37" s="1130" customFormat="1">
      <c r="A36" s="1153" t="s">
        <v>78</v>
      </c>
      <c r="B36" s="1049">
        <f t="shared" si="3"/>
        <v>22000000</v>
      </c>
      <c r="C36" s="110" t="s">
        <v>44</v>
      </c>
      <c r="D36" s="110" t="s">
        <v>908</v>
      </c>
      <c r="E36" s="110" t="s">
        <v>76</v>
      </c>
      <c r="F36" s="110" t="s">
        <v>455</v>
      </c>
      <c r="G36" s="110" t="s">
        <v>77</v>
      </c>
      <c r="H36" s="1200">
        <v>230</v>
      </c>
      <c r="I36" s="1383">
        <v>0</v>
      </c>
      <c r="J36" s="1150"/>
      <c r="K36" s="1386">
        <v>7</v>
      </c>
      <c r="L36" s="1048">
        <v>22000000</v>
      </c>
      <c r="M36" s="1386">
        <v>150</v>
      </c>
      <c r="N36" s="1048">
        <v>22000000</v>
      </c>
      <c r="O36" s="1690">
        <v>45</v>
      </c>
      <c r="P36" s="1150"/>
      <c r="Q36" s="1535">
        <v>1283333</v>
      </c>
      <c r="R36" s="1151">
        <v>5500000</v>
      </c>
      <c r="S36" s="1150"/>
      <c r="T36" s="1150"/>
      <c r="U36" s="1150"/>
      <c r="V36" s="1150"/>
      <c r="W36" s="1150"/>
      <c r="X36" s="1151"/>
      <c r="Y36" s="1150"/>
      <c r="Z36" s="1150"/>
      <c r="AA36" s="1152"/>
      <c r="AB36" s="267">
        <f t="shared" si="0"/>
        <v>6783333</v>
      </c>
      <c r="AC36" s="207">
        <f t="shared" si="1"/>
        <v>15216667</v>
      </c>
      <c r="AE36" s="1200">
        <v>230</v>
      </c>
      <c r="AF36" s="1117" t="s">
        <v>476</v>
      </c>
      <c r="AG36" s="1513" t="str">
        <f>VLOOKUP(M36,[3]Hoja2!J$48:N$75,5,0)</f>
        <v>ANA GABRIELA PINILLA GONZALEZ</v>
      </c>
      <c r="AH36" s="691">
        <f t="shared" si="4"/>
        <v>45</v>
      </c>
      <c r="AI36" s="176">
        <v>22000000</v>
      </c>
      <c r="AJ36" s="1201">
        <f t="shared" si="2"/>
        <v>0</v>
      </c>
      <c r="AK36" s="1139"/>
    </row>
    <row r="37" spans="1:37" s="1130" customFormat="1">
      <c r="A37" s="1153" t="s">
        <v>78</v>
      </c>
      <c r="B37" s="1049">
        <f t="shared" si="3"/>
        <v>0</v>
      </c>
      <c r="C37" s="110" t="s">
        <v>44</v>
      </c>
      <c r="D37" s="110" t="s">
        <v>908</v>
      </c>
      <c r="E37" s="110" t="s">
        <v>76</v>
      </c>
      <c r="F37" s="110" t="s">
        <v>455</v>
      </c>
      <c r="G37" s="110" t="s">
        <v>77</v>
      </c>
      <c r="H37" s="1200">
        <v>231</v>
      </c>
      <c r="I37" s="1383">
        <v>0</v>
      </c>
      <c r="J37" s="1150"/>
      <c r="K37" s="1386"/>
      <c r="L37" s="1048"/>
      <c r="M37" s="1386"/>
      <c r="N37" s="1048"/>
      <c r="O37" s="1690"/>
      <c r="P37" s="1150"/>
      <c r="Q37" s="1535"/>
      <c r="R37" s="1151"/>
      <c r="S37" s="1150"/>
      <c r="T37" s="1150"/>
      <c r="U37" s="1150"/>
      <c r="V37" s="1150"/>
      <c r="W37" s="1150"/>
      <c r="X37" s="1151"/>
      <c r="Y37" s="1150"/>
      <c r="Z37" s="1150"/>
      <c r="AA37" s="1152"/>
      <c r="AB37" s="267">
        <f t="shared" si="0"/>
        <v>0</v>
      </c>
      <c r="AC37" s="207">
        <f t="shared" si="1"/>
        <v>0</v>
      </c>
      <c r="AE37" s="1200">
        <v>231</v>
      </c>
      <c r="AF37" s="1117" t="s">
        <v>477</v>
      </c>
      <c r="AG37" s="1513" t="s">
        <v>188</v>
      </c>
      <c r="AH37" s="691">
        <f t="shared" si="4"/>
        <v>0</v>
      </c>
      <c r="AI37" s="176">
        <v>27500000</v>
      </c>
      <c r="AJ37" s="1201">
        <f t="shared" si="2"/>
        <v>27500000</v>
      </c>
      <c r="AK37" s="1139"/>
    </row>
    <row r="38" spans="1:37" s="1130" customFormat="1">
      <c r="A38" s="1153" t="s">
        <v>78</v>
      </c>
      <c r="B38" s="1049">
        <f t="shared" si="3"/>
        <v>112200000</v>
      </c>
      <c r="C38" s="110" t="s">
        <v>44</v>
      </c>
      <c r="D38" s="110" t="s">
        <v>908</v>
      </c>
      <c r="E38" s="110" t="s">
        <v>76</v>
      </c>
      <c r="F38" s="110" t="s">
        <v>455</v>
      </c>
      <c r="G38" s="110" t="s">
        <v>77</v>
      </c>
      <c r="H38" s="1200">
        <v>232</v>
      </c>
      <c r="I38" s="1383">
        <v>0</v>
      </c>
      <c r="J38" s="1150"/>
      <c r="K38" s="1386">
        <v>235</v>
      </c>
      <c r="L38" s="1048">
        <v>112200000</v>
      </c>
      <c r="M38" s="1386">
        <v>219</v>
      </c>
      <c r="N38" s="1048">
        <v>112200000</v>
      </c>
      <c r="O38" s="1690">
        <v>190</v>
      </c>
      <c r="P38" s="1150"/>
      <c r="Q38" s="1535"/>
      <c r="R38" s="1151">
        <v>9180000</v>
      </c>
      <c r="S38" s="1150"/>
      <c r="T38" s="1150"/>
      <c r="U38" s="1150"/>
      <c r="V38" s="1150"/>
      <c r="W38" s="1150"/>
      <c r="X38" s="1151"/>
      <c r="Y38" s="1150"/>
      <c r="Z38" s="1150"/>
      <c r="AA38" s="1152"/>
      <c r="AB38" s="267">
        <f t="shared" si="0"/>
        <v>9180000</v>
      </c>
      <c r="AC38" s="207">
        <f t="shared" si="1"/>
        <v>103020000</v>
      </c>
      <c r="AE38" s="1200">
        <v>232</v>
      </c>
      <c r="AF38" s="1117" t="s">
        <v>478</v>
      </c>
      <c r="AG38" s="1513" t="s">
        <v>789</v>
      </c>
      <c r="AH38" s="691">
        <f t="shared" si="4"/>
        <v>190</v>
      </c>
      <c r="AI38" s="176">
        <v>112200000</v>
      </c>
      <c r="AJ38" s="1201">
        <f t="shared" si="2"/>
        <v>0</v>
      </c>
      <c r="AK38" s="1139"/>
    </row>
    <row r="39" spans="1:37" s="1130" customFormat="1">
      <c r="A39" s="1153" t="s">
        <v>78</v>
      </c>
      <c r="B39" s="1049">
        <f t="shared" si="3"/>
        <v>111360000</v>
      </c>
      <c r="C39" s="110" t="s">
        <v>44</v>
      </c>
      <c r="D39" s="110" t="s">
        <v>908</v>
      </c>
      <c r="E39" s="110" t="s">
        <v>76</v>
      </c>
      <c r="F39" s="110" t="s">
        <v>455</v>
      </c>
      <c r="G39" s="110" t="s">
        <v>77</v>
      </c>
      <c r="H39" s="1200">
        <v>233</v>
      </c>
      <c r="I39" s="1383">
        <v>0</v>
      </c>
      <c r="J39" s="1150"/>
      <c r="K39" s="1386">
        <v>253</v>
      </c>
      <c r="L39" s="1048">
        <v>111360000</v>
      </c>
      <c r="M39" s="1386">
        <v>259</v>
      </c>
      <c r="N39" s="1048">
        <v>111360000</v>
      </c>
      <c r="O39" s="1690">
        <v>231</v>
      </c>
      <c r="P39" s="1150"/>
      <c r="Q39" s="1535"/>
      <c r="R39" s="1151">
        <v>6960000</v>
      </c>
      <c r="S39" s="1150"/>
      <c r="T39" s="1150"/>
      <c r="U39" s="1150"/>
      <c r="V39" s="1150"/>
      <c r="W39" s="1150"/>
      <c r="X39" s="1151"/>
      <c r="Y39" s="1150"/>
      <c r="Z39" s="1150"/>
      <c r="AA39" s="1152"/>
      <c r="AB39" s="267">
        <f t="shared" si="0"/>
        <v>6960000</v>
      </c>
      <c r="AC39" s="207">
        <f t="shared" si="1"/>
        <v>104400000</v>
      </c>
      <c r="AE39" s="1200">
        <v>233</v>
      </c>
      <c r="AF39" s="1117" t="s">
        <v>479</v>
      </c>
      <c r="AG39" s="1513" t="s">
        <v>792</v>
      </c>
      <c r="AH39" s="691">
        <f t="shared" si="4"/>
        <v>231</v>
      </c>
      <c r="AI39" s="176">
        <f>114840000-3480000</f>
        <v>111360000</v>
      </c>
      <c r="AJ39" s="1201">
        <f t="shared" si="2"/>
        <v>0</v>
      </c>
      <c r="AK39" s="1139"/>
    </row>
    <row r="40" spans="1:37" s="1130" customFormat="1">
      <c r="A40" s="1153" t="s">
        <v>78</v>
      </c>
      <c r="B40" s="1049">
        <f t="shared" si="3"/>
        <v>96900000</v>
      </c>
      <c r="C40" s="110" t="s">
        <v>44</v>
      </c>
      <c r="D40" s="110" t="s">
        <v>908</v>
      </c>
      <c r="E40" s="110" t="s">
        <v>76</v>
      </c>
      <c r="F40" s="110" t="s">
        <v>455</v>
      </c>
      <c r="G40" s="110" t="s">
        <v>77</v>
      </c>
      <c r="H40" s="1200">
        <v>234</v>
      </c>
      <c r="I40" s="1383">
        <v>0</v>
      </c>
      <c r="J40" s="1150"/>
      <c r="K40" s="1386">
        <v>306</v>
      </c>
      <c r="L40" s="1048">
        <v>96900000</v>
      </c>
      <c r="M40" s="1386">
        <v>342</v>
      </c>
      <c r="N40" s="1048">
        <v>96900000</v>
      </c>
      <c r="O40" s="1690">
        <v>274</v>
      </c>
      <c r="P40" s="1150"/>
      <c r="Q40" s="1535"/>
      <c r="R40" s="1151"/>
      <c r="S40" s="1150"/>
      <c r="T40" s="1150"/>
      <c r="U40" s="1150"/>
      <c r="V40" s="1150"/>
      <c r="W40" s="1150"/>
      <c r="X40" s="1151"/>
      <c r="Y40" s="1150"/>
      <c r="Z40" s="1150"/>
      <c r="AA40" s="1152"/>
      <c r="AB40" s="267">
        <f t="shared" si="0"/>
        <v>0</v>
      </c>
      <c r="AC40" s="207">
        <f t="shared" si="1"/>
        <v>96900000</v>
      </c>
      <c r="AE40" s="1200">
        <v>234</v>
      </c>
      <c r="AF40" s="1117" t="s">
        <v>546</v>
      </c>
      <c r="AG40" s="1513" t="s">
        <v>863</v>
      </c>
      <c r="AH40" s="691">
        <f t="shared" si="4"/>
        <v>274</v>
      </c>
      <c r="AI40" s="176">
        <f>112200000-15300000</f>
        <v>96900000</v>
      </c>
      <c r="AJ40" s="1201">
        <f t="shared" si="2"/>
        <v>0</v>
      </c>
      <c r="AK40" s="1139"/>
    </row>
    <row r="41" spans="1:37" s="1130" customFormat="1">
      <c r="A41" s="1153" t="s">
        <v>78</v>
      </c>
      <c r="B41" s="1049">
        <f t="shared" si="3"/>
        <v>0</v>
      </c>
      <c r="C41" s="110" t="s">
        <v>44</v>
      </c>
      <c r="D41" s="110" t="s">
        <v>908</v>
      </c>
      <c r="E41" s="110" t="s">
        <v>76</v>
      </c>
      <c r="F41" s="110" t="s">
        <v>455</v>
      </c>
      <c r="G41" s="110" t="s">
        <v>77</v>
      </c>
      <c r="H41" s="1200">
        <v>235</v>
      </c>
      <c r="I41" s="1383">
        <v>0</v>
      </c>
      <c r="J41" s="1150"/>
      <c r="K41" s="1386"/>
      <c r="L41" s="1048"/>
      <c r="M41" s="1386"/>
      <c r="N41" s="1048"/>
      <c r="O41" s="1690"/>
      <c r="P41" s="1150"/>
      <c r="Q41" s="1535"/>
      <c r="R41" s="1151"/>
      <c r="S41" s="1150"/>
      <c r="T41" s="1150"/>
      <c r="U41" s="1150"/>
      <c r="V41" s="1150"/>
      <c r="W41" s="1150"/>
      <c r="X41" s="1151"/>
      <c r="Y41" s="1150"/>
      <c r="Z41" s="1150"/>
      <c r="AA41" s="1152"/>
      <c r="AB41" s="267">
        <f t="shared" si="0"/>
        <v>0</v>
      </c>
      <c r="AC41" s="207">
        <f t="shared" si="1"/>
        <v>0</v>
      </c>
      <c r="AE41" s="1200">
        <v>235</v>
      </c>
      <c r="AF41" s="1117" t="s">
        <v>481</v>
      </c>
      <c r="AG41" s="1513" t="s">
        <v>188</v>
      </c>
      <c r="AH41" s="691">
        <f t="shared" si="4"/>
        <v>0</v>
      </c>
      <c r="AI41" s="176">
        <v>0</v>
      </c>
      <c r="AJ41" s="1201">
        <f t="shared" si="2"/>
        <v>0</v>
      </c>
      <c r="AK41" s="1139"/>
    </row>
    <row r="42" spans="1:37" s="1130" customFormat="1">
      <c r="A42" s="1153" t="s">
        <v>78</v>
      </c>
      <c r="B42" s="1049">
        <f t="shared" si="3"/>
        <v>12360000</v>
      </c>
      <c r="C42" s="110" t="s">
        <v>44</v>
      </c>
      <c r="D42" s="110" t="s">
        <v>908</v>
      </c>
      <c r="E42" s="110" t="s">
        <v>76</v>
      </c>
      <c r="F42" s="110" t="s">
        <v>455</v>
      </c>
      <c r="G42" s="110" t="s">
        <v>77</v>
      </c>
      <c r="H42" s="1200">
        <v>237</v>
      </c>
      <c r="I42" s="1383">
        <v>0</v>
      </c>
      <c r="J42" s="1150"/>
      <c r="K42" s="1386">
        <v>17</v>
      </c>
      <c r="L42" s="1048">
        <v>12360000</v>
      </c>
      <c r="M42" s="1386">
        <v>139</v>
      </c>
      <c r="N42" s="1048">
        <v>12360000</v>
      </c>
      <c r="O42" s="1690">
        <v>60</v>
      </c>
      <c r="P42" s="1150"/>
      <c r="Q42" s="1535">
        <v>1098667</v>
      </c>
      <c r="R42" s="1151">
        <v>4120000</v>
      </c>
      <c r="S42" s="1150"/>
      <c r="T42" s="1150"/>
      <c r="U42" s="1150"/>
      <c r="V42" s="1150"/>
      <c r="W42" s="1150"/>
      <c r="X42" s="1151"/>
      <c r="Y42" s="1150"/>
      <c r="Z42" s="1150"/>
      <c r="AA42" s="1152"/>
      <c r="AB42" s="267">
        <f t="shared" si="0"/>
        <v>5218667</v>
      </c>
      <c r="AC42" s="207">
        <f t="shared" si="1"/>
        <v>7141333</v>
      </c>
      <c r="AE42" s="1200">
        <v>237</v>
      </c>
      <c r="AF42" s="1117" t="s">
        <v>462</v>
      </c>
      <c r="AG42" s="1513" t="str">
        <f>VLOOKUP(M42,[3]Hoja2!J$48:N$75,5,0)</f>
        <v>ANDREA YIZETH CESPEDES VILLAR</v>
      </c>
      <c r="AH42" s="691">
        <f t="shared" si="4"/>
        <v>60</v>
      </c>
      <c r="AI42" s="176">
        <v>12360000</v>
      </c>
      <c r="AJ42" s="1201">
        <f t="shared" si="2"/>
        <v>0</v>
      </c>
      <c r="AK42" s="1139"/>
    </row>
    <row r="43" spans="1:37" s="1130" customFormat="1">
      <c r="A43" s="1153" t="s">
        <v>78</v>
      </c>
      <c r="B43" s="1049">
        <f t="shared" si="3"/>
        <v>12360000</v>
      </c>
      <c r="C43" s="110" t="s">
        <v>44</v>
      </c>
      <c r="D43" s="110" t="s">
        <v>908</v>
      </c>
      <c r="E43" s="110" t="s">
        <v>76</v>
      </c>
      <c r="F43" s="110" t="s">
        <v>455</v>
      </c>
      <c r="G43" s="110" t="s">
        <v>77</v>
      </c>
      <c r="H43" s="1200">
        <v>238</v>
      </c>
      <c r="I43" s="1383">
        <v>0</v>
      </c>
      <c r="J43" s="1150"/>
      <c r="K43" s="1386">
        <v>15</v>
      </c>
      <c r="L43" s="1048">
        <v>12360000</v>
      </c>
      <c r="M43" s="1386">
        <v>66</v>
      </c>
      <c r="N43" s="1048">
        <v>12360000</v>
      </c>
      <c r="O43" s="1690">
        <v>61</v>
      </c>
      <c r="P43" s="1150"/>
      <c r="Q43" s="1535">
        <v>1373333</v>
      </c>
      <c r="R43" s="1151">
        <v>4120000</v>
      </c>
      <c r="S43" s="1150"/>
      <c r="T43" s="1150"/>
      <c r="U43" s="1150"/>
      <c r="V43" s="1150"/>
      <c r="W43" s="1150"/>
      <c r="X43" s="1151"/>
      <c r="Y43" s="1150"/>
      <c r="Z43" s="1150"/>
      <c r="AA43" s="1152"/>
      <c r="AB43" s="267">
        <f t="shared" si="0"/>
        <v>5493333</v>
      </c>
      <c r="AC43" s="207">
        <f t="shared" si="1"/>
        <v>6866667</v>
      </c>
      <c r="AE43" s="1200">
        <v>238</v>
      </c>
      <c r="AF43" s="1117" t="s">
        <v>462</v>
      </c>
      <c r="AG43" s="1513" t="str">
        <f>VLOOKUP(M43,[3]Hoja2!J$48:N$75,5,0)</f>
        <v>EFRAIN JOSE CANEDO CASTRO</v>
      </c>
      <c r="AH43" s="691">
        <f t="shared" si="4"/>
        <v>61</v>
      </c>
      <c r="AI43" s="176">
        <v>12360000</v>
      </c>
      <c r="AJ43" s="1201">
        <f t="shared" si="2"/>
        <v>0</v>
      </c>
      <c r="AK43" s="1139"/>
    </row>
    <row r="44" spans="1:37" s="1130" customFormat="1">
      <c r="A44" s="1153" t="s">
        <v>78</v>
      </c>
      <c r="B44" s="1049">
        <f t="shared" si="3"/>
        <v>11100000</v>
      </c>
      <c r="C44" s="110" t="s">
        <v>44</v>
      </c>
      <c r="D44" s="110" t="s">
        <v>908</v>
      </c>
      <c r="E44" s="110" t="s">
        <v>76</v>
      </c>
      <c r="F44" s="110" t="s">
        <v>455</v>
      </c>
      <c r="G44" s="110" t="s">
        <v>77</v>
      </c>
      <c r="H44" s="1200">
        <v>239</v>
      </c>
      <c r="I44" s="1383">
        <v>0</v>
      </c>
      <c r="J44" s="1150"/>
      <c r="K44" s="1386">
        <v>13</v>
      </c>
      <c r="L44" s="1048">
        <v>11100000</v>
      </c>
      <c r="M44" s="1386">
        <v>136</v>
      </c>
      <c r="N44" s="1048">
        <v>11100000</v>
      </c>
      <c r="O44" s="1690">
        <v>62</v>
      </c>
      <c r="P44" s="1150"/>
      <c r="Q44" s="1535">
        <v>986667</v>
      </c>
      <c r="R44" s="1151">
        <v>3700000</v>
      </c>
      <c r="S44" s="1150"/>
      <c r="T44" s="1150"/>
      <c r="U44" s="1150"/>
      <c r="V44" s="1150"/>
      <c r="W44" s="1150"/>
      <c r="X44" s="1151"/>
      <c r="Y44" s="1150"/>
      <c r="Z44" s="1150"/>
      <c r="AA44" s="1152"/>
      <c r="AB44" s="267">
        <f t="shared" si="0"/>
        <v>4686667</v>
      </c>
      <c r="AC44" s="207">
        <f t="shared" si="1"/>
        <v>6413333</v>
      </c>
      <c r="AE44" s="1200">
        <v>239</v>
      </c>
      <c r="AF44" s="1117" t="s">
        <v>471</v>
      </c>
      <c r="AG44" s="1513" t="str">
        <f>VLOOKUP(M44,[3]Hoja2!J$48:N$75,5,0)</f>
        <v>CAMILO ANDRES BECERRA SANCHEZ</v>
      </c>
      <c r="AH44" s="691">
        <f t="shared" si="4"/>
        <v>62</v>
      </c>
      <c r="AI44" s="176">
        <v>11100000</v>
      </c>
      <c r="AJ44" s="1201">
        <f t="shared" si="2"/>
        <v>0</v>
      </c>
      <c r="AK44" s="1139"/>
    </row>
    <row r="45" spans="1:37" s="1130" customFormat="1">
      <c r="A45" s="1153" t="s">
        <v>78</v>
      </c>
      <c r="B45" s="1049">
        <f t="shared" si="3"/>
        <v>40700000</v>
      </c>
      <c r="C45" s="110" t="s">
        <v>44</v>
      </c>
      <c r="D45" s="110" t="s">
        <v>908</v>
      </c>
      <c r="E45" s="110" t="s">
        <v>76</v>
      </c>
      <c r="F45" s="110" t="s">
        <v>455</v>
      </c>
      <c r="G45" s="110" t="s">
        <v>77</v>
      </c>
      <c r="H45" s="1200">
        <v>240</v>
      </c>
      <c r="I45" s="1383">
        <v>0</v>
      </c>
      <c r="J45" s="1150"/>
      <c r="K45" s="1386">
        <v>31</v>
      </c>
      <c r="L45" s="1048">
        <v>40700000</v>
      </c>
      <c r="M45" s="1386">
        <v>135</v>
      </c>
      <c r="N45" s="1048">
        <v>40700000</v>
      </c>
      <c r="O45" s="1690">
        <v>37</v>
      </c>
      <c r="P45" s="1150"/>
      <c r="Q45" s="1535">
        <v>986667</v>
      </c>
      <c r="R45" s="1151">
        <v>3700000</v>
      </c>
      <c r="S45" s="1150"/>
      <c r="T45" s="1150"/>
      <c r="U45" s="1150"/>
      <c r="V45" s="1150"/>
      <c r="W45" s="1150"/>
      <c r="X45" s="1151"/>
      <c r="Y45" s="1150"/>
      <c r="Z45" s="1150"/>
      <c r="AA45" s="1152"/>
      <c r="AB45" s="267">
        <f t="shared" si="0"/>
        <v>4686667</v>
      </c>
      <c r="AC45" s="207">
        <f t="shared" si="1"/>
        <v>36013333</v>
      </c>
      <c r="AE45" s="1200">
        <v>240</v>
      </c>
      <c r="AF45" s="1117" t="s">
        <v>482</v>
      </c>
      <c r="AG45" s="1513" t="str">
        <f>VLOOKUP(M45,[3]Hoja2!J$48:N$75,5,0)</f>
        <v>Jorge Eliecer Rodriguez Casallas</v>
      </c>
      <c r="AH45" s="691">
        <f t="shared" si="4"/>
        <v>37</v>
      </c>
      <c r="AI45" s="176">
        <v>40700000</v>
      </c>
      <c r="AJ45" s="1201">
        <f t="shared" si="2"/>
        <v>0</v>
      </c>
      <c r="AK45" s="1139"/>
    </row>
    <row r="46" spans="1:37" s="1130" customFormat="1" ht="15">
      <c r="A46" s="1153" t="s">
        <v>78</v>
      </c>
      <c r="B46" s="1049">
        <f t="shared" si="3"/>
        <v>55200000</v>
      </c>
      <c r="C46" s="110" t="s">
        <v>44</v>
      </c>
      <c r="D46" s="110" t="s">
        <v>908</v>
      </c>
      <c r="E46" s="110" t="s">
        <v>76</v>
      </c>
      <c r="F46" s="110" t="s">
        <v>455</v>
      </c>
      <c r="G46" s="110" t="s">
        <v>77</v>
      </c>
      <c r="H46" s="1200">
        <v>241</v>
      </c>
      <c r="I46" s="1383">
        <v>0</v>
      </c>
      <c r="J46" s="1150"/>
      <c r="K46" s="1386">
        <v>307</v>
      </c>
      <c r="L46" s="1048">
        <v>55200000</v>
      </c>
      <c r="M46" s="1386">
        <v>303</v>
      </c>
      <c r="N46" s="1048">
        <v>55200000</v>
      </c>
      <c r="O46" s="1690">
        <v>145</v>
      </c>
      <c r="P46" s="1150"/>
      <c r="Q46" s="1535"/>
      <c r="R46" s="1151">
        <v>2300000</v>
      </c>
      <c r="S46" s="1150"/>
      <c r="T46" s="1150"/>
      <c r="U46" s="1150"/>
      <c r="V46" s="1150"/>
      <c r="W46" s="1150"/>
      <c r="X46" s="1151"/>
      <c r="Y46" s="1150"/>
      <c r="Z46" s="1150"/>
      <c r="AA46" s="1152"/>
      <c r="AB46" s="267">
        <f t="shared" si="0"/>
        <v>2300000</v>
      </c>
      <c r="AC46" s="207">
        <f t="shared" si="1"/>
        <v>52900000</v>
      </c>
      <c r="AE46" s="1200">
        <v>241</v>
      </c>
      <c r="AF46" s="1117" t="s">
        <v>483</v>
      </c>
      <c r="AG46" s="1614" t="s">
        <v>811</v>
      </c>
      <c r="AH46" s="691">
        <f t="shared" si="4"/>
        <v>145</v>
      </c>
      <c r="AI46" s="176">
        <f>60500000-2750000</f>
        <v>57750000</v>
      </c>
      <c r="AJ46" s="1201">
        <f t="shared" si="2"/>
        <v>2550000</v>
      </c>
      <c r="AK46" s="1139"/>
    </row>
    <row r="47" spans="1:37" s="1130" customFormat="1">
      <c r="A47" s="1153" t="s">
        <v>78</v>
      </c>
      <c r="B47" s="1049">
        <f t="shared" si="3"/>
        <v>11100000</v>
      </c>
      <c r="C47" s="110" t="s">
        <v>44</v>
      </c>
      <c r="D47" s="110" t="s">
        <v>908</v>
      </c>
      <c r="E47" s="110" t="s">
        <v>76</v>
      </c>
      <c r="F47" s="110" t="s">
        <v>455</v>
      </c>
      <c r="G47" s="110" t="s">
        <v>77</v>
      </c>
      <c r="H47" s="1200">
        <v>242</v>
      </c>
      <c r="I47" s="1383">
        <v>0</v>
      </c>
      <c r="J47" s="1150"/>
      <c r="K47" s="1386">
        <v>10</v>
      </c>
      <c r="L47" s="1048">
        <v>11100000</v>
      </c>
      <c r="M47" s="1386">
        <v>35</v>
      </c>
      <c r="N47" s="1048">
        <v>11100000</v>
      </c>
      <c r="O47" s="1690">
        <v>48</v>
      </c>
      <c r="P47" s="1150"/>
      <c r="Q47" s="1535">
        <v>986667</v>
      </c>
      <c r="R47" s="1151">
        <v>3700000</v>
      </c>
      <c r="S47" s="1150"/>
      <c r="T47" s="1150"/>
      <c r="U47" s="1150"/>
      <c r="V47" s="1150"/>
      <c r="W47" s="1150"/>
      <c r="X47" s="1151"/>
      <c r="Y47" s="1150"/>
      <c r="Z47" s="1150"/>
      <c r="AA47" s="1152"/>
      <c r="AB47" s="267">
        <f t="shared" si="0"/>
        <v>4686667</v>
      </c>
      <c r="AC47" s="207">
        <f t="shared" si="1"/>
        <v>6413333</v>
      </c>
      <c r="AE47" s="1200">
        <v>242</v>
      </c>
      <c r="AF47" s="1117" t="s">
        <v>484</v>
      </c>
      <c r="AG47" s="1513" t="str">
        <f>VLOOKUP(M47,[3]Hoja2!J$48:N$75,5,0)</f>
        <v>JUAN JOSE ALVEAR MEJIA</v>
      </c>
      <c r="AH47" s="691">
        <f t="shared" si="4"/>
        <v>48</v>
      </c>
      <c r="AI47" s="176">
        <v>11100000</v>
      </c>
      <c r="AJ47" s="1201">
        <f t="shared" si="2"/>
        <v>0</v>
      </c>
      <c r="AK47" s="1139"/>
    </row>
    <row r="48" spans="1:37" s="1130" customFormat="1">
      <c r="A48" s="1153" t="s">
        <v>78</v>
      </c>
      <c r="B48" s="1049">
        <f t="shared" si="3"/>
        <v>11100000</v>
      </c>
      <c r="C48" s="110" t="s">
        <v>44</v>
      </c>
      <c r="D48" s="110" t="s">
        <v>908</v>
      </c>
      <c r="E48" s="110" t="s">
        <v>76</v>
      </c>
      <c r="F48" s="110" t="s">
        <v>455</v>
      </c>
      <c r="G48" s="110" t="s">
        <v>77</v>
      </c>
      <c r="H48" s="1200">
        <v>243</v>
      </c>
      <c r="I48" s="1383">
        <v>0</v>
      </c>
      <c r="J48" s="1150"/>
      <c r="K48" s="1386">
        <v>8</v>
      </c>
      <c r="L48" s="1048">
        <v>11100000</v>
      </c>
      <c r="M48" s="1386">
        <v>140</v>
      </c>
      <c r="N48" s="1048">
        <v>11100000</v>
      </c>
      <c r="O48" s="1690">
        <v>51</v>
      </c>
      <c r="P48" s="1150"/>
      <c r="Q48" s="1535">
        <v>986667</v>
      </c>
      <c r="R48" s="1151">
        <v>3700000</v>
      </c>
      <c r="S48" s="1150"/>
      <c r="T48" s="1150"/>
      <c r="U48" s="1150"/>
      <c r="V48" s="1150"/>
      <c r="W48" s="1150"/>
      <c r="X48" s="1151"/>
      <c r="Y48" s="1150"/>
      <c r="Z48" s="1150"/>
      <c r="AA48" s="1152"/>
      <c r="AB48" s="267">
        <f t="shared" si="0"/>
        <v>4686667</v>
      </c>
      <c r="AC48" s="207">
        <f t="shared" si="1"/>
        <v>6413333</v>
      </c>
      <c r="AE48" s="1200">
        <v>243</v>
      </c>
      <c r="AF48" s="1117" t="s">
        <v>484</v>
      </c>
      <c r="AG48" s="1513" t="str">
        <f>VLOOKUP(M48,[3]Hoja2!J$48:N$75,5,0)</f>
        <v>JUAN CARLOS SARMIENTO NOVOA</v>
      </c>
      <c r="AH48" s="691">
        <f t="shared" si="4"/>
        <v>51</v>
      </c>
      <c r="AI48" s="176">
        <v>11100000</v>
      </c>
      <c r="AJ48" s="1201">
        <f t="shared" si="2"/>
        <v>0</v>
      </c>
      <c r="AK48" s="1139"/>
    </row>
    <row r="49" spans="1:37" s="1130" customFormat="1">
      <c r="A49" s="1153" t="s">
        <v>78</v>
      </c>
      <c r="B49" s="1049">
        <f t="shared" si="3"/>
        <v>11100000</v>
      </c>
      <c r="C49" s="110" t="s">
        <v>44</v>
      </c>
      <c r="D49" s="110" t="s">
        <v>908</v>
      </c>
      <c r="E49" s="110" t="s">
        <v>76</v>
      </c>
      <c r="F49" s="110" t="s">
        <v>455</v>
      </c>
      <c r="G49" s="110" t="s">
        <v>77</v>
      </c>
      <c r="H49" s="1200">
        <v>244</v>
      </c>
      <c r="I49" s="1383">
        <v>0</v>
      </c>
      <c r="J49" s="1150"/>
      <c r="K49" s="1386">
        <v>9</v>
      </c>
      <c r="L49" s="1048">
        <v>11100000</v>
      </c>
      <c r="M49" s="1386">
        <v>44</v>
      </c>
      <c r="N49" s="1048">
        <v>11100000</v>
      </c>
      <c r="O49" s="1690">
        <v>53</v>
      </c>
      <c r="P49" s="1150"/>
      <c r="Q49" s="1535">
        <v>1603333</v>
      </c>
      <c r="R49" s="1151">
        <v>3700000</v>
      </c>
      <c r="S49" s="1150"/>
      <c r="T49" s="1150"/>
      <c r="U49" s="1150"/>
      <c r="V49" s="1150"/>
      <c r="W49" s="1150"/>
      <c r="X49" s="1151"/>
      <c r="Y49" s="1150"/>
      <c r="Z49" s="1150"/>
      <c r="AA49" s="1152"/>
      <c r="AB49" s="267">
        <f t="shared" si="0"/>
        <v>5303333</v>
      </c>
      <c r="AC49" s="207">
        <f t="shared" si="1"/>
        <v>5796667</v>
      </c>
      <c r="AE49" s="1200">
        <v>244</v>
      </c>
      <c r="AF49" s="1117" t="s">
        <v>484</v>
      </c>
      <c r="AG49" s="1513" t="str">
        <f>VLOOKUP(M49,[3]Hoja2!J$48:N$75,5,0)</f>
        <v>JUAN PABLO SANCHEZ CHAVES</v>
      </c>
      <c r="AH49" s="691">
        <f t="shared" si="4"/>
        <v>53</v>
      </c>
      <c r="AI49" s="176">
        <v>11100000</v>
      </c>
      <c r="AJ49" s="1201">
        <f t="shared" si="2"/>
        <v>0</v>
      </c>
      <c r="AK49" s="1139"/>
    </row>
    <row r="50" spans="1:37" s="1130" customFormat="1">
      <c r="A50" s="1153" t="s">
        <v>78</v>
      </c>
      <c r="B50" s="1049">
        <f t="shared" si="3"/>
        <v>12360000</v>
      </c>
      <c r="C50" s="110" t="s">
        <v>44</v>
      </c>
      <c r="D50" s="110" t="s">
        <v>908</v>
      </c>
      <c r="E50" s="110" t="s">
        <v>76</v>
      </c>
      <c r="F50" s="110" t="s">
        <v>455</v>
      </c>
      <c r="G50" s="110" t="s">
        <v>77</v>
      </c>
      <c r="H50" s="1200">
        <v>246</v>
      </c>
      <c r="I50" s="1383">
        <v>0</v>
      </c>
      <c r="J50" s="1150"/>
      <c r="K50" s="1386">
        <v>14</v>
      </c>
      <c r="L50" s="1048">
        <v>12360000</v>
      </c>
      <c r="M50" s="1386">
        <v>77</v>
      </c>
      <c r="N50" s="1048">
        <v>12360000</v>
      </c>
      <c r="O50" s="1690">
        <v>52</v>
      </c>
      <c r="P50" s="1150"/>
      <c r="Q50" s="1535">
        <v>1098667</v>
      </c>
      <c r="R50" s="1151">
        <v>4120000</v>
      </c>
      <c r="S50" s="1150"/>
      <c r="T50" s="1150"/>
      <c r="U50" s="1150"/>
      <c r="V50" s="1150"/>
      <c r="W50" s="1150"/>
      <c r="X50" s="1151"/>
      <c r="Y50" s="1150"/>
      <c r="Z50" s="1150"/>
      <c r="AA50" s="1152"/>
      <c r="AB50" s="267">
        <f t="shared" si="0"/>
        <v>5218667</v>
      </c>
      <c r="AC50" s="207">
        <f t="shared" si="1"/>
        <v>7141333</v>
      </c>
      <c r="AE50" s="1200">
        <v>246</v>
      </c>
      <c r="AF50" s="1117" t="s">
        <v>462</v>
      </c>
      <c r="AG50" s="1513" t="str">
        <f>VLOOKUP(M50,[3]Hoja2!J$48:N$75,5,0)</f>
        <v>JAVIER FERNANDO MATEUS TOVAR</v>
      </c>
      <c r="AH50" s="691">
        <f t="shared" si="4"/>
        <v>52</v>
      </c>
      <c r="AI50" s="176">
        <v>12360000</v>
      </c>
      <c r="AJ50" s="1201">
        <f t="shared" si="2"/>
        <v>0</v>
      </c>
      <c r="AK50" s="1139"/>
    </row>
    <row r="51" spans="1:37" s="1130" customFormat="1">
      <c r="A51" s="1153" t="s">
        <v>78</v>
      </c>
      <c r="B51" s="1049">
        <f t="shared" si="3"/>
        <v>22560000</v>
      </c>
      <c r="C51" s="110" t="s">
        <v>44</v>
      </c>
      <c r="D51" s="110" t="s">
        <v>908</v>
      </c>
      <c r="E51" s="110" t="s">
        <v>76</v>
      </c>
      <c r="F51" s="110" t="s">
        <v>455</v>
      </c>
      <c r="G51" s="110" t="s">
        <v>77</v>
      </c>
      <c r="H51" s="1200">
        <v>247</v>
      </c>
      <c r="I51" s="1383">
        <v>0</v>
      </c>
      <c r="J51" s="1150"/>
      <c r="K51" s="1386">
        <v>6</v>
      </c>
      <c r="L51" s="1048">
        <v>22560000</v>
      </c>
      <c r="M51" s="1386">
        <v>46</v>
      </c>
      <c r="N51" s="1048">
        <v>22560000</v>
      </c>
      <c r="O51" s="1690">
        <v>42</v>
      </c>
      <c r="P51" s="1150"/>
      <c r="Q51" s="1535">
        <v>2005333</v>
      </c>
      <c r="R51" s="1151">
        <v>3008000</v>
      </c>
      <c r="S51" s="1150"/>
      <c r="T51" s="1150"/>
      <c r="U51" s="1150"/>
      <c r="V51" s="1150"/>
      <c r="W51" s="1150"/>
      <c r="X51" s="1151"/>
      <c r="Y51" s="1150"/>
      <c r="Z51" s="1150"/>
      <c r="AA51" s="1152"/>
      <c r="AB51" s="267">
        <f t="shared" si="0"/>
        <v>5013333</v>
      </c>
      <c r="AC51" s="207">
        <f t="shared" si="1"/>
        <v>17546667</v>
      </c>
      <c r="AE51" s="1200">
        <v>247</v>
      </c>
      <c r="AF51" s="1117" t="s">
        <v>485</v>
      </c>
      <c r="AG51" s="1513" t="str">
        <f>VLOOKUP(M51,[3]Hoja2!J$48:N$75,5,0)</f>
        <v>LEONOR ISBELIA GOMEZ HERNANDEZ</v>
      </c>
      <c r="AH51" s="691">
        <f t="shared" si="4"/>
        <v>42</v>
      </c>
      <c r="AI51" s="176">
        <v>22560000</v>
      </c>
      <c r="AJ51" s="1201">
        <f t="shared" si="2"/>
        <v>0</v>
      </c>
      <c r="AK51" s="1139"/>
    </row>
    <row r="52" spans="1:37" s="1130" customFormat="1">
      <c r="A52" s="1153" t="s">
        <v>78</v>
      </c>
      <c r="B52" s="1049">
        <f t="shared" si="3"/>
        <v>0</v>
      </c>
      <c r="C52" s="110" t="s">
        <v>44</v>
      </c>
      <c r="D52" s="110" t="s">
        <v>908</v>
      </c>
      <c r="E52" s="110" t="s">
        <v>76</v>
      </c>
      <c r="F52" s="110" t="s">
        <v>455</v>
      </c>
      <c r="G52" s="110" t="s">
        <v>77</v>
      </c>
      <c r="H52" s="1200">
        <v>248</v>
      </c>
      <c r="I52" s="1383">
        <v>0</v>
      </c>
      <c r="J52" s="1150"/>
      <c r="K52" s="1386"/>
      <c r="L52" s="1048"/>
      <c r="M52" s="1386"/>
      <c r="N52" s="1048"/>
      <c r="O52" s="1690"/>
      <c r="P52" s="1150"/>
      <c r="Q52" s="1535"/>
      <c r="R52" s="1151"/>
      <c r="S52" s="1150"/>
      <c r="T52" s="1150"/>
      <c r="U52" s="1150"/>
      <c r="V52" s="1150"/>
      <c r="W52" s="1150"/>
      <c r="X52" s="1151"/>
      <c r="Y52" s="1150"/>
      <c r="Z52" s="1150"/>
      <c r="AA52" s="1152"/>
      <c r="AB52" s="267">
        <f t="shared" si="0"/>
        <v>0</v>
      </c>
      <c r="AC52" s="207">
        <f t="shared" si="1"/>
        <v>0</v>
      </c>
      <c r="AE52" s="1200">
        <v>248</v>
      </c>
      <c r="AF52" s="1117" t="s">
        <v>486</v>
      </c>
      <c r="AG52" s="1513" t="s">
        <v>188</v>
      </c>
      <c r="AH52" s="691">
        <f t="shared" si="4"/>
        <v>0</v>
      </c>
      <c r="AI52" s="176">
        <v>30000000</v>
      </c>
      <c r="AJ52" s="1201">
        <f t="shared" si="2"/>
        <v>30000000</v>
      </c>
      <c r="AK52" s="1139"/>
    </row>
    <row r="53" spans="1:37" s="1130" customFormat="1">
      <c r="A53" s="1153" t="s">
        <v>78</v>
      </c>
      <c r="B53" s="1049">
        <f t="shared" si="3"/>
        <v>28000000</v>
      </c>
      <c r="C53" s="110" t="s">
        <v>44</v>
      </c>
      <c r="D53" s="110" t="s">
        <v>908</v>
      </c>
      <c r="E53" s="110" t="s">
        <v>76</v>
      </c>
      <c r="F53" s="110" t="s">
        <v>455</v>
      </c>
      <c r="G53" s="110" t="s">
        <v>77</v>
      </c>
      <c r="H53" s="1200">
        <v>249</v>
      </c>
      <c r="I53" s="1383">
        <v>0</v>
      </c>
      <c r="J53" s="1150"/>
      <c r="K53" s="1386">
        <v>165</v>
      </c>
      <c r="L53" s="1048">
        <v>28000000</v>
      </c>
      <c r="M53" s="1386">
        <v>187</v>
      </c>
      <c r="N53" s="1048">
        <v>28000000</v>
      </c>
      <c r="O53" s="1690">
        <v>145</v>
      </c>
      <c r="P53" s="1150"/>
      <c r="Q53" s="1535"/>
      <c r="R53" s="1151">
        <v>6200000</v>
      </c>
      <c r="S53" s="1150"/>
      <c r="T53" s="1150"/>
      <c r="U53" s="1150"/>
      <c r="V53" s="1150"/>
      <c r="W53" s="1150"/>
      <c r="X53" s="1151"/>
      <c r="Y53" s="1150"/>
      <c r="Z53" s="1150"/>
      <c r="AA53" s="1152"/>
      <c r="AB53" s="267">
        <f t="shared" si="0"/>
        <v>6200000</v>
      </c>
      <c r="AC53" s="207">
        <f t="shared" si="1"/>
        <v>21800000</v>
      </c>
      <c r="AE53" s="1200">
        <v>249</v>
      </c>
      <c r="AF53" s="1117" t="s">
        <v>487</v>
      </c>
      <c r="AG53" s="1513" t="str">
        <f>VLOOKUP(M53,[3]Hoja2!J$48:N$75,5,0)</f>
        <v>LINA MARCELA MORENO ROA</v>
      </c>
      <c r="AH53" s="691">
        <f t="shared" si="4"/>
        <v>145</v>
      </c>
      <c r="AI53" s="176">
        <v>30000000</v>
      </c>
      <c r="AJ53" s="1201">
        <f t="shared" si="2"/>
        <v>2000000</v>
      </c>
      <c r="AK53" s="1139"/>
    </row>
    <row r="54" spans="1:37" s="1130" customFormat="1">
      <c r="A54" s="1153" t="s">
        <v>78</v>
      </c>
      <c r="B54" s="1049">
        <f t="shared" si="3"/>
        <v>37333333</v>
      </c>
      <c r="C54" s="110" t="s">
        <v>44</v>
      </c>
      <c r="D54" s="110" t="s">
        <v>908</v>
      </c>
      <c r="E54" s="110" t="s">
        <v>76</v>
      </c>
      <c r="F54" s="110" t="s">
        <v>455</v>
      </c>
      <c r="G54" s="110" t="s">
        <v>77</v>
      </c>
      <c r="H54" s="1200">
        <v>250</v>
      </c>
      <c r="I54" s="1383">
        <v>0</v>
      </c>
      <c r="J54" s="1150"/>
      <c r="K54" s="1386">
        <v>187</v>
      </c>
      <c r="L54" s="1048">
        <v>37333333</v>
      </c>
      <c r="M54" s="1386">
        <v>217</v>
      </c>
      <c r="N54" s="1048">
        <v>37333333</v>
      </c>
      <c r="O54" s="1690">
        <v>164</v>
      </c>
      <c r="P54" s="1150"/>
      <c r="Q54" s="1535"/>
      <c r="R54" s="1151">
        <v>6133333</v>
      </c>
      <c r="S54" s="1150"/>
      <c r="T54" s="1150"/>
      <c r="U54" s="1150"/>
      <c r="V54" s="1150"/>
      <c r="W54" s="1150"/>
      <c r="X54" s="1151"/>
      <c r="Y54" s="1150"/>
      <c r="Z54" s="1150"/>
      <c r="AA54" s="1152"/>
      <c r="AB54" s="267">
        <f t="shared" si="0"/>
        <v>6133333</v>
      </c>
      <c r="AC54" s="207">
        <f t="shared" si="1"/>
        <v>31200000</v>
      </c>
      <c r="AE54" s="1200">
        <v>250</v>
      </c>
      <c r="AF54" s="1117" t="s">
        <v>488</v>
      </c>
      <c r="AG54" s="1513" t="s">
        <v>787</v>
      </c>
      <c r="AH54" s="691">
        <f t="shared" si="4"/>
        <v>164</v>
      </c>
      <c r="AI54" s="176">
        <v>40000000</v>
      </c>
      <c r="AJ54" s="1201">
        <f t="shared" si="2"/>
        <v>2666667</v>
      </c>
      <c r="AK54" s="1139"/>
    </row>
    <row r="55" spans="1:37" s="1130" customFormat="1">
      <c r="A55" s="1153" t="s">
        <v>78</v>
      </c>
      <c r="B55" s="1049">
        <f t="shared" si="3"/>
        <v>0</v>
      </c>
      <c r="C55" s="110" t="s">
        <v>44</v>
      </c>
      <c r="D55" s="110" t="s">
        <v>908</v>
      </c>
      <c r="E55" s="110" t="s">
        <v>76</v>
      </c>
      <c r="F55" s="110" t="s">
        <v>455</v>
      </c>
      <c r="G55" s="110" t="s">
        <v>77</v>
      </c>
      <c r="H55" s="1200">
        <v>260</v>
      </c>
      <c r="I55" s="1383">
        <v>0</v>
      </c>
      <c r="J55" s="1150"/>
      <c r="K55" s="1386"/>
      <c r="L55" s="1048"/>
      <c r="M55" s="1386"/>
      <c r="N55" s="1048"/>
      <c r="O55" s="1690"/>
      <c r="P55" s="1150"/>
      <c r="Q55" s="1535"/>
      <c r="R55" s="1151"/>
      <c r="S55" s="1150"/>
      <c r="T55" s="1150"/>
      <c r="U55" s="1150"/>
      <c r="V55" s="1150"/>
      <c r="W55" s="1150"/>
      <c r="X55" s="1151"/>
      <c r="Y55" s="1150"/>
      <c r="Z55" s="1150"/>
      <c r="AA55" s="1152"/>
      <c r="AB55" s="267">
        <f t="shared" si="0"/>
        <v>0</v>
      </c>
      <c r="AC55" s="207">
        <f t="shared" si="1"/>
        <v>0</v>
      </c>
      <c r="AE55" s="1200">
        <v>260</v>
      </c>
      <c r="AF55" s="1117" t="s">
        <v>489</v>
      </c>
      <c r="AG55" s="1513" t="s">
        <v>188</v>
      </c>
      <c r="AH55" s="691">
        <f t="shared" si="4"/>
        <v>0</v>
      </c>
      <c r="AI55" s="176">
        <v>40000000</v>
      </c>
      <c r="AJ55" s="1201">
        <f t="shared" si="2"/>
        <v>40000000</v>
      </c>
      <c r="AK55" s="1139"/>
    </row>
    <row r="56" spans="1:37" s="1130" customFormat="1">
      <c r="A56" s="1153" t="s">
        <v>78</v>
      </c>
      <c r="B56" s="1049">
        <f t="shared" si="3"/>
        <v>55000000</v>
      </c>
      <c r="C56" s="110" t="s">
        <v>44</v>
      </c>
      <c r="D56" s="110" t="s">
        <v>908</v>
      </c>
      <c r="E56" s="110" t="s">
        <v>76</v>
      </c>
      <c r="F56" s="110" t="s">
        <v>455</v>
      </c>
      <c r="G56" s="110" t="s">
        <v>77</v>
      </c>
      <c r="H56" s="1200">
        <v>267</v>
      </c>
      <c r="I56" s="1383">
        <v>0</v>
      </c>
      <c r="J56" s="1150"/>
      <c r="K56" s="1386">
        <v>106</v>
      </c>
      <c r="L56" s="1048">
        <v>55000000</v>
      </c>
      <c r="M56" s="1386">
        <v>148</v>
      </c>
      <c r="N56" s="1048">
        <v>55000000</v>
      </c>
      <c r="O56" s="1690">
        <v>90</v>
      </c>
      <c r="P56" s="1150"/>
      <c r="Q56" s="1535"/>
      <c r="R56" s="1151">
        <f>5000000+1166667</f>
        <v>6166667</v>
      </c>
      <c r="S56" s="1150"/>
      <c r="T56" s="1150"/>
      <c r="U56" s="1150"/>
      <c r="V56" s="1150"/>
      <c r="W56" s="1150"/>
      <c r="X56" s="1151"/>
      <c r="Y56" s="1150"/>
      <c r="Z56" s="1150"/>
      <c r="AA56" s="1152"/>
      <c r="AB56" s="267">
        <f t="shared" si="0"/>
        <v>6166667</v>
      </c>
      <c r="AC56" s="207">
        <f t="shared" si="1"/>
        <v>48833333</v>
      </c>
      <c r="AE56" s="1200">
        <v>267</v>
      </c>
      <c r="AF56" s="1117" t="s">
        <v>490</v>
      </c>
      <c r="AG56" s="1513" t="str">
        <f>VLOOKUP(M56,[3]Hoja2!J$48:N$75,5,0)</f>
        <v>PAOLA ANDREA LUNA CORTES</v>
      </c>
      <c r="AH56" s="691">
        <f t="shared" si="4"/>
        <v>90</v>
      </c>
      <c r="AI56" s="176">
        <v>55000000</v>
      </c>
      <c r="AJ56" s="1201">
        <f t="shared" si="2"/>
        <v>0</v>
      </c>
      <c r="AK56" s="1139"/>
    </row>
    <row r="57" spans="1:37" s="1130" customFormat="1">
      <c r="A57" s="1153" t="s">
        <v>78</v>
      </c>
      <c r="B57" s="1049">
        <f t="shared" si="3"/>
        <v>11100000</v>
      </c>
      <c r="C57" s="110" t="s">
        <v>44</v>
      </c>
      <c r="D57" s="110" t="s">
        <v>908</v>
      </c>
      <c r="E57" s="110" t="s">
        <v>76</v>
      </c>
      <c r="F57" s="110" t="s">
        <v>455</v>
      </c>
      <c r="G57" s="110" t="s">
        <v>77</v>
      </c>
      <c r="H57" s="1200">
        <v>270</v>
      </c>
      <c r="I57" s="1383">
        <v>0</v>
      </c>
      <c r="J57" s="1150"/>
      <c r="K57" s="1386">
        <v>11</v>
      </c>
      <c r="L57" s="1048">
        <v>11100000</v>
      </c>
      <c r="M57" s="1386">
        <v>45</v>
      </c>
      <c r="N57" s="1048">
        <v>11100000</v>
      </c>
      <c r="O57" s="1690">
        <v>56</v>
      </c>
      <c r="P57" s="1150"/>
      <c r="Q57" s="1535">
        <v>1233333</v>
      </c>
      <c r="R57" s="1151">
        <v>3700000</v>
      </c>
      <c r="S57" s="1150"/>
      <c r="T57" s="1150"/>
      <c r="U57" s="1150"/>
      <c r="V57" s="1150"/>
      <c r="W57" s="1150"/>
      <c r="X57" s="1151"/>
      <c r="Y57" s="1150"/>
      <c r="Z57" s="1150"/>
      <c r="AA57" s="1152"/>
      <c r="AB57" s="267">
        <f t="shared" si="0"/>
        <v>4933333</v>
      </c>
      <c r="AC57" s="207">
        <f t="shared" si="1"/>
        <v>6166667</v>
      </c>
      <c r="AE57" s="1200">
        <v>270</v>
      </c>
      <c r="AF57" s="1117" t="s">
        <v>471</v>
      </c>
      <c r="AG57" s="1513" t="str">
        <f>VLOOKUP(M57,[3]Hoja2!J$48:N$75,5,0)</f>
        <v>johan camilo prieto carreño</v>
      </c>
      <c r="AH57" s="691">
        <f t="shared" si="4"/>
        <v>56</v>
      </c>
      <c r="AI57" s="176">
        <v>11100000</v>
      </c>
      <c r="AJ57" s="1201">
        <f t="shared" si="2"/>
        <v>0</v>
      </c>
      <c r="AK57" s="1139"/>
    </row>
    <row r="58" spans="1:37" s="1130" customFormat="1">
      <c r="A58" s="1153" t="s">
        <v>78</v>
      </c>
      <c r="B58" s="1049">
        <f t="shared" si="3"/>
        <v>0</v>
      </c>
      <c r="C58" s="110" t="s">
        <v>44</v>
      </c>
      <c r="D58" s="110" t="s">
        <v>908</v>
      </c>
      <c r="E58" s="110" t="s">
        <v>76</v>
      </c>
      <c r="F58" s="110" t="s">
        <v>455</v>
      </c>
      <c r="G58" s="110" t="s">
        <v>77</v>
      </c>
      <c r="H58" s="1203" t="s">
        <v>188</v>
      </c>
      <c r="I58" s="1383">
        <v>0</v>
      </c>
      <c r="J58" s="1150"/>
      <c r="K58" s="1386"/>
      <c r="L58" s="1048"/>
      <c r="M58" s="1386"/>
      <c r="N58" s="1048"/>
      <c r="O58" s="1690"/>
      <c r="P58" s="1150"/>
      <c r="Q58" s="1150"/>
      <c r="R58" s="1151"/>
      <c r="S58" s="1150"/>
      <c r="T58" s="1150"/>
      <c r="U58" s="1150"/>
      <c r="V58" s="1150"/>
      <c r="W58" s="1150"/>
      <c r="X58" s="1151"/>
      <c r="Y58" s="1150"/>
      <c r="Z58" s="1150"/>
      <c r="AA58" s="1152"/>
      <c r="AB58" s="267">
        <f t="shared" si="0"/>
        <v>0</v>
      </c>
      <c r="AC58" s="207">
        <f t="shared" si="1"/>
        <v>0</v>
      </c>
      <c r="AE58" s="1203" t="s">
        <v>155</v>
      </c>
      <c r="AF58" s="1189" t="s">
        <v>548</v>
      </c>
      <c r="AG58" s="1513" t="s">
        <v>188</v>
      </c>
      <c r="AH58" s="691">
        <f t="shared" si="4"/>
        <v>0</v>
      </c>
      <c r="AI58" s="176">
        <f>5100000-5100000</f>
        <v>0</v>
      </c>
      <c r="AJ58" s="1201">
        <f t="shared" si="2"/>
        <v>0</v>
      </c>
      <c r="AK58" s="1139"/>
    </row>
    <row r="59" spans="1:37" s="1130" customFormat="1">
      <c r="A59" s="1153" t="s">
        <v>78</v>
      </c>
      <c r="B59" s="1049">
        <f t="shared" si="3"/>
        <v>26250000</v>
      </c>
      <c r="C59" s="110" t="s">
        <v>44</v>
      </c>
      <c r="D59" s="110" t="s">
        <v>908</v>
      </c>
      <c r="E59" s="110" t="s">
        <v>76</v>
      </c>
      <c r="F59" s="110" t="s">
        <v>455</v>
      </c>
      <c r="G59" s="110" t="s">
        <v>77</v>
      </c>
      <c r="H59" s="1203">
        <v>438</v>
      </c>
      <c r="I59" s="1383">
        <v>0</v>
      </c>
      <c r="J59" s="1150"/>
      <c r="K59" s="1386">
        <v>308</v>
      </c>
      <c r="L59" s="1048">
        <v>26250000</v>
      </c>
      <c r="M59" s="1386">
        <v>298</v>
      </c>
      <c r="N59" s="1048">
        <v>26250000</v>
      </c>
      <c r="O59" s="1690">
        <v>260</v>
      </c>
      <c r="P59" s="1150"/>
      <c r="Q59" s="1150"/>
      <c r="R59" s="1151">
        <v>875000</v>
      </c>
      <c r="S59" s="1150"/>
      <c r="T59" s="1150"/>
      <c r="U59" s="1150"/>
      <c r="V59" s="1150"/>
      <c r="W59" s="1150"/>
      <c r="X59" s="1151"/>
      <c r="Y59" s="1150"/>
      <c r="Z59" s="1150"/>
      <c r="AA59" s="1152"/>
      <c r="AB59" s="267">
        <f t="shared" si="0"/>
        <v>875000</v>
      </c>
      <c r="AC59" s="207">
        <f t="shared" si="1"/>
        <v>25375000</v>
      </c>
      <c r="AE59" s="1203">
        <v>438</v>
      </c>
      <c r="AF59" s="1189" t="s">
        <v>622</v>
      </c>
      <c r="AG59" s="1513" t="s">
        <v>794</v>
      </c>
      <c r="AH59" s="691">
        <f t="shared" si="4"/>
        <v>260</v>
      </c>
      <c r="AI59" s="176">
        <v>26250000</v>
      </c>
      <c r="AJ59" s="1201">
        <f t="shared" si="2"/>
        <v>0</v>
      </c>
      <c r="AK59" s="1139"/>
    </row>
    <row r="60" spans="1:37" s="1130" customFormat="1">
      <c r="A60" s="1153" t="s">
        <v>78</v>
      </c>
      <c r="B60" s="1049">
        <f t="shared" si="3"/>
        <v>0</v>
      </c>
      <c r="C60" s="110" t="s">
        <v>44</v>
      </c>
      <c r="D60" s="110" t="s">
        <v>908</v>
      </c>
      <c r="E60" s="110" t="s">
        <v>76</v>
      </c>
      <c r="F60" s="110" t="s">
        <v>455</v>
      </c>
      <c r="G60" s="110" t="s">
        <v>77</v>
      </c>
      <c r="H60" s="1383" t="s">
        <v>621</v>
      </c>
      <c r="I60" s="1383">
        <v>0</v>
      </c>
      <c r="J60" s="1150"/>
      <c r="K60" s="1386"/>
      <c r="L60" s="1048"/>
      <c r="M60" s="1386"/>
      <c r="N60" s="1048"/>
      <c r="O60" s="1690"/>
      <c r="P60" s="1150"/>
      <c r="Q60" s="1150"/>
      <c r="R60" s="1151"/>
      <c r="S60" s="1150"/>
      <c r="T60" s="1150"/>
      <c r="U60" s="1150"/>
      <c r="V60" s="1150"/>
      <c r="W60" s="1150"/>
      <c r="X60" s="1151"/>
      <c r="Y60" s="1150"/>
      <c r="Z60" s="1150"/>
      <c r="AA60" s="1152"/>
      <c r="AB60" s="267">
        <f t="shared" si="0"/>
        <v>0</v>
      </c>
      <c r="AC60" s="207">
        <f t="shared" si="1"/>
        <v>0</v>
      </c>
      <c r="AE60" s="1203" t="s">
        <v>621</v>
      </c>
      <c r="AF60" s="1189" t="s">
        <v>459</v>
      </c>
      <c r="AG60" s="1513" t="s">
        <v>188</v>
      </c>
      <c r="AH60" s="691">
        <f t="shared" si="4"/>
        <v>0</v>
      </c>
      <c r="AI60" s="176">
        <v>48000000</v>
      </c>
      <c r="AJ60" s="1201">
        <f t="shared" si="2"/>
        <v>48000000</v>
      </c>
      <c r="AK60" s="1139"/>
    </row>
    <row r="61" spans="1:37" s="1130" customFormat="1">
      <c r="A61" s="1153" t="s">
        <v>78</v>
      </c>
      <c r="B61" s="1049">
        <f t="shared" si="3"/>
        <v>6000000</v>
      </c>
      <c r="C61" s="110" t="s">
        <v>44</v>
      </c>
      <c r="D61" s="110" t="s">
        <v>908</v>
      </c>
      <c r="E61" s="110" t="s">
        <v>76</v>
      </c>
      <c r="F61" s="110" t="s">
        <v>455</v>
      </c>
      <c r="G61" s="110" t="s">
        <v>77</v>
      </c>
      <c r="H61" s="1383">
        <v>450</v>
      </c>
      <c r="I61" s="1383">
        <v>0</v>
      </c>
      <c r="J61" s="1048"/>
      <c r="K61" s="1677">
        <v>373</v>
      </c>
      <c r="L61" s="1049">
        <v>6000000</v>
      </c>
      <c r="M61" s="1677">
        <v>387</v>
      </c>
      <c r="N61" s="577">
        <v>6000000</v>
      </c>
      <c r="O61" s="1031">
        <v>305</v>
      </c>
      <c r="P61" s="1146"/>
      <c r="Q61" s="1147"/>
      <c r="R61" s="1151"/>
      <c r="S61" s="1147"/>
      <c r="T61" s="1147"/>
      <c r="U61" s="1147"/>
      <c r="V61" s="1147"/>
      <c r="W61" s="1147"/>
      <c r="X61" s="577"/>
      <c r="Y61" s="1147"/>
      <c r="Z61" s="1147"/>
      <c r="AA61" s="1148"/>
      <c r="AB61" s="267">
        <f>SUM(P61:AA61)</f>
        <v>0</v>
      </c>
      <c r="AC61" s="207">
        <f>N61-AB61</f>
        <v>6000000</v>
      </c>
      <c r="AE61" s="1264">
        <v>450</v>
      </c>
      <c r="AF61" s="1189" t="s">
        <v>320</v>
      </c>
      <c r="AG61" s="1513" t="s">
        <v>894</v>
      </c>
      <c r="AH61" s="691">
        <f t="shared" si="4"/>
        <v>305</v>
      </c>
      <c r="AI61" s="1649">
        <v>6000000</v>
      </c>
      <c r="AJ61" s="1201">
        <f t="shared" si="2"/>
        <v>0</v>
      </c>
      <c r="AK61" s="1139"/>
    </row>
    <row r="62" spans="1:37" s="1130" customFormat="1">
      <c r="A62" s="1153" t="s">
        <v>78</v>
      </c>
      <c r="B62" s="1049">
        <f t="shared" si="3"/>
        <v>0</v>
      </c>
      <c r="C62" s="110" t="s">
        <v>44</v>
      </c>
      <c r="D62" s="110" t="s">
        <v>908</v>
      </c>
      <c r="E62" s="110" t="s">
        <v>76</v>
      </c>
      <c r="F62" s="110" t="s">
        <v>455</v>
      </c>
      <c r="G62" s="110" t="s">
        <v>77</v>
      </c>
      <c r="H62" s="1536" t="s">
        <v>188</v>
      </c>
      <c r="I62" s="1383">
        <v>0</v>
      </c>
      <c r="J62" s="1048"/>
      <c r="K62" s="1677"/>
      <c r="L62" s="1049"/>
      <c r="M62" s="1677"/>
      <c r="N62" s="577"/>
      <c r="O62" s="1031"/>
      <c r="P62" s="1146"/>
      <c r="Q62" s="1147"/>
      <c r="R62" s="1151"/>
      <c r="S62" s="1147"/>
      <c r="T62" s="1147"/>
      <c r="U62" s="1147"/>
      <c r="V62" s="1147"/>
      <c r="W62" s="1147"/>
      <c r="X62" s="577"/>
      <c r="Y62" s="1147"/>
      <c r="Z62" s="1147"/>
      <c r="AA62" s="1148"/>
      <c r="AB62" s="267">
        <f>SUM(P62:AA62)</f>
        <v>0</v>
      </c>
      <c r="AC62" s="207">
        <f>N62-AB62</f>
        <v>0</v>
      </c>
      <c r="AE62" s="1268" t="s">
        <v>188</v>
      </c>
      <c r="AF62" s="1189"/>
      <c r="AG62" s="1513" t="s">
        <v>188</v>
      </c>
      <c r="AH62" s="691">
        <f t="shared" si="4"/>
        <v>0</v>
      </c>
      <c r="AI62" s="176"/>
      <c r="AJ62" s="1201">
        <f t="shared" si="2"/>
        <v>0</v>
      </c>
      <c r="AK62" s="1139"/>
    </row>
    <row r="63" spans="1:37" s="1130" customFormat="1">
      <c r="A63" s="1153" t="s">
        <v>78</v>
      </c>
      <c r="B63" s="1049">
        <f t="shared" si="3"/>
        <v>0</v>
      </c>
      <c r="C63" s="110" t="s">
        <v>44</v>
      </c>
      <c r="D63" s="110" t="s">
        <v>908</v>
      </c>
      <c r="E63" s="110" t="s">
        <v>76</v>
      </c>
      <c r="F63" s="110" t="s">
        <v>455</v>
      </c>
      <c r="G63" s="110" t="s">
        <v>77</v>
      </c>
      <c r="H63" s="1536" t="s">
        <v>188</v>
      </c>
      <c r="I63" s="1383">
        <v>0</v>
      </c>
      <c r="J63" s="1048"/>
      <c r="K63" s="1677"/>
      <c r="L63" s="1049"/>
      <c r="M63" s="1677"/>
      <c r="N63" s="577"/>
      <c r="O63" s="1031"/>
      <c r="P63" s="1146"/>
      <c r="Q63" s="1147"/>
      <c r="R63" s="577"/>
      <c r="S63" s="1147"/>
      <c r="T63" s="1147"/>
      <c r="U63" s="1147"/>
      <c r="V63" s="1147"/>
      <c r="W63" s="1147"/>
      <c r="X63" s="577"/>
      <c r="Y63" s="1147"/>
      <c r="Z63" s="1147"/>
      <c r="AA63" s="1148"/>
      <c r="AB63" s="267">
        <f>SUM(P63:AA63)</f>
        <v>0</v>
      </c>
      <c r="AC63" s="207">
        <f>N63-AB63</f>
        <v>0</v>
      </c>
      <c r="AE63" s="1268" t="s">
        <v>188</v>
      </c>
      <c r="AF63" s="1189"/>
      <c r="AG63" s="1513" t="s">
        <v>188</v>
      </c>
      <c r="AH63" s="691">
        <f t="shared" si="4"/>
        <v>0</v>
      </c>
      <c r="AI63" s="176"/>
      <c r="AJ63" s="1201">
        <f t="shared" si="2"/>
        <v>0</v>
      </c>
      <c r="AK63" s="1139"/>
    </row>
    <row r="64" spans="1:37" s="1130" customFormat="1">
      <c r="A64" s="1153" t="s">
        <v>78</v>
      </c>
      <c r="B64" s="1049">
        <f t="shared" si="3"/>
        <v>0</v>
      </c>
      <c r="C64" s="110" t="s">
        <v>44</v>
      </c>
      <c r="D64" s="110" t="s">
        <v>908</v>
      </c>
      <c r="E64" s="110" t="s">
        <v>76</v>
      </c>
      <c r="F64" s="110" t="s">
        <v>455</v>
      </c>
      <c r="G64" s="110" t="s">
        <v>77</v>
      </c>
      <c r="H64" s="1536" t="s">
        <v>188</v>
      </c>
      <c r="I64" s="1383">
        <v>0</v>
      </c>
      <c r="J64" s="1048"/>
      <c r="K64" s="1677"/>
      <c r="L64" s="1049"/>
      <c r="M64" s="1677"/>
      <c r="N64" s="577"/>
      <c r="O64" s="1031"/>
      <c r="P64" s="1146"/>
      <c r="Q64" s="1147"/>
      <c r="R64" s="577"/>
      <c r="S64" s="1147"/>
      <c r="T64" s="1147"/>
      <c r="U64" s="1147"/>
      <c r="V64" s="1147"/>
      <c r="W64" s="1147"/>
      <c r="X64" s="577"/>
      <c r="Y64" s="1147"/>
      <c r="Z64" s="1147"/>
      <c r="AA64" s="1148"/>
      <c r="AB64" s="267">
        <f>SUM(P64:AA64)</f>
        <v>0</v>
      </c>
      <c r="AC64" s="207">
        <f>N64-AB64</f>
        <v>0</v>
      </c>
      <c r="AE64" s="1268" t="s">
        <v>188</v>
      </c>
      <c r="AF64" s="1189"/>
      <c r="AG64" s="1513" t="s">
        <v>188</v>
      </c>
      <c r="AH64" s="691">
        <f t="shared" si="4"/>
        <v>0</v>
      </c>
      <c r="AI64" s="176"/>
      <c r="AJ64" s="1201">
        <f t="shared" si="2"/>
        <v>0</v>
      </c>
      <c r="AK64" s="1139"/>
    </row>
    <row r="65" spans="1:37" s="9" customFormat="1">
      <c r="A65" s="189" t="s">
        <v>31</v>
      </c>
      <c r="B65" s="562">
        <f>B16-SUM(B17:B64)</f>
        <v>325756667</v>
      </c>
      <c r="C65" s="90"/>
      <c r="D65" s="90"/>
      <c r="E65" s="90"/>
      <c r="F65" s="90"/>
      <c r="G65" s="91"/>
      <c r="H65" s="1373"/>
      <c r="I65" s="1384"/>
      <c r="J65" s="531"/>
      <c r="K65" s="1678"/>
      <c r="L65" s="1165">
        <f>SUM(L17:L64)</f>
        <v>1280943333</v>
      </c>
      <c r="M65" s="1678"/>
      <c r="N65" s="1165">
        <f>SUM(N17:N64)</f>
        <v>1173843333</v>
      </c>
      <c r="O65" s="1692"/>
      <c r="P65" s="57">
        <f>SUM(P17:P64)</f>
        <v>0</v>
      </c>
      <c r="Q65" s="57">
        <f t="shared" ref="Q65:AC65" si="5">SUM(Q17:Q64)</f>
        <v>22370000</v>
      </c>
      <c r="R65" s="57">
        <f t="shared" si="5"/>
        <v>125654333</v>
      </c>
      <c r="S65" s="57">
        <f t="shared" si="5"/>
        <v>0</v>
      </c>
      <c r="T65" s="57">
        <f t="shared" si="5"/>
        <v>0</v>
      </c>
      <c r="U65" s="57">
        <f t="shared" si="5"/>
        <v>0</v>
      </c>
      <c r="V65" s="57">
        <f t="shared" si="5"/>
        <v>0</v>
      </c>
      <c r="W65" s="57">
        <f t="shared" si="5"/>
        <v>0</v>
      </c>
      <c r="X65" s="57">
        <f t="shared" si="5"/>
        <v>0</v>
      </c>
      <c r="Y65" s="57">
        <f t="shared" si="5"/>
        <v>0</v>
      </c>
      <c r="Z65" s="57">
        <f t="shared" si="5"/>
        <v>0</v>
      </c>
      <c r="AA65" s="57">
        <f t="shared" si="5"/>
        <v>0</v>
      </c>
      <c r="AB65" s="57">
        <f t="shared" si="5"/>
        <v>148024333</v>
      </c>
      <c r="AC65" s="57">
        <f t="shared" si="5"/>
        <v>1025819000</v>
      </c>
      <c r="AE65" s="1202"/>
      <c r="AF65" s="1161"/>
      <c r="AG65" s="1514"/>
      <c r="AH65" s="401"/>
      <c r="AI65" s="57">
        <f>SUM(AI17:AI64)</f>
        <v>1606700000</v>
      </c>
      <c r="AJ65" s="205">
        <f>SUM(AJ17:AJ64)</f>
        <v>432856667</v>
      </c>
      <c r="AK65" s="1139">
        <f>B16-AI65</f>
        <v>0</v>
      </c>
    </row>
    <row r="66" spans="1:37" s="7" customFormat="1" ht="76.5">
      <c r="A66" s="633" t="s">
        <v>80</v>
      </c>
      <c r="B66" s="560">
        <f>590740000-1050000+4750000</f>
        <v>594440000</v>
      </c>
      <c r="C66" s="1707" t="s">
        <v>44</v>
      </c>
      <c r="D66" s="1707" t="s">
        <v>908</v>
      </c>
      <c r="E66" s="703" t="s">
        <v>76</v>
      </c>
      <c r="F66" s="703" t="s">
        <v>79</v>
      </c>
      <c r="G66" s="703" t="s">
        <v>77</v>
      </c>
      <c r="H66" s="1374"/>
      <c r="I66" s="1385"/>
      <c r="J66" s="587"/>
      <c r="K66" s="1679"/>
      <c r="L66" s="1664"/>
      <c r="M66" s="1679"/>
      <c r="N66" s="588"/>
      <c r="O66" s="1032"/>
      <c r="P66" s="589"/>
      <c r="Q66" s="590"/>
      <c r="R66" s="588"/>
      <c r="S66" s="590"/>
      <c r="T66" s="590"/>
      <c r="U66" s="590"/>
      <c r="V66" s="590"/>
      <c r="W66" s="590"/>
      <c r="X66" s="588"/>
      <c r="Y66" s="590"/>
      <c r="Z66" s="590"/>
      <c r="AA66" s="591"/>
      <c r="AB66" s="589"/>
      <c r="AC66" s="591"/>
      <c r="AE66" s="1198"/>
      <c r="AF66" s="1188"/>
      <c r="AG66" s="1512"/>
      <c r="AH66" s="1458"/>
      <c r="AI66" s="1126"/>
      <c r="AJ66" s="1199"/>
      <c r="AK66" s="1139"/>
    </row>
    <row r="67" spans="1:37" s="1130" customFormat="1">
      <c r="A67" s="654" t="s">
        <v>80</v>
      </c>
      <c r="B67" s="1049">
        <f>J67</f>
        <v>0</v>
      </c>
      <c r="C67" s="586" t="s">
        <v>44</v>
      </c>
      <c r="D67" s="586" t="s">
        <v>908</v>
      </c>
      <c r="E67" s="586" t="s">
        <v>76</v>
      </c>
      <c r="F67" s="586" t="s">
        <v>79</v>
      </c>
      <c r="G67" s="586" t="s">
        <v>77</v>
      </c>
      <c r="H67" s="1203">
        <v>208</v>
      </c>
      <c r="I67" s="1386">
        <v>0</v>
      </c>
      <c r="J67" s="1048"/>
      <c r="K67" s="1386"/>
      <c r="L67" s="1049"/>
      <c r="M67" s="1049"/>
      <c r="N67" s="1049"/>
      <c r="O67" s="1033"/>
      <c r="P67" s="1146"/>
      <c r="Q67" s="1147"/>
      <c r="R67" s="577"/>
      <c r="S67" s="1147"/>
      <c r="T67" s="1147"/>
      <c r="U67" s="1147"/>
      <c r="V67" s="1147"/>
      <c r="W67" s="1147"/>
      <c r="X67" s="577"/>
      <c r="Y67" s="1147"/>
      <c r="Z67" s="1147"/>
      <c r="AA67" s="1148"/>
      <c r="AB67" s="267">
        <f t="shared" ref="AB67:AB80" si="6">SUM(P67:AA67)</f>
        <v>0</v>
      </c>
      <c r="AC67" s="207">
        <f t="shared" ref="AC67:AC80" si="7">N67-AB67</f>
        <v>0</v>
      </c>
      <c r="AE67" s="1203">
        <v>208</v>
      </c>
      <c r="AF67" s="1189" t="s">
        <v>491</v>
      </c>
      <c r="AG67" s="1515" t="s">
        <v>188</v>
      </c>
      <c r="AH67" s="691">
        <f t="shared" ref="AH67:AH80" si="8">O67</f>
        <v>0</v>
      </c>
      <c r="AI67" s="188">
        <v>19000000</v>
      </c>
      <c r="AJ67" s="1201">
        <f t="shared" ref="AJ67:AJ80" si="9">AI67-N67</f>
        <v>19000000</v>
      </c>
      <c r="AK67" s="1139"/>
    </row>
    <row r="68" spans="1:37" s="1130" customFormat="1">
      <c r="A68" s="654" t="s">
        <v>80</v>
      </c>
      <c r="B68" s="1049">
        <f t="shared" ref="B68:B80" si="10">J68</f>
        <v>0</v>
      </c>
      <c r="C68" s="586" t="s">
        <v>44</v>
      </c>
      <c r="D68" s="586" t="s">
        <v>908</v>
      </c>
      <c r="E68" s="586" t="s">
        <v>76</v>
      </c>
      <c r="F68" s="586" t="s">
        <v>79</v>
      </c>
      <c r="G68" s="586" t="s">
        <v>77</v>
      </c>
      <c r="H68" s="1203">
        <v>222</v>
      </c>
      <c r="I68" s="1386">
        <v>0</v>
      </c>
      <c r="J68" s="1048"/>
      <c r="K68" s="1386">
        <v>289</v>
      </c>
      <c r="L68" s="1049">
        <v>56700000</v>
      </c>
      <c r="M68" s="1049">
        <v>284</v>
      </c>
      <c r="N68" s="1049">
        <v>56700000</v>
      </c>
      <c r="O68" s="1607">
        <v>248</v>
      </c>
      <c r="P68" s="1146"/>
      <c r="Q68" s="1147"/>
      <c r="R68" s="1151">
        <v>2880000</v>
      </c>
      <c r="S68" s="1147"/>
      <c r="T68" s="1147"/>
      <c r="U68" s="1147"/>
      <c r="V68" s="1147"/>
      <c r="W68" s="1147"/>
      <c r="X68" s="577"/>
      <c r="Y68" s="1147"/>
      <c r="Z68" s="1147"/>
      <c r="AA68" s="1148"/>
      <c r="AB68" s="267">
        <f t="shared" si="6"/>
        <v>2880000</v>
      </c>
      <c r="AC68" s="207">
        <f t="shared" si="7"/>
        <v>53820000</v>
      </c>
      <c r="AE68" s="1203">
        <v>222</v>
      </c>
      <c r="AF68" s="1189" t="s">
        <v>492</v>
      </c>
      <c r="AG68" s="1515" t="s">
        <v>793</v>
      </c>
      <c r="AH68" s="691">
        <f t="shared" si="8"/>
        <v>248</v>
      </c>
      <c r="AI68" s="188">
        <f>49500000+7200000</f>
        <v>56700000</v>
      </c>
      <c r="AJ68" s="1201">
        <f t="shared" si="9"/>
        <v>0</v>
      </c>
      <c r="AK68" s="1139"/>
    </row>
    <row r="69" spans="1:37" s="696" customFormat="1">
      <c r="A69" s="654" t="s">
        <v>80</v>
      </c>
      <c r="B69" s="1049">
        <f t="shared" si="10"/>
        <v>0</v>
      </c>
      <c r="C69" s="586" t="s">
        <v>44</v>
      </c>
      <c r="D69" s="586" t="s">
        <v>908</v>
      </c>
      <c r="E69" s="586" t="s">
        <v>76</v>
      </c>
      <c r="F69" s="586" t="s">
        <v>79</v>
      </c>
      <c r="G69" s="586" t="s">
        <v>77</v>
      </c>
      <c r="H69" s="1203">
        <v>223</v>
      </c>
      <c r="I69" s="1386">
        <v>0</v>
      </c>
      <c r="J69" s="1048"/>
      <c r="K69" s="1386">
        <v>364</v>
      </c>
      <c r="L69" s="1049">
        <v>49400000</v>
      </c>
      <c r="M69" s="1049">
        <v>364</v>
      </c>
      <c r="N69" s="1049">
        <v>49400000</v>
      </c>
      <c r="O69" s="1607">
        <v>288</v>
      </c>
      <c r="P69" s="1146"/>
      <c r="Q69" s="577"/>
      <c r="R69" s="1151"/>
      <c r="S69" s="577"/>
      <c r="T69" s="577"/>
      <c r="U69" s="1147"/>
      <c r="V69" s="1147"/>
      <c r="W69" s="1147"/>
      <c r="X69" s="577"/>
      <c r="Y69" s="1147"/>
      <c r="Z69" s="1147"/>
      <c r="AA69" s="1148"/>
      <c r="AB69" s="267">
        <f t="shared" si="6"/>
        <v>0</v>
      </c>
      <c r="AC69" s="207">
        <f t="shared" si="7"/>
        <v>49400000</v>
      </c>
      <c r="AE69" s="1203">
        <v>223</v>
      </c>
      <c r="AF69" s="1189" t="s">
        <v>547</v>
      </c>
      <c r="AG69" s="1515" t="s">
        <v>880</v>
      </c>
      <c r="AH69" s="691">
        <f t="shared" si="8"/>
        <v>288</v>
      </c>
      <c r="AI69" s="188">
        <f>55000000-3000000</f>
        <v>52000000</v>
      </c>
      <c r="AJ69" s="1201">
        <f t="shared" si="9"/>
        <v>2600000</v>
      </c>
      <c r="AK69" s="1139"/>
    </row>
    <row r="70" spans="1:37" s="696" customFormat="1">
      <c r="A70" s="654" t="s">
        <v>80</v>
      </c>
      <c r="B70" s="1049">
        <f t="shared" si="10"/>
        <v>0</v>
      </c>
      <c r="C70" s="586" t="s">
        <v>44</v>
      </c>
      <c r="D70" s="586" t="s">
        <v>908</v>
      </c>
      <c r="E70" s="586" t="s">
        <v>76</v>
      </c>
      <c r="F70" s="586" t="s">
        <v>79</v>
      </c>
      <c r="G70" s="586" t="s">
        <v>77</v>
      </c>
      <c r="H70" s="1203">
        <v>226</v>
      </c>
      <c r="I70" s="1386">
        <v>0</v>
      </c>
      <c r="J70" s="1048"/>
      <c r="K70" s="1386">
        <v>252</v>
      </c>
      <c r="L70" s="1049">
        <v>84000000</v>
      </c>
      <c r="M70" s="1049">
        <v>280</v>
      </c>
      <c r="N70" s="1049">
        <v>84000000</v>
      </c>
      <c r="O70" s="1607">
        <v>230</v>
      </c>
      <c r="P70" s="1146"/>
      <c r="Q70" s="577"/>
      <c r="R70" s="1151">
        <v>4266667</v>
      </c>
      <c r="S70" s="577"/>
      <c r="T70" s="577"/>
      <c r="U70" s="1147"/>
      <c r="V70" s="1147"/>
      <c r="W70" s="1147"/>
      <c r="X70" s="577"/>
      <c r="Y70" s="1147"/>
      <c r="Z70" s="1147"/>
      <c r="AA70" s="1148"/>
      <c r="AB70" s="267">
        <f t="shared" si="6"/>
        <v>4266667</v>
      </c>
      <c r="AC70" s="207">
        <f t="shared" si="7"/>
        <v>79733333</v>
      </c>
      <c r="AE70" s="1203">
        <v>226</v>
      </c>
      <c r="AF70" s="1189" t="s">
        <v>493</v>
      </c>
      <c r="AG70" s="1515" t="s">
        <v>791</v>
      </c>
      <c r="AH70" s="691">
        <f t="shared" si="8"/>
        <v>230</v>
      </c>
      <c r="AI70" s="188">
        <f>88000000-4000000</f>
        <v>84000000</v>
      </c>
      <c r="AJ70" s="1201">
        <f t="shared" si="9"/>
        <v>0</v>
      </c>
      <c r="AK70" s="1139"/>
    </row>
    <row r="71" spans="1:37" s="696" customFormat="1">
      <c r="A71" s="654" t="s">
        <v>80</v>
      </c>
      <c r="B71" s="1049">
        <f t="shared" si="10"/>
        <v>0</v>
      </c>
      <c r="C71" s="586" t="s">
        <v>44</v>
      </c>
      <c r="D71" s="586" t="s">
        <v>908</v>
      </c>
      <c r="E71" s="586" t="s">
        <v>76</v>
      </c>
      <c r="F71" s="586" t="s">
        <v>79</v>
      </c>
      <c r="G71" s="586" t="s">
        <v>77</v>
      </c>
      <c r="H71" s="1203">
        <v>236</v>
      </c>
      <c r="I71" s="1386">
        <v>0</v>
      </c>
      <c r="J71" s="1048"/>
      <c r="K71" s="1386"/>
      <c r="L71" s="1049"/>
      <c r="M71" s="1677"/>
      <c r="N71" s="577"/>
      <c r="O71" s="1607"/>
      <c r="P71" s="1146"/>
      <c r="Q71" s="577"/>
      <c r="R71" s="1151"/>
      <c r="S71" s="577"/>
      <c r="T71" s="577"/>
      <c r="U71" s="1147"/>
      <c r="V71" s="1147"/>
      <c r="W71" s="1147"/>
      <c r="X71" s="577"/>
      <c r="Y71" s="1147"/>
      <c r="Z71" s="1147"/>
      <c r="AA71" s="1148"/>
      <c r="AB71" s="267">
        <f t="shared" si="6"/>
        <v>0</v>
      </c>
      <c r="AC71" s="207">
        <f t="shared" si="7"/>
        <v>0</v>
      </c>
      <c r="AE71" s="1203">
        <v>236</v>
      </c>
      <c r="AF71" s="1189" t="s">
        <v>494</v>
      </c>
      <c r="AG71" s="1515" t="s">
        <v>188</v>
      </c>
      <c r="AH71" s="691">
        <f t="shared" si="8"/>
        <v>0</v>
      </c>
      <c r="AI71" s="188">
        <v>19000000</v>
      </c>
      <c r="AJ71" s="1201">
        <f t="shared" si="9"/>
        <v>19000000</v>
      </c>
      <c r="AK71" s="1139"/>
    </row>
    <row r="72" spans="1:37" s="696" customFormat="1">
      <c r="A72" s="654" t="s">
        <v>80</v>
      </c>
      <c r="B72" s="1049">
        <f t="shared" si="10"/>
        <v>0</v>
      </c>
      <c r="C72" s="586" t="s">
        <v>44</v>
      </c>
      <c r="D72" s="586" t="s">
        <v>908</v>
      </c>
      <c r="E72" s="586" t="s">
        <v>76</v>
      </c>
      <c r="F72" s="586" t="s">
        <v>79</v>
      </c>
      <c r="G72" s="586" t="s">
        <v>77</v>
      </c>
      <c r="H72" s="1203">
        <v>245</v>
      </c>
      <c r="I72" s="1386">
        <v>0</v>
      </c>
      <c r="J72" s="1048"/>
      <c r="K72" s="1386"/>
      <c r="L72" s="1049"/>
      <c r="M72" s="1677"/>
      <c r="N72" s="577"/>
      <c r="O72" s="1607"/>
      <c r="P72" s="1146"/>
      <c r="Q72" s="577"/>
      <c r="R72" s="1151"/>
      <c r="S72" s="577"/>
      <c r="T72" s="577"/>
      <c r="U72" s="1147"/>
      <c r="V72" s="1147"/>
      <c r="W72" s="1147"/>
      <c r="X72" s="577"/>
      <c r="Y72" s="1147"/>
      <c r="Z72" s="1147"/>
      <c r="AA72" s="1148"/>
      <c r="AB72" s="267">
        <f t="shared" si="6"/>
        <v>0</v>
      </c>
      <c r="AC72" s="207">
        <f t="shared" si="7"/>
        <v>0</v>
      </c>
      <c r="AE72" s="1203">
        <v>245</v>
      </c>
      <c r="AF72" s="1189" t="s">
        <v>495</v>
      </c>
      <c r="AG72" s="1515" t="s">
        <v>188</v>
      </c>
      <c r="AH72" s="691">
        <f t="shared" si="8"/>
        <v>0</v>
      </c>
      <c r="AI72" s="188">
        <f>27500000-1250000-26250000</f>
        <v>0</v>
      </c>
      <c r="AJ72" s="1201">
        <f t="shared" si="9"/>
        <v>0</v>
      </c>
      <c r="AK72" s="1139"/>
    </row>
    <row r="73" spans="1:37" s="696" customFormat="1">
      <c r="A73" s="654" t="s">
        <v>80</v>
      </c>
      <c r="B73" s="1049">
        <f t="shared" si="10"/>
        <v>0</v>
      </c>
      <c r="C73" s="586" t="s">
        <v>44</v>
      </c>
      <c r="D73" s="586" t="s">
        <v>908</v>
      </c>
      <c r="E73" s="586" t="s">
        <v>76</v>
      </c>
      <c r="F73" s="586" t="s">
        <v>79</v>
      </c>
      <c r="G73" s="586" t="s">
        <v>77</v>
      </c>
      <c r="H73" s="1203">
        <v>262</v>
      </c>
      <c r="I73" s="1386">
        <v>0</v>
      </c>
      <c r="J73" s="1048"/>
      <c r="K73" s="1386">
        <v>33</v>
      </c>
      <c r="L73" s="1048">
        <v>51040000</v>
      </c>
      <c r="M73" s="1386">
        <v>138</v>
      </c>
      <c r="N73" s="1048">
        <v>51040000</v>
      </c>
      <c r="O73" s="1690">
        <v>39</v>
      </c>
      <c r="P73" s="1146"/>
      <c r="Q73" s="1535">
        <v>1237333</v>
      </c>
      <c r="R73" s="1151">
        <v>4640000</v>
      </c>
      <c r="S73" s="577"/>
      <c r="T73" s="577"/>
      <c r="U73" s="1147"/>
      <c r="V73" s="1147"/>
      <c r="W73" s="1147"/>
      <c r="X73" s="577"/>
      <c r="Y73" s="1147"/>
      <c r="Z73" s="1147"/>
      <c r="AA73" s="1148"/>
      <c r="AB73" s="267">
        <f t="shared" si="6"/>
        <v>5877333</v>
      </c>
      <c r="AC73" s="207">
        <f t="shared" si="7"/>
        <v>45162667</v>
      </c>
      <c r="AE73" s="1203">
        <v>262</v>
      </c>
      <c r="AF73" s="1189" t="s">
        <v>496</v>
      </c>
      <c r="AG73" s="1513" t="str">
        <f>VLOOKUP(M73,[3]Hoja2!J$48:N$75,5,0)</f>
        <v>MONICA  COY DE MARQUEZ</v>
      </c>
      <c r="AH73" s="691">
        <f t="shared" si="8"/>
        <v>39</v>
      </c>
      <c r="AI73" s="188">
        <v>51040000</v>
      </c>
      <c r="AJ73" s="1201">
        <f t="shared" si="9"/>
        <v>0</v>
      </c>
      <c r="AK73" s="1139"/>
    </row>
    <row r="74" spans="1:37" s="696" customFormat="1">
      <c r="A74" s="654" t="s">
        <v>80</v>
      </c>
      <c r="B74" s="1049">
        <f t="shared" si="10"/>
        <v>0</v>
      </c>
      <c r="C74" s="586" t="s">
        <v>44</v>
      </c>
      <c r="D74" s="586" t="s">
        <v>908</v>
      </c>
      <c r="E74" s="586" t="s">
        <v>76</v>
      </c>
      <c r="F74" s="586" t="s">
        <v>79</v>
      </c>
      <c r="G74" s="586" t="s">
        <v>77</v>
      </c>
      <c r="H74" s="1203">
        <v>263</v>
      </c>
      <c r="I74" s="1386">
        <v>0</v>
      </c>
      <c r="J74" s="1048"/>
      <c r="K74" s="1386">
        <v>358</v>
      </c>
      <c r="L74" s="1049">
        <v>34200000</v>
      </c>
      <c r="M74" s="1677">
        <v>366</v>
      </c>
      <c r="N74" s="577">
        <v>34200000</v>
      </c>
      <c r="O74" s="1607">
        <v>294</v>
      </c>
      <c r="P74" s="1146"/>
      <c r="Q74" s="1535"/>
      <c r="R74" s="1151"/>
      <c r="S74" s="577"/>
      <c r="T74" s="577"/>
      <c r="U74" s="1147"/>
      <c r="V74" s="1147"/>
      <c r="W74" s="1147"/>
      <c r="X74" s="577"/>
      <c r="Y74" s="1147"/>
      <c r="Z74" s="1147"/>
      <c r="AA74" s="1148"/>
      <c r="AB74" s="267">
        <f t="shared" si="6"/>
        <v>0</v>
      </c>
      <c r="AC74" s="207">
        <f t="shared" si="7"/>
        <v>34200000</v>
      </c>
      <c r="AE74" s="1203">
        <v>263</v>
      </c>
      <c r="AF74" s="1189" t="s">
        <v>497</v>
      </c>
      <c r="AG74" s="1515" t="s">
        <v>881</v>
      </c>
      <c r="AH74" s="691">
        <f t="shared" si="8"/>
        <v>294</v>
      </c>
      <c r="AI74" s="188">
        <v>38000000</v>
      </c>
      <c r="AJ74" s="1201">
        <f t="shared" si="9"/>
        <v>3800000</v>
      </c>
      <c r="AK74" s="1139"/>
    </row>
    <row r="75" spans="1:37" s="696" customFormat="1">
      <c r="A75" s="654" t="s">
        <v>80</v>
      </c>
      <c r="B75" s="1049">
        <f t="shared" si="10"/>
        <v>0</v>
      </c>
      <c r="C75" s="586" t="s">
        <v>44</v>
      </c>
      <c r="D75" s="586" t="s">
        <v>908</v>
      </c>
      <c r="E75" s="586" t="s">
        <v>76</v>
      </c>
      <c r="F75" s="586" t="s">
        <v>79</v>
      </c>
      <c r="G75" s="586" t="s">
        <v>77</v>
      </c>
      <c r="H75" s="1203">
        <v>264</v>
      </c>
      <c r="I75" s="1386">
        <v>0</v>
      </c>
      <c r="J75" s="1048"/>
      <c r="K75" s="1386">
        <v>32</v>
      </c>
      <c r="L75" s="1048">
        <v>41800000</v>
      </c>
      <c r="M75" s="1386">
        <v>67</v>
      </c>
      <c r="N75" s="1048">
        <v>41800000</v>
      </c>
      <c r="O75" s="1690">
        <v>47</v>
      </c>
      <c r="P75" s="1146"/>
      <c r="Q75" s="1535">
        <v>1266667</v>
      </c>
      <c r="R75" s="1151">
        <v>3800000</v>
      </c>
      <c r="S75" s="577"/>
      <c r="T75" s="577"/>
      <c r="U75" s="1147"/>
      <c r="V75" s="1147"/>
      <c r="W75" s="1147"/>
      <c r="X75" s="577"/>
      <c r="Y75" s="1147"/>
      <c r="Z75" s="1147"/>
      <c r="AA75" s="1148"/>
      <c r="AB75" s="267">
        <f t="shared" si="6"/>
        <v>5066667</v>
      </c>
      <c r="AC75" s="207">
        <f t="shared" si="7"/>
        <v>36733333</v>
      </c>
      <c r="AE75" s="1203">
        <v>264</v>
      </c>
      <c r="AF75" s="1189" t="s">
        <v>498</v>
      </c>
      <c r="AG75" s="1513" t="str">
        <f>VLOOKUP(M75,[3]Hoja2!J$48:N$75,5,0)</f>
        <v>NATALIA  ACHIARDI ORTIZ</v>
      </c>
      <c r="AH75" s="691">
        <f t="shared" si="8"/>
        <v>47</v>
      </c>
      <c r="AI75" s="188">
        <v>41800000</v>
      </c>
      <c r="AJ75" s="1201">
        <f t="shared" si="9"/>
        <v>0</v>
      </c>
      <c r="AK75" s="1139"/>
    </row>
    <row r="76" spans="1:37" s="696" customFormat="1">
      <c r="A76" s="654" t="s">
        <v>80</v>
      </c>
      <c r="B76" s="1049">
        <f t="shared" si="10"/>
        <v>0</v>
      </c>
      <c r="C76" s="586" t="s">
        <v>44</v>
      </c>
      <c r="D76" s="586" t="s">
        <v>908</v>
      </c>
      <c r="E76" s="586" t="s">
        <v>76</v>
      </c>
      <c r="F76" s="586" t="s">
        <v>79</v>
      </c>
      <c r="G76" s="586" t="s">
        <v>77</v>
      </c>
      <c r="H76" s="1203">
        <v>268</v>
      </c>
      <c r="I76" s="1386">
        <v>0</v>
      </c>
      <c r="J76" s="1048"/>
      <c r="K76" s="1386">
        <v>51</v>
      </c>
      <c r="L76" s="1048">
        <v>62700000</v>
      </c>
      <c r="M76" s="1386">
        <v>142</v>
      </c>
      <c r="N76" s="1048">
        <v>62700000</v>
      </c>
      <c r="O76" s="1690">
        <v>38</v>
      </c>
      <c r="P76" s="1146"/>
      <c r="Q76" s="1535">
        <v>1520000</v>
      </c>
      <c r="R76" s="1151">
        <v>5700000</v>
      </c>
      <c r="S76" s="577"/>
      <c r="T76" s="577"/>
      <c r="U76" s="1147"/>
      <c r="V76" s="1147"/>
      <c r="W76" s="1147"/>
      <c r="X76" s="577"/>
      <c r="Y76" s="1147"/>
      <c r="Z76" s="1147"/>
      <c r="AA76" s="1148"/>
      <c r="AB76" s="267">
        <f t="shared" si="6"/>
        <v>7220000</v>
      </c>
      <c r="AC76" s="207">
        <f t="shared" si="7"/>
        <v>55480000</v>
      </c>
      <c r="AE76" s="1203">
        <v>268</v>
      </c>
      <c r="AF76" s="1189" t="s">
        <v>499</v>
      </c>
      <c r="AG76" s="1513" t="str">
        <f>VLOOKUP(M76,[3]Hoja2!J$48:N$75,5,0)</f>
        <v>SERGIO IVAN ROJAS BERRIO</v>
      </c>
      <c r="AH76" s="691">
        <f t="shared" si="8"/>
        <v>38</v>
      </c>
      <c r="AI76" s="188">
        <v>62700000</v>
      </c>
      <c r="AJ76" s="1201">
        <f t="shared" si="9"/>
        <v>0</v>
      </c>
      <c r="AK76" s="1139"/>
    </row>
    <row r="77" spans="1:37" s="696" customFormat="1">
      <c r="A77" s="654" t="s">
        <v>80</v>
      </c>
      <c r="B77" s="1049">
        <f t="shared" si="10"/>
        <v>0</v>
      </c>
      <c r="C77" s="586" t="s">
        <v>44</v>
      </c>
      <c r="D77" s="586" t="s">
        <v>908</v>
      </c>
      <c r="E77" s="586" t="s">
        <v>76</v>
      </c>
      <c r="F77" s="586" t="s">
        <v>79</v>
      </c>
      <c r="G77" s="586" t="s">
        <v>77</v>
      </c>
      <c r="H77" s="1203">
        <v>269</v>
      </c>
      <c r="I77" s="1386">
        <v>0</v>
      </c>
      <c r="J77" s="1048"/>
      <c r="K77" s="1386"/>
      <c r="L77" s="1049"/>
      <c r="M77" s="1677"/>
      <c r="N77" s="577"/>
      <c r="O77" s="1607"/>
      <c r="P77" s="1146"/>
      <c r="Q77" s="1535"/>
      <c r="R77" s="1151"/>
      <c r="S77" s="577"/>
      <c r="T77" s="577"/>
      <c r="U77" s="1147"/>
      <c r="V77" s="1147"/>
      <c r="W77" s="1147"/>
      <c r="X77" s="577"/>
      <c r="Y77" s="1147"/>
      <c r="Z77" s="1147"/>
      <c r="AA77" s="1148"/>
      <c r="AB77" s="267">
        <f t="shared" si="6"/>
        <v>0</v>
      </c>
      <c r="AC77" s="207">
        <f t="shared" si="7"/>
        <v>0</v>
      </c>
      <c r="AE77" s="1203">
        <v>269</v>
      </c>
      <c r="AF77" s="1189" t="s">
        <v>500</v>
      </c>
      <c r="AG77" s="1515" t="s">
        <v>188</v>
      </c>
      <c r="AH77" s="691">
        <f t="shared" si="8"/>
        <v>0</v>
      </c>
      <c r="AI77" s="188">
        <v>38000000</v>
      </c>
      <c r="AJ77" s="1201">
        <f t="shared" si="9"/>
        <v>38000000</v>
      </c>
      <c r="AK77" s="1139"/>
    </row>
    <row r="78" spans="1:37" s="696" customFormat="1">
      <c r="A78" s="654" t="s">
        <v>80</v>
      </c>
      <c r="B78" s="1049">
        <f t="shared" si="10"/>
        <v>0</v>
      </c>
      <c r="C78" s="586" t="s">
        <v>44</v>
      </c>
      <c r="D78" s="586" t="s">
        <v>908</v>
      </c>
      <c r="E78" s="586" t="s">
        <v>76</v>
      </c>
      <c r="F78" s="586" t="s">
        <v>79</v>
      </c>
      <c r="G78" s="586" t="s">
        <v>77</v>
      </c>
      <c r="H78" s="1203">
        <v>271</v>
      </c>
      <c r="I78" s="1386">
        <v>0</v>
      </c>
      <c r="J78" s="1048"/>
      <c r="K78" s="1386">
        <v>188</v>
      </c>
      <c r="L78" s="1048">
        <v>101200000</v>
      </c>
      <c r="M78" s="1386">
        <v>220</v>
      </c>
      <c r="N78" s="1048">
        <v>101200000</v>
      </c>
      <c r="O78" s="1690">
        <v>192</v>
      </c>
      <c r="P78" s="1146"/>
      <c r="Q78" s="1535"/>
      <c r="R78" s="1151">
        <v>8280000</v>
      </c>
      <c r="S78" s="577"/>
      <c r="T78" s="577"/>
      <c r="U78" s="1147"/>
      <c r="V78" s="1147"/>
      <c r="W78" s="1147"/>
      <c r="X78" s="577"/>
      <c r="Y78" s="1147"/>
      <c r="Z78" s="1147"/>
      <c r="AA78" s="1148"/>
      <c r="AB78" s="267">
        <f t="shared" si="6"/>
        <v>8280000</v>
      </c>
      <c r="AC78" s="207">
        <f t="shared" si="7"/>
        <v>92920000</v>
      </c>
      <c r="AE78" s="1203">
        <v>271</v>
      </c>
      <c r="AF78" s="1189" t="s">
        <v>501</v>
      </c>
      <c r="AG78" s="1513" t="s">
        <v>788</v>
      </c>
      <c r="AH78" s="691">
        <f t="shared" si="8"/>
        <v>192</v>
      </c>
      <c r="AI78" s="188">
        <v>101200000</v>
      </c>
      <c r="AJ78" s="1201">
        <f t="shared" si="9"/>
        <v>0</v>
      </c>
      <c r="AK78" s="1139"/>
    </row>
    <row r="79" spans="1:37" s="696" customFormat="1">
      <c r="A79" s="654" t="s">
        <v>80</v>
      </c>
      <c r="B79" s="1049">
        <f t="shared" si="10"/>
        <v>0</v>
      </c>
      <c r="C79" s="586" t="s">
        <v>44</v>
      </c>
      <c r="D79" s="586" t="s">
        <v>908</v>
      </c>
      <c r="E79" s="586" t="s">
        <v>76</v>
      </c>
      <c r="F79" s="586" t="s">
        <v>79</v>
      </c>
      <c r="G79" s="586" t="s">
        <v>77</v>
      </c>
      <c r="H79" s="1203">
        <v>435</v>
      </c>
      <c r="I79" s="1386">
        <v>0</v>
      </c>
      <c r="J79" s="1048"/>
      <c r="K79" s="1677">
        <v>270</v>
      </c>
      <c r="L79" s="1048">
        <v>5100000</v>
      </c>
      <c r="M79" s="1677">
        <v>308</v>
      </c>
      <c r="N79" s="577">
        <v>5100000</v>
      </c>
      <c r="O79" s="1607">
        <v>258</v>
      </c>
      <c r="P79" s="1146"/>
      <c r="Q79" s="577"/>
      <c r="R79" s="1151"/>
      <c r="S79" s="577"/>
      <c r="T79" s="577"/>
      <c r="U79" s="1147"/>
      <c r="V79" s="1147"/>
      <c r="W79" s="1147"/>
      <c r="X79" s="577"/>
      <c r="Y79" s="1147"/>
      <c r="Z79" s="1147"/>
      <c r="AA79" s="1148"/>
      <c r="AB79" s="267">
        <f t="shared" si="6"/>
        <v>0</v>
      </c>
      <c r="AC79" s="207">
        <f t="shared" si="7"/>
        <v>5100000</v>
      </c>
      <c r="AE79" s="1203">
        <v>435</v>
      </c>
      <c r="AF79" s="1189" t="s">
        <v>548</v>
      </c>
      <c r="AG79" s="1515" t="s">
        <v>854</v>
      </c>
      <c r="AH79" s="691">
        <f t="shared" si="8"/>
        <v>258</v>
      </c>
      <c r="AI79" s="188">
        <v>5100000</v>
      </c>
      <c r="AJ79" s="1201">
        <f t="shared" si="9"/>
        <v>0</v>
      </c>
      <c r="AK79" s="1139"/>
    </row>
    <row r="80" spans="1:37" s="696" customFormat="1">
      <c r="A80" s="654" t="s">
        <v>80</v>
      </c>
      <c r="B80" s="1049">
        <f t="shared" si="10"/>
        <v>0</v>
      </c>
      <c r="C80" s="586" t="s">
        <v>44</v>
      </c>
      <c r="D80" s="586" t="s">
        <v>908</v>
      </c>
      <c r="E80" s="586" t="s">
        <v>76</v>
      </c>
      <c r="F80" s="586" t="s">
        <v>79</v>
      </c>
      <c r="G80" s="586" t="s">
        <v>77</v>
      </c>
      <c r="H80" s="1203">
        <v>436</v>
      </c>
      <c r="I80" s="1386">
        <v>0</v>
      </c>
      <c r="J80" s="1048"/>
      <c r="K80" s="1680"/>
      <c r="L80" s="1665"/>
      <c r="M80" s="1680"/>
      <c r="N80" s="577"/>
      <c r="O80" s="1607"/>
      <c r="P80" s="1146"/>
      <c r="Q80" s="1147"/>
      <c r="R80" s="577"/>
      <c r="S80" s="1147"/>
      <c r="T80" s="1147"/>
      <c r="U80" s="1147"/>
      <c r="V80" s="1147"/>
      <c r="W80" s="1147"/>
      <c r="X80" s="577"/>
      <c r="Y80" s="1147"/>
      <c r="Z80" s="1147"/>
      <c r="AA80" s="1148"/>
      <c r="AB80" s="267">
        <f t="shared" si="6"/>
        <v>0</v>
      </c>
      <c r="AC80" s="207">
        <f t="shared" si="7"/>
        <v>0</v>
      </c>
      <c r="AE80" s="1203">
        <v>436</v>
      </c>
      <c r="AF80" s="1189" t="s">
        <v>836</v>
      </c>
      <c r="AG80" s="1515" t="s">
        <v>188</v>
      </c>
      <c r="AH80" s="691">
        <f t="shared" si="8"/>
        <v>0</v>
      </c>
      <c r="AI80" s="188">
        <v>25900000</v>
      </c>
      <c r="AJ80" s="1201">
        <f t="shared" si="9"/>
        <v>25900000</v>
      </c>
      <c r="AK80" s="1139"/>
    </row>
    <row r="81" spans="1:37" s="9" customFormat="1">
      <c r="A81" s="190" t="s">
        <v>31</v>
      </c>
      <c r="B81" s="310">
        <f>B66-SUM(B67:B80)</f>
        <v>594440000</v>
      </c>
      <c r="C81" s="92"/>
      <c r="D81" s="92"/>
      <c r="E81" s="92"/>
      <c r="F81" s="92"/>
      <c r="G81" s="93"/>
      <c r="H81" s="1375"/>
      <c r="I81" s="1387"/>
      <c r="J81" s="325"/>
      <c r="K81" s="1681"/>
      <c r="L81" s="140">
        <f>SUM(L67:L80)</f>
        <v>486140000</v>
      </c>
      <c r="M81" s="1681"/>
      <c r="N81" s="140">
        <f>SUM(N67:N80)</f>
        <v>486140000</v>
      </c>
      <c r="O81" s="1693"/>
      <c r="P81" s="15">
        <f>SUM(P67:P80)</f>
        <v>0</v>
      </c>
      <c r="Q81" s="15">
        <f t="shared" ref="Q81:AC81" si="11">SUM(Q67:Q80)</f>
        <v>4024000</v>
      </c>
      <c r="R81" s="15">
        <f t="shared" si="11"/>
        <v>29566667</v>
      </c>
      <c r="S81" s="15">
        <f t="shared" si="11"/>
        <v>0</v>
      </c>
      <c r="T81" s="15">
        <f t="shared" si="11"/>
        <v>0</v>
      </c>
      <c r="U81" s="15">
        <f t="shared" si="11"/>
        <v>0</v>
      </c>
      <c r="V81" s="15">
        <f t="shared" si="11"/>
        <v>0</v>
      </c>
      <c r="W81" s="15">
        <f t="shared" si="11"/>
        <v>0</v>
      </c>
      <c r="X81" s="15">
        <f t="shared" si="11"/>
        <v>0</v>
      </c>
      <c r="Y81" s="15">
        <f t="shared" si="11"/>
        <v>0</v>
      </c>
      <c r="Z81" s="15">
        <f t="shared" si="11"/>
        <v>0</v>
      </c>
      <c r="AA81" s="15">
        <f t="shared" si="11"/>
        <v>0</v>
      </c>
      <c r="AB81" s="15">
        <f t="shared" si="11"/>
        <v>33590667</v>
      </c>
      <c r="AC81" s="15">
        <f t="shared" si="11"/>
        <v>452549333</v>
      </c>
      <c r="AE81" s="1180"/>
      <c r="AF81" s="1166"/>
      <c r="AG81" s="1516"/>
      <c r="AH81" s="119"/>
      <c r="AI81" s="15">
        <f>SUM(AI67:AI80)</f>
        <v>594440000</v>
      </c>
      <c r="AJ81" s="206">
        <f>SUM(AJ67:AJ80)</f>
        <v>108300000</v>
      </c>
      <c r="AK81" s="1139">
        <f>B66-AI81</f>
        <v>0</v>
      </c>
    </row>
    <row r="82" spans="1:37" s="7" customFormat="1" ht="76.5">
      <c r="A82" s="713" t="s">
        <v>81</v>
      </c>
      <c r="B82" s="560">
        <v>222860000</v>
      </c>
      <c r="C82" s="1706" t="s">
        <v>44</v>
      </c>
      <c r="D82" s="1706" t="s">
        <v>908</v>
      </c>
      <c r="E82" s="704" t="s">
        <v>76</v>
      </c>
      <c r="F82" s="704" t="s">
        <v>456</v>
      </c>
      <c r="G82" s="704" t="s">
        <v>77</v>
      </c>
      <c r="H82" s="1376"/>
      <c r="I82" s="594">
        <v>0</v>
      </c>
      <c r="J82" s="593"/>
      <c r="K82" s="1394"/>
      <c r="L82" s="1396"/>
      <c r="M82" s="1394"/>
      <c r="N82" s="613"/>
      <c r="O82" s="1464"/>
      <c r="P82" s="705"/>
      <c r="Q82" s="592"/>
      <c r="R82" s="1396"/>
      <c r="S82" s="592"/>
      <c r="T82" s="592"/>
      <c r="U82" s="592"/>
      <c r="V82" s="592"/>
      <c r="W82" s="593"/>
      <c r="X82" s="613"/>
      <c r="Y82" s="593"/>
      <c r="Z82" s="593"/>
      <c r="AA82" s="714"/>
      <c r="AB82" s="1034"/>
      <c r="AC82" s="714"/>
      <c r="AE82" s="1198"/>
      <c r="AF82" s="1188"/>
      <c r="AG82" s="1512"/>
      <c r="AH82" s="1458"/>
      <c r="AI82" s="1126"/>
      <c r="AJ82" s="1199"/>
      <c r="AK82" s="1139"/>
    </row>
    <row r="83" spans="1:37" s="696" customFormat="1">
      <c r="A83" s="1145" t="s">
        <v>81</v>
      </c>
      <c r="B83" s="1049">
        <f>L83</f>
        <v>101200000</v>
      </c>
      <c r="C83" s="592" t="s">
        <v>44</v>
      </c>
      <c r="D83" s="592" t="s">
        <v>908</v>
      </c>
      <c r="E83" s="592" t="s">
        <v>76</v>
      </c>
      <c r="F83" s="592" t="s">
        <v>456</v>
      </c>
      <c r="G83" s="592" t="s">
        <v>77</v>
      </c>
      <c r="H83" s="1204">
        <v>261</v>
      </c>
      <c r="I83" s="1386">
        <v>0</v>
      </c>
      <c r="J83" s="1048"/>
      <c r="K83" s="1386">
        <v>58</v>
      </c>
      <c r="L83" s="1048">
        <v>101200000</v>
      </c>
      <c r="M83" s="1386">
        <v>47</v>
      </c>
      <c r="N83" s="1048">
        <v>101200000</v>
      </c>
      <c r="O83" s="1690">
        <v>46</v>
      </c>
      <c r="P83" s="1146"/>
      <c r="Q83" s="1535">
        <v>1840000</v>
      </c>
      <c r="R83" s="1151">
        <v>9200000</v>
      </c>
      <c r="S83" s="1147"/>
      <c r="T83" s="1147"/>
      <c r="U83" s="1147"/>
      <c r="V83" s="1147"/>
      <c r="W83" s="1147"/>
      <c r="X83" s="577"/>
      <c r="Y83" s="1147"/>
      <c r="Z83" s="1147"/>
      <c r="AA83" s="1148"/>
      <c r="AB83" s="267">
        <f>SUM(P83:AA83)</f>
        <v>11040000</v>
      </c>
      <c r="AC83" s="207">
        <f>N83-AB83</f>
        <v>90160000</v>
      </c>
      <c r="AE83" s="1204">
        <v>261</v>
      </c>
      <c r="AF83" s="1190" t="s">
        <v>502</v>
      </c>
      <c r="AG83" s="1513" t="s">
        <v>834</v>
      </c>
      <c r="AH83" s="691">
        <f>O83</f>
        <v>46</v>
      </c>
      <c r="AI83" s="695">
        <v>101200000</v>
      </c>
      <c r="AJ83" s="1201">
        <f>AI83-N83</f>
        <v>0</v>
      </c>
      <c r="AK83" s="1139"/>
    </row>
    <row r="84" spans="1:37" s="696" customFormat="1">
      <c r="A84" s="1145" t="s">
        <v>81</v>
      </c>
      <c r="B84" s="1049">
        <f>L84</f>
        <v>44660000</v>
      </c>
      <c r="C84" s="592" t="s">
        <v>44</v>
      </c>
      <c r="D84" s="592" t="s">
        <v>908</v>
      </c>
      <c r="E84" s="592" t="s">
        <v>76</v>
      </c>
      <c r="F84" s="592" t="s">
        <v>456</v>
      </c>
      <c r="G84" s="592" t="s">
        <v>77</v>
      </c>
      <c r="H84" s="1204">
        <v>265</v>
      </c>
      <c r="I84" s="1386">
        <v>0</v>
      </c>
      <c r="J84" s="1048"/>
      <c r="K84" s="1386">
        <v>72</v>
      </c>
      <c r="L84" s="1048">
        <v>44660000</v>
      </c>
      <c r="M84" s="1386">
        <v>43</v>
      </c>
      <c r="N84" s="1048">
        <v>44660000</v>
      </c>
      <c r="O84" s="1690">
        <v>54</v>
      </c>
      <c r="P84" s="1146"/>
      <c r="Q84" s="1535">
        <v>1218000</v>
      </c>
      <c r="R84" s="1151">
        <v>4060000</v>
      </c>
      <c r="S84" s="1147"/>
      <c r="T84" s="1147"/>
      <c r="U84" s="1147"/>
      <c r="V84" s="1147"/>
      <c r="W84" s="1147"/>
      <c r="X84" s="577"/>
      <c r="Y84" s="1147"/>
      <c r="Z84" s="1147"/>
      <c r="AA84" s="1148"/>
      <c r="AB84" s="267">
        <f>SUM(P84:AA84)</f>
        <v>5278000</v>
      </c>
      <c r="AC84" s="207">
        <f>N84-AB84</f>
        <v>39382000</v>
      </c>
      <c r="AE84" s="1204">
        <v>265</v>
      </c>
      <c r="AF84" s="1190" t="s">
        <v>503</v>
      </c>
      <c r="AG84" s="1513" t="s">
        <v>835</v>
      </c>
      <c r="AH84" s="691">
        <f>O84</f>
        <v>54</v>
      </c>
      <c r="AI84" s="695">
        <v>44660000</v>
      </c>
      <c r="AJ84" s="1201">
        <f>AI84-N84</f>
        <v>0</v>
      </c>
      <c r="AK84" s="1139"/>
    </row>
    <row r="85" spans="1:37" s="696" customFormat="1">
      <c r="A85" s="1145" t="s">
        <v>81</v>
      </c>
      <c r="B85" s="1049">
        <f>L85</f>
        <v>77000000</v>
      </c>
      <c r="C85" s="592" t="s">
        <v>44</v>
      </c>
      <c r="D85" s="592" t="s">
        <v>908</v>
      </c>
      <c r="E85" s="592" t="s">
        <v>76</v>
      </c>
      <c r="F85" s="592" t="s">
        <v>456</v>
      </c>
      <c r="G85" s="592" t="s">
        <v>77</v>
      </c>
      <c r="H85" s="1204">
        <v>266</v>
      </c>
      <c r="I85" s="1386">
        <v>0</v>
      </c>
      <c r="J85" s="1048"/>
      <c r="K85" s="1386">
        <v>73</v>
      </c>
      <c r="L85" s="1048">
        <v>77000000</v>
      </c>
      <c r="M85" s="1386">
        <v>137</v>
      </c>
      <c r="N85" s="1048">
        <v>77000000</v>
      </c>
      <c r="O85" s="1690">
        <v>79</v>
      </c>
      <c r="P85" s="1146"/>
      <c r="Q85" s="1535">
        <v>1866667</v>
      </c>
      <c r="R85" s="1151">
        <v>7000000</v>
      </c>
      <c r="S85" s="1147"/>
      <c r="T85" s="1147"/>
      <c r="U85" s="1147"/>
      <c r="V85" s="1147"/>
      <c r="W85" s="1147"/>
      <c r="X85" s="577"/>
      <c r="Y85" s="1147"/>
      <c r="Z85" s="1147"/>
      <c r="AA85" s="1148"/>
      <c r="AB85" s="267">
        <f>SUM(P85:AA85)</f>
        <v>8866667</v>
      </c>
      <c r="AC85" s="207">
        <f>N85-AB85</f>
        <v>68133333</v>
      </c>
      <c r="AE85" s="1204">
        <v>266</v>
      </c>
      <c r="AF85" s="1190" t="s">
        <v>504</v>
      </c>
      <c r="AG85" s="1515" t="s">
        <v>188</v>
      </c>
      <c r="AH85" s="691">
        <f>O85</f>
        <v>79</v>
      </c>
      <c r="AI85" s="695">
        <v>77000000</v>
      </c>
      <c r="AJ85" s="1201">
        <f>AI85-N85</f>
        <v>0</v>
      </c>
      <c r="AK85" s="1139"/>
    </row>
    <row r="86" spans="1:37" s="696" customFormat="1">
      <c r="A86" s="1145" t="s">
        <v>81</v>
      </c>
      <c r="B86" s="1049">
        <f>L86</f>
        <v>0</v>
      </c>
      <c r="C86" s="592" t="s">
        <v>44</v>
      </c>
      <c r="D86" s="592" t="s">
        <v>908</v>
      </c>
      <c r="E86" s="592" t="s">
        <v>76</v>
      </c>
      <c r="F86" s="592" t="s">
        <v>456</v>
      </c>
      <c r="G86" s="592" t="s">
        <v>77</v>
      </c>
      <c r="H86" s="1393" t="s">
        <v>188</v>
      </c>
      <c r="I86" s="1386">
        <v>0</v>
      </c>
      <c r="J86" s="1048"/>
      <c r="K86" s="1680"/>
      <c r="L86" s="1665"/>
      <c r="M86" s="1680"/>
      <c r="N86" s="577"/>
      <c r="O86" s="1607"/>
      <c r="P86" s="1146"/>
      <c r="Q86" s="1147"/>
      <c r="R86" s="577"/>
      <c r="S86" s="1147"/>
      <c r="T86" s="1147"/>
      <c r="U86" s="1147"/>
      <c r="V86" s="1147"/>
      <c r="W86" s="1147"/>
      <c r="X86" s="577"/>
      <c r="Y86" s="1147"/>
      <c r="Z86" s="1147"/>
      <c r="AA86" s="1148"/>
      <c r="AB86" s="267">
        <f>SUM(P86:AA86)</f>
        <v>0</v>
      </c>
      <c r="AC86" s="207">
        <f>N86-AB86</f>
        <v>0</v>
      </c>
      <c r="AE86" s="1205"/>
      <c r="AF86" s="1190"/>
      <c r="AG86" s="1517"/>
      <c r="AH86" s="691">
        <f>O86</f>
        <v>0</v>
      </c>
      <c r="AI86" s="695"/>
      <c r="AJ86" s="1201">
        <f>AI86-N86</f>
        <v>0</v>
      </c>
      <c r="AK86" s="1139"/>
    </row>
    <row r="87" spans="1:37">
      <c r="A87" s="181" t="s">
        <v>31</v>
      </c>
      <c r="B87" s="1165">
        <f>B82-SUM(B83:B86)</f>
        <v>0</v>
      </c>
      <c r="C87" s="60"/>
      <c r="D87" s="60"/>
      <c r="E87" s="60"/>
      <c r="F87" s="60"/>
      <c r="G87" s="61"/>
      <c r="H87" s="1377"/>
      <c r="I87" s="1384"/>
      <c r="J87" s="531"/>
      <c r="K87" s="1678"/>
      <c r="L87" s="1165">
        <f>SUM(L83:L86)</f>
        <v>222860000</v>
      </c>
      <c r="M87" s="1678"/>
      <c r="N87" s="1165">
        <f>SUM(N83:N86)</f>
        <v>222860000</v>
      </c>
      <c r="O87" s="1692"/>
      <c r="P87" s="298">
        <f t="shared" ref="P87:AC87" si="12">SUM(P83:P86)</f>
        <v>0</v>
      </c>
      <c r="Q87" s="57">
        <f t="shared" si="12"/>
        <v>4924667</v>
      </c>
      <c r="R87" s="57">
        <f t="shared" si="12"/>
        <v>20260000</v>
      </c>
      <c r="S87" s="57">
        <f t="shared" si="12"/>
        <v>0</v>
      </c>
      <c r="T87" s="57">
        <f t="shared" si="12"/>
        <v>0</v>
      </c>
      <c r="U87" s="57">
        <f t="shared" si="12"/>
        <v>0</v>
      </c>
      <c r="V87" s="57">
        <f t="shared" si="12"/>
        <v>0</v>
      </c>
      <c r="W87" s="57">
        <f t="shared" si="12"/>
        <v>0</v>
      </c>
      <c r="X87" s="57">
        <f t="shared" si="12"/>
        <v>0</v>
      </c>
      <c r="Y87" s="57">
        <f t="shared" si="12"/>
        <v>0</v>
      </c>
      <c r="Z87" s="57">
        <f>SUM(Z83:Z86)</f>
        <v>0</v>
      </c>
      <c r="AA87" s="205">
        <f t="shared" si="12"/>
        <v>0</v>
      </c>
      <c r="AB87" s="298">
        <f t="shared" si="12"/>
        <v>25184667</v>
      </c>
      <c r="AC87" s="205">
        <f t="shared" si="12"/>
        <v>197675333</v>
      </c>
      <c r="AE87" s="1202"/>
      <c r="AF87" s="57"/>
      <c r="AG87" s="1514"/>
      <c r="AH87" s="401"/>
      <c r="AI87" s="57">
        <f>SUM(AI83:AI86)</f>
        <v>222860000</v>
      </c>
      <c r="AJ87" s="205">
        <f>SUM(AJ83:AJ86)</f>
        <v>0</v>
      </c>
      <c r="AK87" s="1140">
        <f>B82-AI87</f>
        <v>0</v>
      </c>
    </row>
    <row r="88" spans="1:37" s="9" customFormat="1">
      <c r="A88" s="715"/>
      <c r="B88" s="166"/>
      <c r="C88" s="295"/>
      <c r="D88" s="296"/>
      <c r="E88" s="295"/>
      <c r="F88" s="295"/>
      <c r="G88" s="297"/>
      <c r="H88" s="1378"/>
      <c r="I88" s="1388"/>
      <c r="J88" s="550"/>
      <c r="K88" s="1682"/>
      <c r="L88" s="166"/>
      <c r="M88" s="1685"/>
      <c r="N88" s="595"/>
      <c r="O88" s="1691"/>
      <c r="P88" s="596"/>
      <c r="Q88" s="597"/>
      <c r="R88" s="595"/>
      <c r="S88" s="597"/>
      <c r="T88" s="597"/>
      <c r="U88" s="597"/>
      <c r="V88" s="597"/>
      <c r="W88" s="597"/>
      <c r="X88" s="595"/>
      <c r="Y88" s="597"/>
      <c r="Z88" s="597"/>
      <c r="AA88" s="598"/>
      <c r="AB88" s="596"/>
      <c r="AC88" s="598"/>
      <c r="AE88" s="1206"/>
      <c r="AF88" s="1190"/>
      <c r="AG88" s="1517"/>
      <c r="AH88" s="1113"/>
      <c r="AI88" s="356"/>
      <c r="AJ88" s="1207"/>
      <c r="AK88" s="1139"/>
    </row>
    <row r="89" spans="1:37" ht="13.5" thickBot="1">
      <c r="A89" s="637" t="s">
        <v>185</v>
      </c>
      <c r="B89" s="143">
        <f>B16+B66+B82</f>
        <v>2424000000</v>
      </c>
      <c r="C89" s="16"/>
      <c r="D89" s="17"/>
      <c r="E89" s="16"/>
      <c r="F89" s="16"/>
      <c r="G89" s="18"/>
      <c r="H89" s="1379"/>
      <c r="I89" s="1389"/>
      <c r="J89" s="559"/>
      <c r="K89" s="1392"/>
      <c r="L89" s="16">
        <f>L65+L81+L87</f>
        <v>1989943333</v>
      </c>
      <c r="M89" s="1686"/>
      <c r="N89" s="143">
        <f>N65+N81+N87</f>
        <v>1882843333</v>
      </c>
      <c r="O89" s="1694"/>
      <c r="P89" s="299">
        <f t="shared" ref="P89:AC89" si="13">P65+P81+P87</f>
        <v>0</v>
      </c>
      <c r="Q89" s="19">
        <f t="shared" si="13"/>
        <v>31318667</v>
      </c>
      <c r="R89" s="19">
        <f t="shared" si="13"/>
        <v>175481000</v>
      </c>
      <c r="S89" s="19">
        <f t="shared" si="13"/>
        <v>0</v>
      </c>
      <c r="T89" s="19">
        <f t="shared" si="13"/>
        <v>0</v>
      </c>
      <c r="U89" s="128">
        <f t="shared" si="13"/>
        <v>0</v>
      </c>
      <c r="V89" s="128">
        <f t="shared" si="13"/>
        <v>0</v>
      </c>
      <c r="W89" s="128">
        <f t="shared" si="13"/>
        <v>0</v>
      </c>
      <c r="X89" s="128">
        <f t="shared" si="13"/>
        <v>0</v>
      </c>
      <c r="Y89" s="128">
        <f t="shared" si="13"/>
        <v>0</v>
      </c>
      <c r="Z89" s="128">
        <f t="shared" si="13"/>
        <v>0</v>
      </c>
      <c r="AA89" s="405">
        <f t="shared" si="13"/>
        <v>0</v>
      </c>
      <c r="AB89" s="1035">
        <f t="shared" si="13"/>
        <v>206799667</v>
      </c>
      <c r="AC89" s="405">
        <f t="shared" si="13"/>
        <v>1676043666</v>
      </c>
      <c r="AE89" s="1208"/>
      <c r="AF89" s="1209"/>
      <c r="AG89" s="1518"/>
      <c r="AH89" s="1460"/>
      <c r="AI89" s="1035">
        <f>AI65+AI81+AI87</f>
        <v>2424000000</v>
      </c>
      <c r="AJ89" s="1035">
        <f>AJ65+AJ81+AJ87</f>
        <v>541156667</v>
      </c>
      <c r="AK89" s="1269">
        <f>AK65+AK81+AK87</f>
        <v>0</v>
      </c>
    </row>
    <row r="90" spans="1:37" hidden="1">
      <c r="A90" s="20"/>
      <c r="B90" s="144"/>
      <c r="C90" s="1499"/>
      <c r="D90" s="1499"/>
      <c r="E90" s="1499"/>
      <c r="F90" s="1499"/>
      <c r="G90" s="1499"/>
      <c r="H90" s="1329"/>
      <c r="I90" s="1329"/>
      <c r="J90" s="144"/>
      <c r="K90" s="1329"/>
      <c r="L90" s="1652"/>
      <c r="M90" s="1329"/>
      <c r="N90" s="716"/>
      <c r="O90" s="1675"/>
      <c r="P90" s="718"/>
      <c r="Q90" s="718"/>
      <c r="R90" s="716"/>
      <c r="S90" s="718"/>
      <c r="T90" s="718"/>
      <c r="U90" s="718"/>
      <c r="V90" s="718"/>
      <c r="W90" s="718"/>
      <c r="X90" s="716"/>
      <c r="Y90" s="718"/>
      <c r="Z90" s="718"/>
      <c r="AA90" s="718"/>
      <c r="AB90" s="718"/>
      <c r="AC90" s="719"/>
    </row>
    <row r="91" spans="1:37" hidden="1">
      <c r="A91" s="20"/>
      <c r="B91" s="144"/>
      <c r="C91" s="1499"/>
      <c r="D91" s="1499"/>
      <c r="E91" s="1499"/>
      <c r="F91" s="1499"/>
      <c r="G91" s="1499"/>
      <c r="H91" s="1329"/>
      <c r="I91" s="1329"/>
      <c r="J91" s="144"/>
      <c r="K91" s="1329"/>
      <c r="L91" s="1652"/>
      <c r="M91" s="1329"/>
      <c r="N91" s="716"/>
      <c r="O91" s="1675"/>
      <c r="P91" s="718"/>
      <c r="Q91" s="718"/>
      <c r="R91" s="716"/>
      <c r="S91" s="718"/>
      <c r="T91" s="718"/>
      <c r="U91" s="718"/>
      <c r="V91" s="718"/>
      <c r="W91" s="718"/>
      <c r="X91" s="716"/>
      <c r="Y91" s="718"/>
      <c r="Z91" s="718"/>
      <c r="AA91" s="718"/>
      <c r="AB91" s="718"/>
      <c r="AC91" s="719"/>
    </row>
    <row r="92" spans="1:37">
      <c r="A92" s="20"/>
      <c r="B92" s="144"/>
      <c r="C92" s="1499"/>
      <c r="D92" s="1499"/>
      <c r="E92" s="1499"/>
      <c r="F92" s="1499"/>
      <c r="G92" s="1499"/>
      <c r="H92" s="1329"/>
      <c r="I92" s="1329"/>
      <c r="J92" s="144"/>
      <c r="K92" s="1329"/>
      <c r="L92" s="1652"/>
      <c r="M92" s="1329"/>
      <c r="N92" s="716"/>
      <c r="O92" s="1675"/>
      <c r="P92" s="718"/>
      <c r="Q92" s="718"/>
      <c r="R92" s="716"/>
      <c r="S92" s="718"/>
      <c r="T92" s="718"/>
      <c r="U92" s="718"/>
      <c r="V92" s="718"/>
      <c r="W92" s="718"/>
      <c r="X92" s="716"/>
      <c r="Y92" s="718"/>
      <c r="Z92" s="718"/>
      <c r="AA92" s="718"/>
      <c r="AB92" s="718"/>
      <c r="AC92" s="719"/>
    </row>
    <row r="93" spans="1:37">
      <c r="A93" s="20"/>
      <c r="B93" s="144"/>
      <c r="C93" s="1499"/>
      <c r="D93" s="1499"/>
      <c r="E93" s="1499"/>
      <c r="F93" s="1499"/>
      <c r="G93" s="1499"/>
      <c r="H93" s="1329"/>
      <c r="I93" s="1329"/>
      <c r="J93" s="144"/>
      <c r="K93" s="1329"/>
      <c r="L93" s="1652"/>
      <c r="M93" s="1329"/>
      <c r="N93" s="716"/>
      <c r="O93" s="1675"/>
      <c r="P93" s="718"/>
      <c r="Q93" s="718"/>
      <c r="R93" s="716"/>
      <c r="S93" s="718"/>
      <c r="T93" s="718"/>
      <c r="U93" s="718"/>
      <c r="V93" s="718"/>
      <c r="W93" s="718"/>
      <c r="X93" s="716"/>
      <c r="Y93" s="718"/>
      <c r="Z93" s="718"/>
      <c r="AA93" s="718"/>
      <c r="AB93" s="718"/>
      <c r="AC93" s="719"/>
    </row>
    <row r="94" spans="1:37" s="148" customFormat="1" ht="31.5" customHeight="1">
      <c r="A94" s="24" t="s">
        <v>37</v>
      </c>
      <c r="B94" s="145" t="s">
        <v>19</v>
      </c>
      <c r="C94" s="604"/>
      <c r="D94" s="604"/>
      <c r="E94" s="604"/>
      <c r="F94" s="604"/>
      <c r="G94" s="608"/>
      <c r="H94" s="324"/>
      <c r="I94" s="1390"/>
      <c r="J94" s="544"/>
      <c r="K94" s="1390"/>
      <c r="L94" s="1666" t="s">
        <v>24</v>
      </c>
      <c r="M94" s="1687" t="s">
        <v>25</v>
      </c>
      <c r="N94" s="1670" t="s">
        <v>26</v>
      </c>
      <c r="O94" s="1696" t="s">
        <v>136</v>
      </c>
      <c r="P94" s="1613">
        <v>0</v>
      </c>
      <c r="Q94" s="1613">
        <v>31318667</v>
      </c>
      <c r="R94" s="1613">
        <v>175481000</v>
      </c>
      <c r="S94" s="1613"/>
      <c r="T94" s="1613"/>
      <c r="U94" s="1613"/>
      <c r="V94" s="1612"/>
      <c r="W94" s="1612"/>
      <c r="X94" s="1613"/>
      <c r="Y94" s="1613"/>
      <c r="Z94" s="1613"/>
      <c r="AA94" s="1613"/>
      <c r="AB94" s="1613">
        <f>SUM(P94:AA94)</f>
        <v>206799667</v>
      </c>
      <c r="AC94" s="720">
        <f>N89-AB94</f>
        <v>1676043666</v>
      </c>
      <c r="AF94" s="1162"/>
      <c r="AG94" s="1519"/>
      <c r="AH94" s="1462"/>
      <c r="AI94" s="607"/>
      <c r="AJ94" s="607"/>
      <c r="AK94" s="1140"/>
    </row>
    <row r="95" spans="1:37">
      <c r="A95" s="27" t="s">
        <v>38</v>
      </c>
      <c r="B95" s="82">
        <f>B16+B66+B82</f>
        <v>2424000000</v>
      </c>
      <c r="C95" s="652"/>
      <c r="D95" s="652"/>
      <c r="E95" s="652"/>
      <c r="F95" s="652"/>
      <c r="G95" s="617"/>
      <c r="H95" s="1335"/>
      <c r="I95" s="324"/>
      <c r="J95" s="254"/>
      <c r="K95" s="324"/>
      <c r="L95" s="1667">
        <f>L89</f>
        <v>1989943333</v>
      </c>
      <c r="M95" s="1667">
        <f>N89</f>
        <v>1882843333</v>
      </c>
      <c r="N95" s="1667">
        <f>AB89</f>
        <v>206799667</v>
      </c>
      <c r="O95" s="1675"/>
      <c r="P95" s="718"/>
      <c r="Q95" s="718"/>
      <c r="R95" s="716"/>
      <c r="S95" s="718"/>
      <c r="T95" s="718"/>
      <c r="U95" s="718"/>
      <c r="V95" s="718"/>
      <c r="W95" s="718"/>
      <c r="X95" s="716"/>
      <c r="Y95" s="718"/>
      <c r="Z95" s="718"/>
      <c r="AA95" s="718"/>
      <c r="AB95" s="718"/>
      <c r="AC95" s="719"/>
    </row>
    <row r="96" spans="1:37" s="408" customFormat="1" ht="15">
      <c r="A96" s="406"/>
      <c r="B96" s="568"/>
      <c r="C96" s="1716" t="s">
        <v>144</v>
      </c>
      <c r="D96" s="1748"/>
      <c r="F96" s="1748" t="s">
        <v>141</v>
      </c>
      <c r="G96" s="1748"/>
      <c r="H96" s="1380"/>
      <c r="I96" s="1391"/>
      <c r="J96" s="568"/>
      <c r="K96" s="1683"/>
      <c r="L96" s="1668"/>
      <c r="M96" s="1688" t="s">
        <v>38</v>
      </c>
      <c r="N96" s="1667">
        <f>N89</f>
        <v>1882843333</v>
      </c>
      <c r="O96" s="1675"/>
      <c r="P96" s="407">
        <f t="shared" ref="P96:AA96" si="14">P65+P81+P87</f>
        <v>0</v>
      </c>
      <c r="Q96" s="407">
        <f t="shared" si="14"/>
        <v>31318667</v>
      </c>
      <c r="R96" s="407">
        <f t="shared" si="14"/>
        <v>175481000</v>
      </c>
      <c r="S96" s="407">
        <f t="shared" si="14"/>
        <v>0</v>
      </c>
      <c r="T96" s="407">
        <f t="shared" si="14"/>
        <v>0</v>
      </c>
      <c r="U96" s="407">
        <f t="shared" si="14"/>
        <v>0</v>
      </c>
      <c r="V96" s="407">
        <f t="shared" si="14"/>
        <v>0</v>
      </c>
      <c r="W96" s="407">
        <f t="shared" si="14"/>
        <v>0</v>
      </c>
      <c r="X96" s="407">
        <f t="shared" si="14"/>
        <v>0</v>
      </c>
      <c r="Y96" s="407">
        <f t="shared" si="14"/>
        <v>0</v>
      </c>
      <c r="Z96" s="407">
        <f t="shared" si="14"/>
        <v>0</v>
      </c>
      <c r="AA96" s="407">
        <f t="shared" si="14"/>
        <v>0</v>
      </c>
      <c r="AB96" s="407">
        <f>SUM(P96:AA96)</f>
        <v>206799667</v>
      </c>
      <c r="AC96" s="721">
        <f>N96-AB96</f>
        <v>1676043666</v>
      </c>
      <c r="AF96" s="1163"/>
      <c r="AG96" s="1520"/>
      <c r="AH96" s="1465"/>
      <c r="AI96" s="409"/>
      <c r="AJ96" s="409"/>
      <c r="AK96" s="1159"/>
    </row>
    <row r="97" spans="1:29" ht="14.25">
      <c r="A97" s="64"/>
      <c r="B97" s="364"/>
      <c r="C97" s="1771" t="s">
        <v>457</v>
      </c>
      <c r="D97" s="1771"/>
      <c r="F97" s="1771" t="s">
        <v>142</v>
      </c>
      <c r="G97" s="1771"/>
      <c r="H97" s="1381"/>
      <c r="I97" s="717"/>
      <c r="J97" s="553"/>
      <c r="K97" s="1675"/>
      <c r="L97" s="1660"/>
      <c r="M97" s="1675"/>
      <c r="N97" s="716"/>
      <c r="O97" s="1675"/>
      <c r="P97" s="718"/>
      <c r="Q97" s="718"/>
      <c r="R97" s="716">
        <f>R94-R89</f>
        <v>0</v>
      </c>
      <c r="S97" s="718"/>
      <c r="T97" s="718"/>
      <c r="U97" s="718"/>
      <c r="V97" s="718"/>
      <c r="W97" s="718">
        <f>W96-W94</f>
        <v>0</v>
      </c>
      <c r="X97" s="716"/>
      <c r="Y97" s="718"/>
      <c r="Z97" s="718"/>
      <c r="AA97" s="718"/>
      <c r="AB97" s="718"/>
      <c r="AC97" s="719"/>
    </row>
    <row r="98" spans="1:29">
      <c r="A98" s="64"/>
      <c r="B98" s="364"/>
      <c r="C98" s="66"/>
      <c r="D98" s="66"/>
      <c r="E98" s="66"/>
      <c r="F98" s="66"/>
      <c r="G98" s="66"/>
      <c r="H98" s="404"/>
      <c r="I98" s="717"/>
      <c r="J98" s="553"/>
      <c r="K98" s="1675"/>
      <c r="L98" s="1660"/>
      <c r="M98" s="1675"/>
      <c r="N98" s="716"/>
      <c r="O98" s="1675"/>
      <c r="P98" s="718"/>
      <c r="Q98" s="718"/>
      <c r="R98" s="716"/>
      <c r="S98" s="718"/>
      <c r="T98" s="718"/>
      <c r="U98" s="718"/>
      <c r="V98" s="718"/>
      <c r="W98" s="718"/>
      <c r="X98" s="716"/>
      <c r="Y98" s="718"/>
      <c r="Z98" s="718"/>
      <c r="AA98" s="718"/>
      <c r="AB98" s="718"/>
      <c r="AC98" s="719"/>
    </row>
    <row r="99" spans="1:29" ht="14.25" customHeight="1" thickBot="1">
      <c r="A99" s="1030" t="s">
        <v>39</v>
      </c>
      <c r="B99" s="644"/>
      <c r="C99" s="68"/>
      <c r="D99" s="69"/>
      <c r="E99" s="70"/>
      <c r="F99" s="71"/>
      <c r="G99" s="71"/>
      <c r="H99" s="1382"/>
      <c r="I99" s="723"/>
      <c r="J99" s="569"/>
      <c r="K99" s="647"/>
      <c r="L99" s="645"/>
      <c r="M99" s="647"/>
      <c r="N99" s="722"/>
      <c r="O99" s="647"/>
      <c r="P99" s="724"/>
      <c r="Q99" s="724"/>
      <c r="R99" s="722"/>
      <c r="S99" s="724"/>
      <c r="T99" s="724"/>
      <c r="U99" s="724"/>
      <c r="V99" s="724"/>
      <c r="W99" s="724"/>
      <c r="X99" s="722"/>
      <c r="Y99" s="724"/>
      <c r="Z99" s="724"/>
      <c r="AA99" s="724"/>
      <c r="AB99" s="724"/>
      <c r="AC99" s="725"/>
    </row>
    <row r="100" spans="1:29">
      <c r="F100" s="30"/>
      <c r="L100" s="412">
        <v>1989943333</v>
      </c>
      <c r="M100" s="412">
        <v>1882843333</v>
      </c>
      <c r="N100" s="614">
        <f>N95</f>
        <v>206799667</v>
      </c>
    </row>
    <row r="101" spans="1:29">
      <c r="L101" s="412">
        <f>L100-L95</f>
        <v>0</v>
      </c>
      <c r="M101" s="412">
        <f>M100-M95</f>
        <v>0</v>
      </c>
      <c r="N101" s="614">
        <f>N100-N95</f>
        <v>0</v>
      </c>
    </row>
    <row r="102" spans="1:29">
      <c r="L102" s="412"/>
      <c r="M102" s="527"/>
      <c r="N102" s="614"/>
    </row>
    <row r="104" spans="1:29">
      <c r="A104" s="31"/>
      <c r="B104" s="146"/>
      <c r="C104" s="33"/>
      <c r="D104" s="34"/>
    </row>
    <row r="105" spans="1:29" ht="15">
      <c r="A105" s="35"/>
      <c r="B105" s="147"/>
      <c r="C105" s="1712" t="s">
        <v>125</v>
      </c>
      <c r="D105" s="38"/>
    </row>
    <row r="106" spans="1:29" ht="15">
      <c r="A106" s="1709" t="s">
        <v>162</v>
      </c>
      <c r="B106" s="409">
        <f>B16</f>
        <v>1606700000</v>
      </c>
      <c r="C106" s="1713">
        <f>N65</f>
        <v>1173843333</v>
      </c>
      <c r="D106" s="38"/>
    </row>
    <row r="107" spans="1:29" ht="15">
      <c r="A107" s="1709" t="s">
        <v>163</v>
      </c>
      <c r="B107" s="409">
        <f>B66</f>
        <v>594440000</v>
      </c>
      <c r="C107" s="1713">
        <f>N81</f>
        <v>486140000</v>
      </c>
      <c r="D107" s="38"/>
    </row>
    <row r="108" spans="1:29" ht="15">
      <c r="A108" s="1709" t="s">
        <v>164</v>
      </c>
      <c r="B108" s="409">
        <f>B82</f>
        <v>222860000</v>
      </c>
      <c r="C108" s="1714">
        <f>N87</f>
        <v>222860000</v>
      </c>
    </row>
    <row r="109" spans="1:29" ht="15">
      <c r="A109" s="1710" t="s">
        <v>644</v>
      </c>
      <c r="B109" s="1711">
        <f>SUM(B106:B108)</f>
        <v>2424000000</v>
      </c>
      <c r="C109" s="1715">
        <f>SUM(C106:C108)</f>
        <v>1882843333</v>
      </c>
    </row>
    <row r="110" spans="1:29" ht="14.25">
      <c r="A110" s="408"/>
      <c r="B110" s="409"/>
    </row>
    <row r="111" spans="1:29" ht="14.25">
      <c r="A111" s="408"/>
      <c r="B111" s="409"/>
    </row>
    <row r="115" spans="1:6">
      <c r="A115" s="31"/>
      <c r="B115" s="146"/>
    </row>
    <row r="116" spans="1:6">
      <c r="A116" s="35"/>
      <c r="B116" s="147"/>
      <c r="F116" s="39"/>
    </row>
    <row r="117" spans="1:6">
      <c r="A117" s="35"/>
      <c r="B117" s="147"/>
      <c r="F117" s="39"/>
    </row>
    <row r="118" spans="1:6">
      <c r="A118" s="35"/>
      <c r="B118" s="147"/>
      <c r="F118" s="39"/>
    </row>
    <row r="119" spans="1:6">
      <c r="A119" s="35"/>
      <c r="B119" s="147"/>
      <c r="F119" s="39"/>
    </row>
    <row r="126" spans="1:6">
      <c r="A126" s="35"/>
      <c r="B126" s="147"/>
    </row>
    <row r="127" spans="1:6">
      <c r="A127" s="35"/>
      <c r="B127" s="147"/>
    </row>
    <row r="128" spans="1:6">
      <c r="A128" s="35"/>
      <c r="B128" s="147"/>
    </row>
    <row r="129" spans="1:2">
      <c r="A129" s="35"/>
      <c r="B129" s="147"/>
    </row>
    <row r="130" spans="1:2">
      <c r="A130" s="35"/>
      <c r="B130" s="147"/>
    </row>
    <row r="131" spans="1:2">
      <c r="A131" s="35"/>
      <c r="B131" s="147"/>
    </row>
    <row r="132" spans="1:2">
      <c r="A132" s="35"/>
      <c r="B132" s="147"/>
    </row>
    <row r="133" spans="1:2">
      <c r="A133" s="35"/>
      <c r="B133" s="147"/>
    </row>
    <row r="134" spans="1:2">
      <c r="A134" s="35"/>
      <c r="B134" s="147"/>
    </row>
    <row r="135" spans="1:2">
      <c r="A135" s="35"/>
      <c r="B135" s="147"/>
    </row>
    <row r="136" spans="1:2">
      <c r="A136" s="35"/>
      <c r="B136" s="147"/>
    </row>
    <row r="137" spans="1:2">
      <c r="A137" s="35"/>
      <c r="B137" s="147"/>
    </row>
    <row r="138" spans="1:2">
      <c r="A138" s="35"/>
      <c r="B138" s="147"/>
    </row>
    <row r="139" spans="1:2">
      <c r="A139" s="35"/>
      <c r="B139" s="147"/>
    </row>
    <row r="140" spans="1:2">
      <c r="A140" s="35"/>
      <c r="B140" s="147"/>
    </row>
    <row r="141" spans="1:2">
      <c r="A141" s="35"/>
      <c r="B141" s="147"/>
    </row>
    <row r="142" spans="1:2">
      <c r="A142" s="35"/>
      <c r="B142" s="147"/>
    </row>
    <row r="143" spans="1:2">
      <c r="A143" s="35"/>
      <c r="B143" s="147"/>
    </row>
    <row r="144" spans="1:2">
      <c r="A144" s="35"/>
      <c r="B144" s="147"/>
    </row>
  </sheetData>
  <autoFilter ref="A15:AC87"/>
  <mergeCells count="20">
    <mergeCell ref="A1:A2"/>
    <mergeCell ref="Z1:AA1"/>
    <mergeCell ref="AB1:AC1"/>
    <mergeCell ref="Z2:AA2"/>
    <mergeCell ref="AB2:AC2"/>
    <mergeCell ref="C2:Y2"/>
    <mergeCell ref="C1:Y1"/>
    <mergeCell ref="C97:D97"/>
    <mergeCell ref="F97:G97"/>
    <mergeCell ref="A3:G3"/>
    <mergeCell ref="A4:G4"/>
    <mergeCell ref="A5:G5"/>
    <mergeCell ref="A6:G6"/>
    <mergeCell ref="A7:G7"/>
    <mergeCell ref="A8:G8"/>
    <mergeCell ref="B9:D9"/>
    <mergeCell ref="B10:G10"/>
    <mergeCell ref="B11:G11"/>
    <mergeCell ref="C96:D96"/>
    <mergeCell ref="F96:G96"/>
  </mergeCells>
  <conditionalFormatting sqref="AC1:AC16 AC66 AC61:AC64 AC82:AC1048576">
    <cfRule type="cellIs" dxfId="99" priority="6" operator="lessThan">
      <formula>0</formula>
    </cfRule>
  </conditionalFormatting>
  <conditionalFormatting sqref="AC17:AC60">
    <cfRule type="cellIs" dxfId="98" priority="3" operator="lessThan">
      <formula>0</formula>
    </cfRule>
  </conditionalFormatting>
  <conditionalFormatting sqref="AC67:AC80">
    <cfRule type="cellIs" dxfId="97" priority="2" operator="lessThan">
      <formula>0</formula>
    </cfRule>
  </conditionalFormatting>
  <conditionalFormatting sqref="AG1:AG1048576">
    <cfRule type="duplicateValues" dxfId="96" priority="1"/>
  </conditionalFormatting>
  <printOptions horizontalCentered="1" verticalCentered="1"/>
  <pageMargins left="0.54" right="0.38" top="0.61" bottom="0.31" header="0.31496062992125984" footer="0.26"/>
  <pageSetup scale="53" fitToWidth="2" fitToHeight="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K252"/>
  <sheetViews>
    <sheetView showGridLines="0" topLeftCell="V232" zoomScale="84" zoomScaleNormal="84" workbookViewId="0">
      <selection activeCell="C263" sqref="C263"/>
    </sheetView>
  </sheetViews>
  <sheetFormatPr baseColWidth="10" defaultColWidth="19.7109375" defaultRowHeight="14.25"/>
  <cols>
    <col min="1" max="1" width="25.42578125" style="728" customWidth="1"/>
    <col min="2" max="2" width="19.7109375" style="921" customWidth="1"/>
    <col min="3" max="3" width="17.7109375" style="728" customWidth="1"/>
    <col min="4" max="4" width="27.140625" style="728" customWidth="1"/>
    <col min="5" max="5" width="17.7109375" style="728" customWidth="1"/>
    <col min="6" max="6" width="24.85546875" style="728" customWidth="1"/>
    <col min="7" max="7" width="28.7109375" style="728" customWidth="1"/>
    <col min="8" max="8" width="10.5703125" style="925" customWidth="1"/>
    <col min="9" max="9" width="11.28515625" style="924" customWidth="1"/>
    <col min="10" max="10" width="14.28515625" style="767" customWidth="1"/>
    <col min="11" max="11" width="8.7109375" style="925" customWidth="1"/>
    <col min="12" max="12" width="19.5703125" style="921" customWidth="1"/>
    <col min="13" max="13" width="16.7109375" style="925" customWidth="1"/>
    <col min="14" max="14" width="16.7109375" style="767" customWidth="1"/>
    <col min="15" max="15" width="11.28515625" style="1490" customWidth="1"/>
    <col min="16" max="16" width="13" style="911" customWidth="1"/>
    <col min="17" max="29" width="19.7109375" style="911" customWidth="1"/>
    <col min="30" max="30" width="5" style="728" customWidth="1"/>
    <col min="31" max="31" width="10.140625" style="1085" customWidth="1"/>
    <col min="32" max="32" width="19.7109375" style="408" customWidth="1"/>
    <col min="33" max="33" width="15.42578125" style="409" bestFit="1" customWidth="1"/>
    <col min="34" max="34" width="8.28515625" style="582" customWidth="1"/>
    <col min="35" max="35" width="19.7109375" style="1092"/>
    <col min="36" max="36" width="19.7109375" style="408"/>
    <col min="37" max="37" width="19.7109375" style="1167"/>
    <col min="38" max="16384" width="19.7109375" style="728"/>
  </cols>
  <sheetData>
    <row r="1" spans="1:37" ht="42" customHeight="1">
      <c r="A1" s="1783"/>
      <c r="B1" s="1066" t="s">
        <v>0</v>
      </c>
      <c r="C1" s="1728" t="s">
        <v>1</v>
      </c>
      <c r="D1" s="1729"/>
      <c r="E1" s="1729"/>
      <c r="F1" s="1729"/>
      <c r="G1" s="1729"/>
      <c r="H1" s="1729"/>
      <c r="I1" s="1729"/>
      <c r="J1" s="1729"/>
      <c r="K1" s="1425"/>
      <c r="L1" s="928"/>
      <c r="M1" s="1425"/>
      <c r="N1" s="928"/>
      <c r="O1" s="1425"/>
      <c r="P1" s="927"/>
      <c r="Q1" s="927"/>
      <c r="R1" s="927"/>
      <c r="S1" s="927"/>
      <c r="T1" s="927"/>
      <c r="U1" s="927"/>
      <c r="V1" s="927"/>
      <c r="W1" s="927"/>
      <c r="X1" s="927"/>
      <c r="Y1" s="929"/>
      <c r="Z1" s="1785" t="s">
        <v>2</v>
      </c>
      <c r="AA1" s="1785"/>
      <c r="AB1" s="1786" t="s">
        <v>3</v>
      </c>
      <c r="AC1" s="1787"/>
    </row>
    <row r="2" spans="1:37" ht="42" customHeight="1">
      <c r="A2" s="1784"/>
      <c r="B2" s="1067" t="s">
        <v>4</v>
      </c>
      <c r="C2" s="1730" t="s">
        <v>5</v>
      </c>
      <c r="D2" s="1731"/>
      <c r="E2" s="1731"/>
      <c r="F2" s="1731"/>
      <c r="G2" s="1731"/>
      <c r="H2" s="1731"/>
      <c r="I2" s="1731"/>
      <c r="J2" s="698"/>
      <c r="K2" s="1426"/>
      <c r="L2" s="930"/>
      <c r="M2" s="1426"/>
      <c r="N2" s="930"/>
      <c r="O2" s="1426"/>
      <c r="P2" s="930"/>
      <c r="Q2" s="930"/>
      <c r="R2" s="930"/>
      <c r="S2" s="930"/>
      <c r="T2" s="930"/>
      <c r="U2" s="930"/>
      <c r="V2" s="930"/>
      <c r="W2" s="930"/>
      <c r="X2" s="930"/>
      <c r="Y2" s="931"/>
      <c r="Z2" s="1788" t="s">
        <v>6</v>
      </c>
      <c r="AA2" s="1788"/>
      <c r="AB2" s="1789">
        <v>1</v>
      </c>
      <c r="AC2" s="1790"/>
    </row>
    <row r="3" spans="1:37" s="735" customFormat="1">
      <c r="A3" s="1791" t="s">
        <v>7</v>
      </c>
      <c r="B3" s="1779"/>
      <c r="C3" s="1779"/>
      <c r="D3" s="1779"/>
      <c r="E3" s="1779"/>
      <c r="F3" s="1779"/>
      <c r="G3" s="1779"/>
      <c r="H3" s="731"/>
      <c r="I3" s="729"/>
      <c r="J3" s="730"/>
      <c r="K3" s="731"/>
      <c r="L3" s="732"/>
      <c r="M3" s="731"/>
      <c r="N3" s="730"/>
      <c r="O3" s="1466"/>
      <c r="P3" s="733"/>
      <c r="Q3" s="733"/>
      <c r="R3" s="733"/>
      <c r="S3" s="733"/>
      <c r="T3" s="733"/>
      <c r="U3" s="733"/>
      <c r="V3" s="733"/>
      <c r="W3" s="733"/>
      <c r="X3" s="733"/>
      <c r="Y3" s="733"/>
      <c r="Z3" s="733"/>
      <c r="AA3" s="733"/>
      <c r="AB3" s="733"/>
      <c r="AC3" s="734"/>
      <c r="AE3" s="1086"/>
      <c r="AF3" s="1087"/>
      <c r="AG3" s="1502"/>
      <c r="AH3" s="1491"/>
      <c r="AI3" s="1093"/>
      <c r="AJ3" s="1087"/>
      <c r="AK3" s="1168"/>
    </row>
    <row r="4" spans="1:37" s="735" customFormat="1">
      <c r="A4" s="1791" t="s">
        <v>450</v>
      </c>
      <c r="B4" s="1779"/>
      <c r="C4" s="1779"/>
      <c r="D4" s="1779"/>
      <c r="E4" s="1779"/>
      <c r="F4" s="1779"/>
      <c r="G4" s="1779"/>
      <c r="H4" s="731"/>
      <c r="I4" s="729"/>
      <c r="J4" s="730"/>
      <c r="K4" s="731"/>
      <c r="L4" s="732"/>
      <c r="M4" s="731"/>
      <c r="N4" s="730"/>
      <c r="O4" s="1466"/>
      <c r="P4" s="733"/>
      <c r="Q4" s="733"/>
      <c r="R4" s="733"/>
      <c r="S4" s="733"/>
      <c r="T4" s="733"/>
      <c r="U4" s="733"/>
      <c r="V4" s="733"/>
      <c r="W4" s="733"/>
      <c r="X4" s="733"/>
      <c r="Y4" s="733"/>
      <c r="Z4" s="733"/>
      <c r="AA4" s="733"/>
      <c r="AB4" s="733"/>
      <c r="AC4" s="734"/>
      <c r="AE4" s="1086"/>
      <c r="AF4" s="1087"/>
      <c r="AG4" s="1502"/>
      <c r="AH4" s="1491"/>
      <c r="AI4" s="1093"/>
      <c r="AJ4" s="1087"/>
      <c r="AK4" s="1168"/>
    </row>
    <row r="5" spans="1:37" s="735" customFormat="1">
      <c r="A5" s="1791" t="s">
        <v>68</v>
      </c>
      <c r="B5" s="1779"/>
      <c r="C5" s="1779"/>
      <c r="D5" s="1779"/>
      <c r="E5" s="1779"/>
      <c r="F5" s="1779"/>
      <c r="G5" s="1779"/>
      <c r="H5" s="731"/>
      <c r="I5" s="729"/>
      <c r="J5" s="730"/>
      <c r="K5" s="731"/>
      <c r="L5" s="732"/>
      <c r="M5" s="731"/>
      <c r="N5" s="730"/>
      <c r="O5" s="1466"/>
      <c r="P5" s="733"/>
      <c r="Q5" s="733"/>
      <c r="R5" s="733"/>
      <c r="S5" s="733"/>
      <c r="T5" s="733"/>
      <c r="U5" s="733"/>
      <c r="V5" s="733"/>
      <c r="W5" s="733"/>
      <c r="X5" s="733"/>
      <c r="Y5" s="733"/>
      <c r="Z5" s="733"/>
      <c r="AA5" s="733"/>
      <c r="AB5" s="733"/>
      <c r="AC5" s="734"/>
      <c r="AE5" s="1086"/>
      <c r="AF5" s="1087"/>
      <c r="AG5" s="1502"/>
      <c r="AH5" s="1491"/>
      <c r="AI5" s="1093"/>
      <c r="AJ5" s="1087"/>
      <c r="AK5" s="1168"/>
    </row>
    <row r="6" spans="1:37" s="735" customFormat="1">
      <c r="A6" s="1791" t="s">
        <v>69</v>
      </c>
      <c r="B6" s="1779"/>
      <c r="C6" s="1779"/>
      <c r="D6" s="1779"/>
      <c r="E6" s="1779"/>
      <c r="F6" s="1779"/>
      <c r="G6" s="1779"/>
      <c r="H6" s="731"/>
      <c r="I6" s="729"/>
      <c r="J6" s="730"/>
      <c r="K6" s="731"/>
      <c r="L6" s="732"/>
      <c r="M6" s="731"/>
      <c r="N6" s="730"/>
      <c r="O6" s="1466"/>
      <c r="P6" s="733"/>
      <c r="Q6" s="733"/>
      <c r="R6" s="733"/>
      <c r="S6" s="733"/>
      <c r="T6" s="733"/>
      <c r="U6" s="733"/>
      <c r="V6" s="733"/>
      <c r="W6" s="733"/>
      <c r="X6" s="733"/>
      <c r="Y6" s="733"/>
      <c r="Z6" s="733"/>
      <c r="AA6" s="733"/>
      <c r="AB6" s="733"/>
      <c r="AC6" s="734"/>
      <c r="AE6" s="1086"/>
      <c r="AF6" s="1087"/>
      <c r="AG6" s="1502"/>
      <c r="AH6" s="1491"/>
      <c r="AI6" s="1093"/>
      <c r="AJ6" s="1087"/>
      <c r="AK6" s="1168"/>
    </row>
    <row r="7" spans="1:37" s="735" customFormat="1">
      <c r="A7" s="1791" t="s">
        <v>70</v>
      </c>
      <c r="B7" s="1779"/>
      <c r="C7" s="1779"/>
      <c r="D7" s="1779"/>
      <c r="E7" s="1779"/>
      <c r="F7" s="1779"/>
      <c r="G7" s="1779"/>
      <c r="H7" s="1405"/>
      <c r="I7" s="729"/>
      <c r="J7" s="730"/>
      <c r="K7" s="731"/>
      <c r="L7" s="732"/>
      <c r="M7" s="731"/>
      <c r="N7" s="730"/>
      <c r="O7" s="1466"/>
      <c r="P7" s="733"/>
      <c r="Q7" s="733"/>
      <c r="R7" s="733"/>
      <c r="S7" s="733"/>
      <c r="T7" s="733"/>
      <c r="U7" s="733"/>
      <c r="V7" s="733"/>
      <c r="W7" s="733"/>
      <c r="X7" s="733"/>
      <c r="Y7" s="733"/>
      <c r="Z7" s="733"/>
      <c r="AA7" s="733"/>
      <c r="AB7" s="733"/>
      <c r="AC7" s="734"/>
      <c r="AE7" s="1086"/>
      <c r="AF7" s="1087"/>
      <c r="AG7" s="1502"/>
      <c r="AH7" s="1491"/>
      <c r="AI7" s="1093"/>
      <c r="AJ7" s="1087"/>
      <c r="AK7" s="1168"/>
    </row>
    <row r="8" spans="1:37" s="735" customFormat="1">
      <c r="A8" s="1781" t="s">
        <v>129</v>
      </c>
      <c r="B8" s="1782"/>
      <c r="C8" s="1782"/>
      <c r="D8" s="1782"/>
      <c r="E8" s="1782"/>
      <c r="F8" s="1782"/>
      <c r="G8" s="1782"/>
      <c r="H8" s="1405"/>
      <c r="I8" s="729"/>
      <c r="J8" s="730"/>
      <c r="K8" s="731"/>
      <c r="L8" s="732"/>
      <c r="M8" s="731"/>
      <c r="N8" s="730"/>
      <c r="O8" s="1466"/>
      <c r="P8" s="733"/>
      <c r="Q8" s="733"/>
      <c r="R8" s="733"/>
      <c r="S8" s="733"/>
      <c r="T8" s="733"/>
      <c r="U8" s="733"/>
      <c r="V8" s="733"/>
      <c r="W8" s="733"/>
      <c r="X8" s="733"/>
      <c r="Y8" s="733"/>
      <c r="Z8" s="733"/>
      <c r="AA8" s="733"/>
      <c r="AB8" s="733"/>
      <c r="AC8" s="734"/>
      <c r="AE8" s="1086"/>
      <c r="AF8" s="1087"/>
      <c r="AG8" s="1502"/>
      <c r="AH8" s="1491"/>
      <c r="AI8" s="1093"/>
      <c r="AJ8" s="1087"/>
      <c r="AK8" s="1168"/>
    </row>
    <row r="9" spans="1:37">
      <c r="A9" s="736" t="s">
        <v>9</v>
      </c>
      <c r="B9" s="1779" t="s">
        <v>130</v>
      </c>
      <c r="C9" s="1779"/>
      <c r="D9" s="1779"/>
      <c r="E9" s="737"/>
      <c r="F9" s="737"/>
      <c r="G9" s="738"/>
      <c r="H9" s="1405"/>
      <c r="I9" s="729"/>
      <c r="J9" s="730"/>
      <c r="K9" s="739"/>
      <c r="L9" s="732"/>
      <c r="M9" s="731"/>
      <c r="N9" s="730"/>
      <c r="O9" s="1466"/>
      <c r="P9" s="733"/>
      <c r="Q9" s="733"/>
      <c r="R9" s="733"/>
      <c r="S9" s="733"/>
      <c r="T9" s="733"/>
      <c r="U9" s="733"/>
      <c r="V9" s="733"/>
      <c r="W9" s="733"/>
      <c r="X9" s="733"/>
      <c r="Y9" s="733"/>
      <c r="Z9" s="733"/>
      <c r="AA9" s="733"/>
      <c r="AB9" s="733"/>
      <c r="AC9" s="734"/>
    </row>
    <row r="10" spans="1:37">
      <c r="A10" s="736" t="s">
        <v>11</v>
      </c>
      <c r="B10" s="1779" t="s">
        <v>82</v>
      </c>
      <c r="C10" s="1779"/>
      <c r="D10" s="1779"/>
      <c r="E10" s="1779"/>
      <c r="F10" s="1779"/>
      <c r="G10" s="1779"/>
      <c r="H10" s="1405"/>
      <c r="I10" s="729"/>
      <c r="J10" s="730"/>
      <c r="K10" s="739"/>
      <c r="L10" s="740"/>
      <c r="M10" s="739"/>
      <c r="N10" s="730"/>
      <c r="O10" s="1466"/>
      <c r="P10" s="733"/>
      <c r="Q10" s="733"/>
      <c r="R10" s="733"/>
      <c r="S10" s="733"/>
      <c r="T10" s="733"/>
      <c r="U10" s="733"/>
      <c r="V10" s="733"/>
      <c r="W10" s="733"/>
      <c r="X10" s="733"/>
      <c r="Y10" s="733"/>
      <c r="Z10" s="733"/>
      <c r="AA10" s="733"/>
      <c r="AB10" s="733"/>
      <c r="AC10" s="734"/>
    </row>
    <row r="11" spans="1:37">
      <c r="A11" s="741" t="s">
        <v>13</v>
      </c>
      <c r="B11" s="1779" t="s">
        <v>83</v>
      </c>
      <c r="C11" s="1779"/>
      <c r="D11" s="1779"/>
      <c r="E11" s="1779"/>
      <c r="F11" s="1779"/>
      <c r="G11" s="1779"/>
      <c r="H11" s="1405"/>
      <c r="I11" s="729"/>
      <c r="J11" s="730"/>
      <c r="K11" s="739"/>
      <c r="L11" s="740"/>
      <c r="M11" s="739"/>
      <c r="N11" s="730"/>
      <c r="O11" s="1466"/>
      <c r="P11" s="733"/>
      <c r="Q11" s="733"/>
      <c r="R11" s="733"/>
      <c r="S11" s="733"/>
      <c r="T11" s="733"/>
      <c r="U11" s="733"/>
      <c r="V11" s="733"/>
      <c r="W11" s="733"/>
      <c r="X11" s="733"/>
      <c r="Y11" s="733"/>
      <c r="Z11" s="733"/>
      <c r="AA11" s="733"/>
      <c r="AB11" s="733"/>
      <c r="AC11" s="734"/>
    </row>
    <row r="12" spans="1:37">
      <c r="A12" s="742" t="s">
        <v>15</v>
      </c>
      <c r="B12" s="743">
        <v>43555</v>
      </c>
      <c r="C12" s="744"/>
      <c r="D12" s="744"/>
      <c r="E12" s="744"/>
      <c r="F12" s="744"/>
      <c r="G12" s="745"/>
      <c r="H12" s="1405"/>
      <c r="I12" s="729"/>
      <c r="J12" s="730"/>
      <c r="K12" s="739"/>
      <c r="L12" s="740"/>
      <c r="M12" s="739"/>
      <c r="N12" s="730"/>
      <c r="O12" s="1466"/>
      <c r="P12" s="733"/>
      <c r="Q12" s="733"/>
      <c r="R12" s="733"/>
      <c r="S12" s="733"/>
      <c r="T12" s="733"/>
      <c r="U12" s="733"/>
      <c r="V12" s="733"/>
      <c r="W12" s="733"/>
      <c r="X12" s="733"/>
      <c r="Y12" s="733"/>
      <c r="Z12" s="733"/>
      <c r="AA12" s="733"/>
      <c r="AB12" s="733"/>
      <c r="AC12" s="734"/>
    </row>
    <row r="13" spans="1:37">
      <c r="A13" s="746" t="s">
        <v>16</v>
      </c>
      <c r="B13" s="747">
        <f>D14-E14</f>
        <v>0</v>
      </c>
      <c r="C13" s="748" t="s">
        <v>133</v>
      </c>
      <c r="D13" s="748" t="s">
        <v>134</v>
      </c>
      <c r="E13" s="748" t="s">
        <v>135</v>
      </c>
      <c r="F13" s="744"/>
      <c r="G13" s="745"/>
      <c r="H13" s="1406"/>
      <c r="I13" s="749"/>
      <c r="J13" s="750"/>
      <c r="K13" s="751"/>
      <c r="L13" s="752"/>
      <c r="M13" s="751"/>
      <c r="N13" s="750"/>
      <c r="O13" s="1467"/>
      <c r="P13" s="753"/>
      <c r="Q13" s="753"/>
      <c r="R13" s="753"/>
      <c r="S13" s="753"/>
      <c r="T13" s="753"/>
      <c r="U13" s="753"/>
      <c r="V13" s="753"/>
      <c r="W13" s="753"/>
      <c r="X13" s="753"/>
      <c r="Y13" s="753"/>
      <c r="Z13" s="753"/>
      <c r="AA13" s="753"/>
      <c r="AB13" s="753"/>
      <c r="AC13" s="754"/>
    </row>
    <row r="14" spans="1:37" s="766" customFormat="1" ht="15" thickBot="1">
      <c r="A14" s="755" t="s">
        <v>84</v>
      </c>
      <c r="B14" s="756">
        <f>16997000000+B13</f>
        <v>16997000000</v>
      </c>
      <c r="C14" s="757"/>
      <c r="D14" s="757"/>
      <c r="E14" s="757"/>
      <c r="F14" s="758"/>
      <c r="G14" s="759"/>
      <c r="H14" s="762"/>
      <c r="I14" s="760"/>
      <c r="J14" s="761"/>
      <c r="K14" s="762"/>
      <c r="L14" s="761"/>
      <c r="M14" s="1430"/>
      <c r="N14" s="763"/>
      <c r="O14" s="1468"/>
      <c r="P14" s="764"/>
      <c r="Q14" s="764"/>
      <c r="R14" s="764"/>
      <c r="S14" s="764"/>
      <c r="T14" s="764"/>
      <c r="U14" s="764"/>
      <c r="V14" s="764"/>
      <c r="W14" s="764"/>
      <c r="X14" s="764"/>
      <c r="Y14" s="764"/>
      <c r="Z14" s="764"/>
      <c r="AA14" s="764"/>
      <c r="AB14" s="764"/>
      <c r="AC14" s="765"/>
      <c r="AE14" s="1085"/>
      <c r="AF14" s="1088"/>
      <c r="AG14" s="1503"/>
      <c r="AH14" s="582"/>
      <c r="AI14" s="1092"/>
      <c r="AJ14" s="1088"/>
      <c r="AK14" s="1167"/>
    </row>
    <row r="15" spans="1:37" s="772" customFormat="1" ht="42.75">
      <c r="A15" s="768" t="s">
        <v>18</v>
      </c>
      <c r="B15" s="769" t="s">
        <v>19</v>
      </c>
      <c r="C15" s="770" t="s">
        <v>20</v>
      </c>
      <c r="D15" s="770" t="s">
        <v>21</v>
      </c>
      <c r="E15" s="770" t="s">
        <v>505</v>
      </c>
      <c r="F15" s="770" t="s">
        <v>451</v>
      </c>
      <c r="G15" s="770" t="s">
        <v>23</v>
      </c>
      <c r="H15" s="115" t="s">
        <v>550</v>
      </c>
      <c r="I15" s="771" t="s">
        <v>95</v>
      </c>
      <c r="J15" s="6" t="s">
        <v>127</v>
      </c>
      <c r="K15" s="115" t="s">
        <v>96</v>
      </c>
      <c r="L15" s="6" t="s">
        <v>24</v>
      </c>
      <c r="M15" s="289" t="s">
        <v>97</v>
      </c>
      <c r="N15" s="293" t="s">
        <v>116</v>
      </c>
      <c r="O15" s="1469" t="s">
        <v>98</v>
      </c>
      <c r="P15" s="294" t="s">
        <v>99</v>
      </c>
      <c r="Q15" s="293" t="s">
        <v>100</v>
      </c>
      <c r="R15" s="293" t="s">
        <v>101</v>
      </c>
      <c r="S15" s="293" t="s">
        <v>102</v>
      </c>
      <c r="T15" s="293" t="s">
        <v>103</v>
      </c>
      <c r="U15" s="293" t="s">
        <v>104</v>
      </c>
      <c r="V15" s="293" t="s">
        <v>105</v>
      </c>
      <c r="W15" s="293" t="s">
        <v>106</v>
      </c>
      <c r="X15" s="293" t="s">
        <v>107</v>
      </c>
      <c r="Y15" s="293" t="s">
        <v>108</v>
      </c>
      <c r="Z15" s="293" t="s">
        <v>109</v>
      </c>
      <c r="AA15" s="326" t="s">
        <v>110</v>
      </c>
      <c r="AB15" s="294" t="s">
        <v>111</v>
      </c>
      <c r="AC15" s="326" t="s">
        <v>112</v>
      </c>
      <c r="AE15" s="1173" t="s">
        <v>123</v>
      </c>
      <c r="AF15" s="1174" t="s">
        <v>114</v>
      </c>
      <c r="AG15" s="1174" t="s">
        <v>115</v>
      </c>
      <c r="AH15" s="1497" t="s">
        <v>119</v>
      </c>
      <c r="AI15" s="1174" t="s">
        <v>122</v>
      </c>
      <c r="AJ15" s="1638" t="s">
        <v>126</v>
      </c>
      <c r="AK15" s="1167"/>
    </row>
    <row r="16" spans="1:37" s="735" customFormat="1" ht="36" customHeight="1">
      <c r="A16" s="773" t="s">
        <v>85</v>
      </c>
      <c r="B16" s="774">
        <f>B17+B24+B51+B54+B60+B67+B75+B78+B81</f>
        <v>9990000000</v>
      </c>
      <c r="C16" s="314">
        <f>B16-B81</f>
        <v>8544810000</v>
      </c>
      <c r="D16" s="112"/>
      <c r="E16" s="112"/>
      <c r="F16" s="112"/>
      <c r="G16" s="113"/>
      <c r="H16" s="1407"/>
      <c r="I16" s="775"/>
      <c r="J16" s="776"/>
      <c r="K16" s="777"/>
      <c r="L16" s="509"/>
      <c r="M16" s="777"/>
      <c r="N16" s="778"/>
      <c r="O16" s="1470"/>
      <c r="P16" s="779"/>
      <c r="Q16" s="780"/>
      <c r="R16" s="780"/>
      <c r="S16" s="780"/>
      <c r="T16" s="780"/>
      <c r="U16" s="780"/>
      <c r="V16" s="780"/>
      <c r="W16" s="780"/>
      <c r="X16" s="780"/>
      <c r="Y16" s="780"/>
      <c r="Z16" s="780"/>
      <c r="AA16" s="781"/>
      <c r="AB16" s="779"/>
      <c r="AC16" s="781"/>
      <c r="AE16" s="1640"/>
      <c r="AF16" s="780"/>
      <c r="AG16" s="780"/>
      <c r="AH16" s="780"/>
      <c r="AI16" s="780"/>
      <c r="AJ16" s="781"/>
      <c r="AK16" s="1168"/>
    </row>
    <row r="17" spans="1:37" s="786" customFormat="1" ht="69" customHeight="1">
      <c r="A17" s="773" t="s">
        <v>165</v>
      </c>
      <c r="B17" s="1071">
        <v>499999999</v>
      </c>
      <c r="C17" s="314" t="s">
        <v>44</v>
      </c>
      <c r="D17" s="1036" t="s">
        <v>909</v>
      </c>
      <c r="E17" s="1036" t="s">
        <v>153</v>
      </c>
      <c r="F17" s="1036" t="s">
        <v>912</v>
      </c>
      <c r="G17" s="1037" t="s">
        <v>86</v>
      </c>
      <c r="H17" s="1408"/>
      <c r="I17" s="783">
        <v>0</v>
      </c>
      <c r="J17" s="784"/>
      <c r="K17" s="507"/>
      <c r="L17" s="508"/>
      <c r="M17" s="507"/>
      <c r="N17" s="785"/>
      <c r="O17" s="1470"/>
      <c r="P17" s="779"/>
      <c r="Q17" s="780"/>
      <c r="R17" s="780"/>
      <c r="S17" s="780"/>
      <c r="T17" s="780"/>
      <c r="U17" s="780"/>
      <c r="V17" s="780"/>
      <c r="W17" s="780"/>
      <c r="X17" s="780"/>
      <c r="Y17" s="780"/>
      <c r="Z17" s="780"/>
      <c r="AA17" s="781"/>
      <c r="AB17" s="779"/>
      <c r="AC17" s="781"/>
      <c r="AE17" s="1640"/>
      <c r="AF17" s="780"/>
      <c r="AG17" s="780"/>
      <c r="AH17" s="780"/>
      <c r="AI17" s="780"/>
      <c r="AJ17" s="781"/>
      <c r="AK17" s="1168"/>
    </row>
    <row r="18" spans="1:37" s="786" customFormat="1" ht="15">
      <c r="A18" s="1072" t="s">
        <v>165</v>
      </c>
      <c r="B18" s="309">
        <f>L18</f>
        <v>0</v>
      </c>
      <c r="C18" s="111" t="s">
        <v>44</v>
      </c>
      <c r="D18" s="112" t="s">
        <v>909</v>
      </c>
      <c r="E18" s="112" t="s">
        <v>153</v>
      </c>
      <c r="F18" s="112" t="s">
        <v>912</v>
      </c>
      <c r="G18" s="113" t="s">
        <v>86</v>
      </c>
      <c r="H18" s="1409">
        <v>320</v>
      </c>
      <c r="I18" s="788">
        <v>0</v>
      </c>
      <c r="J18" s="789"/>
      <c r="K18" s="801"/>
      <c r="L18" s="75"/>
      <c r="M18" s="317"/>
      <c r="N18" s="1096"/>
      <c r="O18" s="1471"/>
      <c r="P18" s="791"/>
      <c r="Q18" s="563"/>
      <c r="R18" s="563"/>
      <c r="S18" s="563"/>
      <c r="T18" s="563"/>
      <c r="U18" s="563"/>
      <c r="V18" s="563"/>
      <c r="W18" s="563"/>
      <c r="X18" s="563"/>
      <c r="Y18" s="563"/>
      <c r="Z18" s="563"/>
      <c r="AA18" s="816"/>
      <c r="AB18" s="794">
        <f>SUM(P18:AA18)</f>
        <v>0</v>
      </c>
      <c r="AC18" s="792">
        <f>N18-AB18</f>
        <v>0</v>
      </c>
      <c r="AE18" s="1175">
        <v>320</v>
      </c>
      <c r="AF18" s="1176" t="s">
        <v>511</v>
      </c>
      <c r="AG18" s="1505" t="s">
        <v>188</v>
      </c>
      <c r="AH18" s="1498">
        <f>O18</f>
        <v>0</v>
      </c>
      <c r="AI18" s="1177">
        <v>417804600</v>
      </c>
      <c r="AJ18" s="1179">
        <f>AI18-N18</f>
        <v>417804600</v>
      </c>
      <c r="AK18" s="1168"/>
    </row>
    <row r="19" spans="1:37" s="786" customFormat="1" ht="15">
      <c r="A19" s="1072" t="s">
        <v>165</v>
      </c>
      <c r="B19" s="309">
        <f>L19</f>
        <v>0</v>
      </c>
      <c r="C19" s="111" t="s">
        <v>44</v>
      </c>
      <c r="D19" s="112" t="s">
        <v>909</v>
      </c>
      <c r="E19" s="112" t="s">
        <v>153</v>
      </c>
      <c r="F19" s="112" t="s">
        <v>912</v>
      </c>
      <c r="G19" s="113" t="s">
        <v>86</v>
      </c>
      <c r="H19" s="1409" t="s">
        <v>156</v>
      </c>
      <c r="I19" s="788">
        <v>0</v>
      </c>
      <c r="J19" s="789"/>
      <c r="K19" s="801"/>
      <c r="L19" s="75"/>
      <c r="M19" s="317"/>
      <c r="N19" s="1096"/>
      <c r="O19" s="1471"/>
      <c r="P19" s="791"/>
      <c r="Q19" s="563"/>
      <c r="R19" s="563"/>
      <c r="S19" s="563"/>
      <c r="T19" s="563"/>
      <c r="U19" s="563"/>
      <c r="V19" s="563"/>
      <c r="W19" s="563"/>
      <c r="X19" s="563"/>
      <c r="Y19" s="563"/>
      <c r="Z19" s="563"/>
      <c r="AA19" s="816"/>
      <c r="AB19" s="794">
        <f>SUM(P19:AA19)</f>
        <v>0</v>
      </c>
      <c r="AC19" s="792">
        <f>N19-AB19</f>
        <v>0</v>
      </c>
      <c r="AE19" s="1175" t="s">
        <v>156</v>
      </c>
      <c r="AF19" s="1176" t="s">
        <v>512</v>
      </c>
      <c r="AG19" s="1505" t="s">
        <v>188</v>
      </c>
      <c r="AH19" s="1498">
        <f>O19</f>
        <v>0</v>
      </c>
      <c r="AI19" s="1177">
        <v>6000000</v>
      </c>
      <c r="AJ19" s="1179">
        <f>AI19-N19</f>
        <v>6000000</v>
      </c>
      <c r="AK19" s="1168"/>
    </row>
    <row r="20" spans="1:37" s="786" customFormat="1" ht="15">
      <c r="A20" s="1072" t="s">
        <v>165</v>
      </c>
      <c r="B20" s="309">
        <f>L20</f>
        <v>0</v>
      </c>
      <c r="C20" s="111" t="s">
        <v>44</v>
      </c>
      <c r="D20" s="112" t="s">
        <v>909</v>
      </c>
      <c r="E20" s="112" t="s">
        <v>153</v>
      </c>
      <c r="F20" s="112" t="s">
        <v>912</v>
      </c>
      <c r="G20" s="113" t="s">
        <v>86</v>
      </c>
      <c r="H20" s="1409">
        <v>321</v>
      </c>
      <c r="I20" s="788">
        <v>0</v>
      </c>
      <c r="J20" s="789"/>
      <c r="K20" s="801"/>
      <c r="L20" s="75"/>
      <c r="M20" s="317"/>
      <c r="N20" s="1096"/>
      <c r="O20" s="1471"/>
      <c r="P20" s="791"/>
      <c r="Q20" s="563"/>
      <c r="R20" s="563"/>
      <c r="S20" s="563"/>
      <c r="T20" s="563"/>
      <c r="U20" s="563"/>
      <c r="V20" s="563"/>
      <c r="W20" s="563"/>
      <c r="X20" s="563"/>
      <c r="Y20" s="563"/>
      <c r="Z20" s="563"/>
      <c r="AA20" s="816"/>
      <c r="AB20" s="794">
        <f>SUM(P20:AA20)</f>
        <v>0</v>
      </c>
      <c r="AC20" s="792">
        <f>N20-AB20</f>
        <v>0</v>
      </c>
      <c r="AE20" s="1175">
        <v>321</v>
      </c>
      <c r="AF20" s="1176" t="s">
        <v>513</v>
      </c>
      <c r="AG20" s="1505" t="s">
        <v>188</v>
      </c>
      <c r="AH20" s="1498">
        <f>O20</f>
        <v>0</v>
      </c>
      <c r="AI20" s="1177">
        <v>76195399</v>
      </c>
      <c r="AJ20" s="1179">
        <f>AI20-N20</f>
        <v>76195399</v>
      </c>
      <c r="AK20" s="1168"/>
    </row>
    <row r="21" spans="1:37" s="786" customFormat="1" ht="15">
      <c r="A21" s="1072" t="s">
        <v>165</v>
      </c>
      <c r="B21" s="309">
        <f>L21</f>
        <v>0</v>
      </c>
      <c r="C21" s="111" t="s">
        <v>44</v>
      </c>
      <c r="D21" s="112" t="s">
        <v>909</v>
      </c>
      <c r="E21" s="112" t="s">
        <v>153</v>
      </c>
      <c r="F21" s="112" t="s">
        <v>912</v>
      </c>
      <c r="G21" s="113" t="s">
        <v>86</v>
      </c>
      <c r="H21" s="1410" t="s">
        <v>188</v>
      </c>
      <c r="I21" s="788">
        <v>0</v>
      </c>
      <c r="J21" s="789"/>
      <c r="K21" s="1095"/>
      <c r="L21" s="75"/>
      <c r="M21" s="317"/>
      <c r="N21" s="1096"/>
      <c r="O21" s="1471"/>
      <c r="P21" s="791"/>
      <c r="Q21" s="563"/>
      <c r="R21" s="563"/>
      <c r="S21" s="563"/>
      <c r="T21" s="563"/>
      <c r="U21" s="563"/>
      <c r="V21" s="563"/>
      <c r="W21" s="563"/>
      <c r="X21" s="563"/>
      <c r="Y21" s="563"/>
      <c r="Z21" s="563"/>
      <c r="AA21" s="816"/>
      <c r="AB21" s="794">
        <f>SUM(P21:AA21)</f>
        <v>0</v>
      </c>
      <c r="AC21" s="792">
        <f>N21-AB21</f>
        <v>0</v>
      </c>
      <c r="AE21" s="1175"/>
      <c r="AF21" s="1176"/>
      <c r="AG21" s="1505" t="s">
        <v>188</v>
      </c>
      <c r="AH21" s="1498">
        <f>O21</f>
        <v>0</v>
      </c>
      <c r="AI21" s="1177"/>
      <c r="AJ21" s="1179">
        <f>AI21-N21</f>
        <v>0</v>
      </c>
      <c r="AK21" s="1168"/>
    </row>
    <row r="22" spans="1:37" s="735" customFormat="1" ht="15">
      <c r="A22" s="1072" t="s">
        <v>165</v>
      </c>
      <c r="B22" s="309">
        <f>L22</f>
        <v>0</v>
      </c>
      <c r="C22" s="111" t="s">
        <v>44</v>
      </c>
      <c r="D22" s="112" t="s">
        <v>909</v>
      </c>
      <c r="E22" s="112" t="s">
        <v>153</v>
      </c>
      <c r="F22" s="112" t="s">
        <v>912</v>
      </c>
      <c r="G22" s="113" t="s">
        <v>86</v>
      </c>
      <c r="H22" s="1410" t="s">
        <v>188</v>
      </c>
      <c r="I22" s="788">
        <v>0</v>
      </c>
      <c r="J22" s="789"/>
      <c r="K22" s="790"/>
      <c r="L22" s="222"/>
      <c r="M22" s="317"/>
      <c r="N22" s="793"/>
      <c r="O22" s="1471"/>
      <c r="P22" s="791"/>
      <c r="Q22" s="563"/>
      <c r="R22" s="563"/>
      <c r="S22" s="563"/>
      <c r="T22" s="563"/>
      <c r="U22" s="563"/>
      <c r="V22" s="563"/>
      <c r="W22" s="563"/>
      <c r="X22" s="563"/>
      <c r="Y22" s="563"/>
      <c r="Z22" s="563"/>
      <c r="AA22" s="816"/>
      <c r="AB22" s="794">
        <f>SUM(P22:AA22)</f>
        <v>0</v>
      </c>
      <c r="AC22" s="792">
        <f>N22-AB22</f>
        <v>0</v>
      </c>
      <c r="AE22" s="1175"/>
      <c r="AF22" s="1176"/>
      <c r="AG22" s="1505" t="s">
        <v>188</v>
      </c>
      <c r="AH22" s="1492"/>
      <c r="AI22" s="1177"/>
      <c r="AJ22" s="1179">
        <f>AI22-N22</f>
        <v>0</v>
      </c>
      <c r="AK22" s="1168"/>
    </row>
    <row r="23" spans="1:37" s="735" customFormat="1" ht="12">
      <c r="A23" s="795" t="s">
        <v>87</v>
      </c>
      <c r="B23" s="796">
        <f>B17-SUM(B18:B22)</f>
        <v>499999999</v>
      </c>
      <c r="C23" s="797"/>
      <c r="D23" s="797"/>
      <c r="E23" s="797"/>
      <c r="F23" s="797"/>
      <c r="G23" s="798"/>
      <c r="H23" s="1411"/>
      <c r="I23" s="799"/>
      <c r="J23" s="279"/>
      <c r="K23" s="119"/>
      <c r="L23" s="15">
        <f>SUM(L18:L22)</f>
        <v>0</v>
      </c>
      <c r="M23" s="119"/>
      <c r="N23" s="15">
        <f>SUM(N18:N22)</f>
        <v>0</v>
      </c>
      <c r="O23" s="1472"/>
      <c r="P23" s="15">
        <f>SUM(P18:P22)</f>
        <v>0</v>
      </c>
      <c r="Q23" s="15">
        <f t="shared" ref="Q23:AC23" si="0">SUM(Q18:Q22)</f>
        <v>0</v>
      </c>
      <c r="R23" s="15">
        <f t="shared" si="0"/>
        <v>0</v>
      </c>
      <c r="S23" s="15">
        <f t="shared" si="0"/>
        <v>0</v>
      </c>
      <c r="T23" s="15">
        <f t="shared" si="0"/>
        <v>0</v>
      </c>
      <c r="U23" s="15">
        <f t="shared" si="0"/>
        <v>0</v>
      </c>
      <c r="V23" s="15">
        <f t="shared" si="0"/>
        <v>0</v>
      </c>
      <c r="W23" s="15">
        <f t="shared" si="0"/>
        <v>0</v>
      </c>
      <c r="X23" s="15">
        <f t="shared" si="0"/>
        <v>0</v>
      </c>
      <c r="Y23" s="15">
        <f t="shared" si="0"/>
        <v>0</v>
      </c>
      <c r="Z23" s="15">
        <f t="shared" si="0"/>
        <v>0</v>
      </c>
      <c r="AA23" s="15">
        <f t="shared" si="0"/>
        <v>0</v>
      </c>
      <c r="AB23" s="15">
        <f t="shared" si="0"/>
        <v>0</v>
      </c>
      <c r="AC23" s="15">
        <f t="shared" si="0"/>
        <v>0</v>
      </c>
      <c r="AE23" s="1180"/>
      <c r="AF23" s="15"/>
      <c r="AG23" s="15"/>
      <c r="AH23" s="1496"/>
      <c r="AI23" s="15">
        <f>SUM(AI18:AI22)</f>
        <v>499999999</v>
      </c>
      <c r="AJ23" s="206">
        <f>SUM(AJ18:AJ22)</f>
        <v>499999999</v>
      </c>
      <c r="AK23" s="1168">
        <f>B17-AI23</f>
        <v>0</v>
      </c>
    </row>
    <row r="24" spans="1:37" s="735" customFormat="1" ht="54.75" customHeight="1">
      <c r="A24" s="773" t="s">
        <v>166</v>
      </c>
      <c r="B24" s="774">
        <f>B25+B33+B36+B39+B42+B45+B48</f>
        <v>6000000001</v>
      </c>
      <c r="C24" s="314"/>
      <c r="D24" s="1036"/>
      <c r="E24" s="1036"/>
      <c r="F24" s="1036"/>
      <c r="G24" s="1037"/>
      <c r="H24" s="1408"/>
      <c r="I24" s="783"/>
      <c r="J24" s="784"/>
      <c r="K24" s="507"/>
      <c r="L24" s="508"/>
      <c r="M24" s="507"/>
      <c r="N24" s="785"/>
      <c r="O24" s="1470"/>
      <c r="P24" s="779"/>
      <c r="Q24" s="780"/>
      <c r="R24" s="780"/>
      <c r="S24" s="780"/>
      <c r="T24" s="780"/>
      <c r="U24" s="780"/>
      <c r="V24" s="780"/>
      <c r="W24" s="780"/>
      <c r="X24" s="780"/>
      <c r="Y24" s="780"/>
      <c r="Z24" s="780"/>
      <c r="AA24" s="781"/>
      <c r="AB24" s="779"/>
      <c r="AC24" s="781"/>
      <c r="AE24" s="1640"/>
      <c r="AF24" s="780"/>
      <c r="AG24" s="780"/>
      <c r="AH24" s="780"/>
      <c r="AI24" s="780"/>
      <c r="AJ24" s="781"/>
      <c r="AK24" s="1168"/>
    </row>
    <row r="25" spans="1:37" s="786" customFormat="1" ht="69" customHeight="1">
      <c r="A25" s="773" t="s">
        <v>166</v>
      </c>
      <c r="B25" s="782">
        <v>2531346001</v>
      </c>
      <c r="C25" s="314" t="s">
        <v>44</v>
      </c>
      <c r="D25" s="1036" t="s">
        <v>909</v>
      </c>
      <c r="E25" s="1036" t="s">
        <v>153</v>
      </c>
      <c r="F25" s="1036" t="s">
        <v>912</v>
      </c>
      <c r="G25" s="1037" t="s">
        <v>86</v>
      </c>
      <c r="H25" s="1408"/>
      <c r="I25" s="783">
        <v>0</v>
      </c>
      <c r="J25" s="784"/>
      <c r="K25" s="507"/>
      <c r="L25" s="508"/>
      <c r="M25" s="507"/>
      <c r="N25" s="785"/>
      <c r="O25" s="1470"/>
      <c r="P25" s="779"/>
      <c r="Q25" s="780"/>
      <c r="R25" s="780"/>
      <c r="S25" s="780"/>
      <c r="T25" s="780"/>
      <c r="U25" s="780"/>
      <c r="V25" s="780"/>
      <c r="W25" s="780"/>
      <c r="X25" s="780"/>
      <c r="Y25" s="780"/>
      <c r="Z25" s="780"/>
      <c r="AA25" s="781"/>
      <c r="AB25" s="779"/>
      <c r="AC25" s="781"/>
      <c r="AE25" s="1640"/>
      <c r="AF25" s="780"/>
      <c r="AG25" s="780"/>
      <c r="AH25" s="780"/>
      <c r="AI25" s="780"/>
      <c r="AJ25" s="781"/>
      <c r="AK25" s="1168"/>
    </row>
    <row r="26" spans="1:37" s="786" customFormat="1" ht="15">
      <c r="A26" s="1170" t="s">
        <v>166</v>
      </c>
      <c r="B26" s="309">
        <f t="shared" ref="B26:B31" si="1">L26</f>
        <v>0</v>
      </c>
      <c r="C26" s="111" t="s">
        <v>44</v>
      </c>
      <c r="D26" s="112" t="s">
        <v>909</v>
      </c>
      <c r="E26" s="112" t="s">
        <v>153</v>
      </c>
      <c r="F26" s="112" t="s">
        <v>912</v>
      </c>
      <c r="G26" s="113" t="s">
        <v>86</v>
      </c>
      <c r="H26" s="1409">
        <v>317</v>
      </c>
      <c r="I26" s="788">
        <v>0</v>
      </c>
      <c r="J26" s="789"/>
      <c r="K26" s="801"/>
      <c r="L26" s="75"/>
      <c r="M26" s="317"/>
      <c r="N26" s="1096"/>
      <c r="O26" s="1471"/>
      <c r="P26" s="791"/>
      <c r="Q26" s="563"/>
      <c r="R26" s="563"/>
      <c r="S26" s="563"/>
      <c r="T26" s="563"/>
      <c r="U26" s="563"/>
      <c r="V26" s="563"/>
      <c r="W26" s="563"/>
      <c r="X26" s="563"/>
      <c r="Y26" s="563"/>
      <c r="Z26" s="563"/>
      <c r="AA26" s="816"/>
      <c r="AB26" s="794">
        <f t="shared" ref="AB26:AB31" si="2">SUM(P26:AA26)</f>
        <v>0</v>
      </c>
      <c r="AC26" s="792">
        <f t="shared" ref="AC26:AC31" si="3">N26-AB26</f>
        <v>0</v>
      </c>
      <c r="AE26" s="1175">
        <v>317</v>
      </c>
      <c r="AF26" s="1176" t="s">
        <v>189</v>
      </c>
      <c r="AG26" s="1505" t="s">
        <v>188</v>
      </c>
      <c r="AH26" s="1498">
        <f t="shared" ref="AH26:AH31" si="4">O26</f>
        <v>0</v>
      </c>
      <c r="AI26" s="1177">
        <v>1677499869</v>
      </c>
      <c r="AJ26" s="1179">
        <f t="shared" ref="AJ26:AJ31" si="5">AI26-N26</f>
        <v>1677499869</v>
      </c>
      <c r="AK26" s="1168"/>
    </row>
    <row r="27" spans="1:37" s="786" customFormat="1" ht="15">
      <c r="A27" s="1170" t="s">
        <v>166</v>
      </c>
      <c r="B27" s="309">
        <f t="shared" si="1"/>
        <v>0</v>
      </c>
      <c r="C27" s="111" t="s">
        <v>44</v>
      </c>
      <c r="D27" s="112" t="s">
        <v>909</v>
      </c>
      <c r="E27" s="112" t="s">
        <v>153</v>
      </c>
      <c r="F27" s="112" t="s">
        <v>912</v>
      </c>
      <c r="G27" s="113" t="s">
        <v>86</v>
      </c>
      <c r="H27" s="1409" t="s">
        <v>156</v>
      </c>
      <c r="I27" s="788">
        <v>0</v>
      </c>
      <c r="J27" s="789"/>
      <c r="K27" s="801"/>
      <c r="L27" s="75"/>
      <c r="M27" s="317"/>
      <c r="N27" s="1096"/>
      <c r="O27" s="1471"/>
      <c r="P27" s="791"/>
      <c r="Q27" s="563"/>
      <c r="R27" s="563"/>
      <c r="S27" s="563"/>
      <c r="T27" s="563"/>
      <c r="U27" s="563"/>
      <c r="V27" s="563"/>
      <c r="W27" s="563"/>
      <c r="X27" s="563"/>
      <c r="Y27" s="563"/>
      <c r="Z27" s="563"/>
      <c r="AA27" s="816"/>
      <c r="AB27" s="794">
        <f t="shared" si="2"/>
        <v>0</v>
      </c>
      <c r="AC27" s="792">
        <f t="shared" si="3"/>
        <v>0</v>
      </c>
      <c r="AE27" s="1175" t="s">
        <v>156</v>
      </c>
      <c r="AF27" s="1176" t="s">
        <v>190</v>
      </c>
      <c r="AG27" s="1505" t="s">
        <v>188</v>
      </c>
      <c r="AH27" s="1498">
        <f t="shared" si="4"/>
        <v>0</v>
      </c>
      <c r="AI27" s="1177">
        <v>6000000</v>
      </c>
      <c r="AJ27" s="1179">
        <f t="shared" si="5"/>
        <v>6000000</v>
      </c>
      <c r="AK27" s="1168"/>
    </row>
    <row r="28" spans="1:37" s="786" customFormat="1">
      <c r="A28" s="1170" t="s">
        <v>166</v>
      </c>
      <c r="B28" s="309">
        <f t="shared" si="1"/>
        <v>15846132</v>
      </c>
      <c r="C28" s="111" t="s">
        <v>44</v>
      </c>
      <c r="D28" s="112" t="s">
        <v>909</v>
      </c>
      <c r="E28" s="112" t="s">
        <v>153</v>
      </c>
      <c r="F28" s="112" t="s">
        <v>912</v>
      </c>
      <c r="G28" s="113" t="s">
        <v>86</v>
      </c>
      <c r="H28" s="1409">
        <v>318</v>
      </c>
      <c r="I28" s="788">
        <v>0</v>
      </c>
      <c r="J28" s="789"/>
      <c r="K28" s="801">
        <v>136</v>
      </c>
      <c r="L28" s="222">
        <v>15846132</v>
      </c>
      <c r="M28" s="318">
        <v>122</v>
      </c>
      <c r="N28" s="793">
        <v>15846132</v>
      </c>
      <c r="O28" s="1471">
        <v>125</v>
      </c>
      <c r="P28" s="791"/>
      <c r="Q28" s="563">
        <v>1408545</v>
      </c>
      <c r="R28" s="563">
        <f>VLOOKUP(M28,[5]Hoja2!N$2:T$77,7,0)</f>
        <v>5282044</v>
      </c>
      <c r="S28" s="563"/>
      <c r="T28" s="563"/>
      <c r="U28" s="563"/>
      <c r="V28" s="563"/>
      <c r="W28" s="563"/>
      <c r="X28" s="563"/>
      <c r="Y28" s="563"/>
      <c r="Z28" s="563"/>
      <c r="AA28" s="816"/>
      <c r="AB28" s="794">
        <f t="shared" si="2"/>
        <v>6690589</v>
      </c>
      <c r="AC28" s="792">
        <f t="shared" si="3"/>
        <v>9155543</v>
      </c>
      <c r="AE28" s="1175">
        <v>318</v>
      </c>
      <c r="AF28" s="1176" t="s">
        <v>191</v>
      </c>
      <c r="AG28" s="1504" t="s">
        <v>620</v>
      </c>
      <c r="AH28" s="1498">
        <f t="shared" si="4"/>
        <v>125</v>
      </c>
      <c r="AI28" s="1177">
        <v>15846132</v>
      </c>
      <c r="AJ28" s="1179">
        <f t="shared" si="5"/>
        <v>0</v>
      </c>
      <c r="AK28" s="1168"/>
    </row>
    <row r="29" spans="1:37" s="786" customFormat="1" ht="15">
      <c r="A29" s="1170" t="s">
        <v>166</v>
      </c>
      <c r="B29" s="309">
        <f t="shared" si="1"/>
        <v>0</v>
      </c>
      <c r="C29" s="111" t="s">
        <v>44</v>
      </c>
      <c r="D29" s="112" t="s">
        <v>909</v>
      </c>
      <c r="E29" s="112" t="s">
        <v>153</v>
      </c>
      <c r="F29" s="112" t="s">
        <v>912</v>
      </c>
      <c r="G29" s="113" t="s">
        <v>86</v>
      </c>
      <c r="H29" s="1409">
        <v>319</v>
      </c>
      <c r="I29" s="788">
        <v>0</v>
      </c>
      <c r="J29" s="789"/>
      <c r="K29" s="801"/>
      <c r="L29" s="75"/>
      <c r="M29" s="317"/>
      <c r="N29" s="1096"/>
      <c r="O29" s="1471"/>
      <c r="P29" s="791"/>
      <c r="Q29" s="563"/>
      <c r="R29" s="563"/>
      <c r="S29" s="563"/>
      <c r="T29" s="563"/>
      <c r="U29" s="563"/>
      <c r="V29" s="563"/>
      <c r="W29" s="563"/>
      <c r="X29" s="563"/>
      <c r="Y29" s="563"/>
      <c r="Z29" s="563"/>
      <c r="AA29" s="816"/>
      <c r="AB29" s="794">
        <f t="shared" si="2"/>
        <v>0</v>
      </c>
      <c r="AC29" s="792">
        <f t="shared" si="3"/>
        <v>0</v>
      </c>
      <c r="AE29" s="1175">
        <v>319</v>
      </c>
      <c r="AF29" s="1176" t="s">
        <v>192</v>
      </c>
      <c r="AG29" s="1505" t="s">
        <v>188</v>
      </c>
      <c r="AH29" s="1498">
        <f t="shared" si="4"/>
        <v>0</v>
      </c>
      <c r="AI29" s="1177">
        <v>832000000</v>
      </c>
      <c r="AJ29" s="1179">
        <f t="shared" si="5"/>
        <v>832000000</v>
      </c>
      <c r="AK29" s="1168"/>
    </row>
    <row r="30" spans="1:37" s="786" customFormat="1" ht="15">
      <c r="A30" s="1170" t="s">
        <v>166</v>
      </c>
      <c r="B30" s="309">
        <f t="shared" si="1"/>
        <v>0</v>
      </c>
      <c r="C30" s="111" t="s">
        <v>44</v>
      </c>
      <c r="D30" s="112" t="s">
        <v>909</v>
      </c>
      <c r="E30" s="112" t="s">
        <v>153</v>
      </c>
      <c r="F30" s="112" t="s">
        <v>912</v>
      </c>
      <c r="G30" s="113" t="s">
        <v>86</v>
      </c>
      <c r="H30" s="1410" t="s">
        <v>188</v>
      </c>
      <c r="I30" s="788">
        <v>0</v>
      </c>
      <c r="J30" s="789"/>
      <c r="K30" s="1095"/>
      <c r="L30" s="75"/>
      <c r="M30" s="317"/>
      <c r="N30" s="1096"/>
      <c r="O30" s="1471"/>
      <c r="P30" s="791"/>
      <c r="Q30" s="563"/>
      <c r="R30" s="563"/>
      <c r="S30" s="563"/>
      <c r="T30" s="563"/>
      <c r="U30" s="563"/>
      <c r="V30" s="563"/>
      <c r="W30" s="563"/>
      <c r="X30" s="563"/>
      <c r="Y30" s="563"/>
      <c r="Z30" s="563"/>
      <c r="AA30" s="816"/>
      <c r="AB30" s="794">
        <f t="shared" si="2"/>
        <v>0</v>
      </c>
      <c r="AC30" s="792">
        <f t="shared" si="3"/>
        <v>0</v>
      </c>
      <c r="AE30" s="1175"/>
      <c r="AF30" s="1176"/>
      <c r="AG30" s="1505"/>
      <c r="AH30" s="1498">
        <f t="shared" si="4"/>
        <v>0</v>
      </c>
      <c r="AI30" s="1177"/>
      <c r="AJ30" s="1179">
        <f t="shared" si="5"/>
        <v>0</v>
      </c>
      <c r="AK30" s="1168"/>
    </row>
    <row r="31" spans="1:37" s="735" customFormat="1">
      <c r="A31" s="1170" t="s">
        <v>166</v>
      </c>
      <c r="B31" s="309">
        <f t="shared" si="1"/>
        <v>0</v>
      </c>
      <c r="C31" s="111" t="s">
        <v>44</v>
      </c>
      <c r="D31" s="112" t="s">
        <v>909</v>
      </c>
      <c r="E31" s="112" t="s">
        <v>153</v>
      </c>
      <c r="F31" s="112" t="s">
        <v>912</v>
      </c>
      <c r="G31" s="113" t="s">
        <v>86</v>
      </c>
      <c r="H31" s="1410" t="s">
        <v>188</v>
      </c>
      <c r="I31" s="788">
        <v>0</v>
      </c>
      <c r="J31" s="789"/>
      <c r="K31" s="790"/>
      <c r="L31" s="222"/>
      <c r="M31" s="317"/>
      <c r="N31" s="793"/>
      <c r="O31" s="1471"/>
      <c r="P31" s="791"/>
      <c r="Q31" s="563"/>
      <c r="R31" s="563"/>
      <c r="S31" s="563"/>
      <c r="T31" s="563"/>
      <c r="U31" s="563"/>
      <c r="V31" s="563"/>
      <c r="W31" s="563"/>
      <c r="X31" s="563"/>
      <c r="Y31" s="563"/>
      <c r="Z31" s="563"/>
      <c r="AA31" s="816"/>
      <c r="AB31" s="794">
        <f t="shared" si="2"/>
        <v>0</v>
      </c>
      <c r="AC31" s="792">
        <f t="shared" si="3"/>
        <v>0</v>
      </c>
      <c r="AE31" s="1175"/>
      <c r="AF31" s="1176"/>
      <c r="AG31" s="1504"/>
      <c r="AH31" s="1498">
        <f t="shared" si="4"/>
        <v>0</v>
      </c>
      <c r="AI31" s="1177"/>
      <c r="AJ31" s="1179">
        <f t="shared" si="5"/>
        <v>0</v>
      </c>
      <c r="AK31" s="1168"/>
    </row>
    <row r="32" spans="1:37" s="735" customFormat="1" ht="12">
      <c r="A32" s="795" t="s">
        <v>87</v>
      </c>
      <c r="B32" s="796">
        <f>B25-SUM(B26:B31)</f>
        <v>2515499869</v>
      </c>
      <c r="C32" s="797"/>
      <c r="D32" s="797"/>
      <c r="E32" s="797"/>
      <c r="F32" s="797"/>
      <c r="G32" s="798"/>
      <c r="H32" s="1411"/>
      <c r="I32" s="799"/>
      <c r="J32" s="279"/>
      <c r="K32" s="119"/>
      <c r="L32" s="15">
        <f>SUM(L26:L31)</f>
        <v>15846132</v>
      </c>
      <c r="M32" s="119"/>
      <c r="N32" s="15">
        <f>SUM(N26:N31)</f>
        <v>15846132</v>
      </c>
      <c r="O32" s="1472"/>
      <c r="P32" s="15">
        <f>SUM(P26:P31)</f>
        <v>0</v>
      </c>
      <c r="Q32" s="15">
        <f t="shared" ref="Q32:AC32" si="6">SUM(Q26:Q31)</f>
        <v>1408545</v>
      </c>
      <c r="R32" s="15">
        <f t="shared" si="6"/>
        <v>5282044</v>
      </c>
      <c r="S32" s="15">
        <f t="shared" si="6"/>
        <v>0</v>
      </c>
      <c r="T32" s="15">
        <f t="shared" si="6"/>
        <v>0</v>
      </c>
      <c r="U32" s="15">
        <f t="shared" si="6"/>
        <v>0</v>
      </c>
      <c r="V32" s="15">
        <f t="shared" si="6"/>
        <v>0</v>
      </c>
      <c r="W32" s="15">
        <f t="shared" si="6"/>
        <v>0</v>
      </c>
      <c r="X32" s="15">
        <f t="shared" si="6"/>
        <v>0</v>
      </c>
      <c r="Y32" s="15">
        <f t="shared" si="6"/>
        <v>0</v>
      </c>
      <c r="Z32" s="15">
        <f t="shared" si="6"/>
        <v>0</v>
      </c>
      <c r="AA32" s="15">
        <f t="shared" si="6"/>
        <v>0</v>
      </c>
      <c r="AB32" s="15">
        <f t="shared" si="6"/>
        <v>6690589</v>
      </c>
      <c r="AC32" s="15">
        <f t="shared" si="6"/>
        <v>9155543</v>
      </c>
      <c r="AE32" s="1180">
        <f>SUM(AE31:AE31)</f>
        <v>0</v>
      </c>
      <c r="AF32" s="15">
        <f>SUM(AF31:AF31)</f>
        <v>0</v>
      </c>
      <c r="AG32" s="15">
        <f>SUM(AG31:AG31)</f>
        <v>0</v>
      </c>
      <c r="AH32" s="1496">
        <f>SUM(AH31:AH31)</f>
        <v>0</v>
      </c>
      <c r="AI32" s="15">
        <f>SUM(AI26:AI31)</f>
        <v>2531346001</v>
      </c>
      <c r="AJ32" s="206">
        <f>SUM(AJ26:AJ31)</f>
        <v>2515499869</v>
      </c>
      <c r="AK32" s="1168">
        <f>B25-AI32</f>
        <v>0</v>
      </c>
    </row>
    <row r="33" spans="1:37" s="786" customFormat="1" ht="81" customHeight="1">
      <c r="A33" s="773" t="s">
        <v>166</v>
      </c>
      <c r="B33" s="782">
        <v>864424000</v>
      </c>
      <c r="C33" s="314" t="s">
        <v>90</v>
      </c>
      <c r="D33" s="1036" t="s">
        <v>909</v>
      </c>
      <c r="E33" s="1036" t="s">
        <v>153</v>
      </c>
      <c r="F33" s="1036" t="s">
        <v>912</v>
      </c>
      <c r="G33" s="1037" t="s">
        <v>86</v>
      </c>
      <c r="H33" s="1408"/>
      <c r="I33" s="783">
        <v>0</v>
      </c>
      <c r="J33" s="784"/>
      <c r="K33" s="507"/>
      <c r="L33" s="508"/>
      <c r="M33" s="507"/>
      <c r="N33" s="785"/>
      <c r="O33" s="1470"/>
      <c r="P33" s="779"/>
      <c r="Q33" s="780"/>
      <c r="R33" s="780"/>
      <c r="S33" s="780"/>
      <c r="T33" s="780"/>
      <c r="U33" s="780"/>
      <c r="V33" s="780"/>
      <c r="W33" s="780"/>
      <c r="X33" s="780"/>
      <c r="Y33" s="780"/>
      <c r="Z33" s="780"/>
      <c r="AA33" s="781"/>
      <c r="AB33" s="779"/>
      <c r="AC33" s="781"/>
      <c r="AE33" s="1640"/>
      <c r="AF33" s="780"/>
      <c r="AG33" s="780"/>
      <c r="AH33" s="780"/>
      <c r="AI33" s="780"/>
      <c r="AJ33" s="781"/>
      <c r="AK33" s="1168"/>
    </row>
    <row r="34" spans="1:37" s="735" customFormat="1">
      <c r="A34" s="349"/>
      <c r="B34" s="309">
        <f>L34</f>
        <v>0</v>
      </c>
      <c r="C34" s="111" t="s">
        <v>90</v>
      </c>
      <c r="D34" s="112" t="s">
        <v>909</v>
      </c>
      <c r="E34" s="112" t="s">
        <v>153</v>
      </c>
      <c r="F34" s="112" t="s">
        <v>912</v>
      </c>
      <c r="G34" s="113" t="s">
        <v>86</v>
      </c>
      <c r="H34" s="1409">
        <v>317</v>
      </c>
      <c r="I34" s="788">
        <v>0</v>
      </c>
      <c r="J34" s="789"/>
      <c r="K34" s="317"/>
      <c r="L34" s="75"/>
      <c r="M34" s="317"/>
      <c r="N34" s="793"/>
      <c r="O34" s="1471"/>
      <c r="P34" s="791"/>
      <c r="Q34" s="563"/>
      <c r="R34" s="563"/>
      <c r="S34" s="563"/>
      <c r="T34" s="563"/>
      <c r="U34" s="563"/>
      <c r="V34" s="563"/>
      <c r="W34" s="563"/>
      <c r="X34" s="563"/>
      <c r="Y34" s="563"/>
      <c r="Z34" s="563"/>
      <c r="AA34" s="816"/>
      <c r="AB34" s="794">
        <f>SUM(P34:AA34)</f>
        <v>0</v>
      </c>
      <c r="AC34" s="792">
        <f>N34-AB34</f>
        <v>0</v>
      </c>
      <c r="AE34" s="1175">
        <v>317</v>
      </c>
      <c r="AF34" s="1176" t="s">
        <v>189</v>
      </c>
      <c r="AG34" s="1504" t="s">
        <v>188</v>
      </c>
      <c r="AH34" s="1498">
        <f>O34</f>
        <v>0</v>
      </c>
      <c r="AI34" s="1177">
        <v>864424000</v>
      </c>
      <c r="AJ34" s="1179">
        <f>AI34-N34</f>
        <v>864424000</v>
      </c>
      <c r="AK34" s="1168"/>
    </row>
    <row r="35" spans="1:37" s="735" customFormat="1" ht="12">
      <c r="A35" s="795" t="s">
        <v>87</v>
      </c>
      <c r="B35" s="796">
        <f>+B34-K34</f>
        <v>0</v>
      </c>
      <c r="C35" s="797"/>
      <c r="D35" s="797"/>
      <c r="E35" s="797"/>
      <c r="F35" s="797"/>
      <c r="G35" s="798"/>
      <c r="H35" s="1411"/>
      <c r="I35" s="799"/>
      <c r="J35" s="279"/>
      <c r="K35" s="119"/>
      <c r="L35" s="15">
        <f>SUM(L34:L34)</f>
        <v>0</v>
      </c>
      <c r="M35" s="119"/>
      <c r="N35" s="15">
        <f>SUM(N34:N34)</f>
        <v>0</v>
      </c>
      <c r="O35" s="1472"/>
      <c r="P35" s="279">
        <f t="shared" ref="P35:AC35" si="7">SUM(P34:P34)</f>
        <v>0</v>
      </c>
      <c r="Q35" s="15">
        <f t="shared" si="7"/>
        <v>0</v>
      </c>
      <c r="R35" s="15">
        <f t="shared" si="7"/>
        <v>0</v>
      </c>
      <c r="S35" s="15">
        <f t="shared" si="7"/>
        <v>0</v>
      </c>
      <c r="T35" s="15">
        <f t="shared" si="7"/>
        <v>0</v>
      </c>
      <c r="U35" s="15">
        <f t="shared" si="7"/>
        <v>0</v>
      </c>
      <c r="V35" s="15">
        <f t="shared" si="7"/>
        <v>0</v>
      </c>
      <c r="W35" s="15">
        <f t="shared" si="7"/>
        <v>0</v>
      </c>
      <c r="X35" s="15">
        <f t="shared" si="7"/>
        <v>0</v>
      </c>
      <c r="Y35" s="15">
        <f t="shared" si="7"/>
        <v>0</v>
      </c>
      <c r="Z35" s="15">
        <f t="shared" si="7"/>
        <v>0</v>
      </c>
      <c r="AA35" s="206">
        <f t="shared" si="7"/>
        <v>0</v>
      </c>
      <c r="AB35" s="279">
        <f t="shared" si="7"/>
        <v>0</v>
      </c>
      <c r="AC35" s="206">
        <f t="shared" si="7"/>
        <v>0</v>
      </c>
      <c r="AE35" s="1180">
        <f t="shared" ref="AE35:AJ35" si="8">SUM(AE34:AE34)</f>
        <v>317</v>
      </c>
      <c r="AF35" s="15">
        <f t="shared" si="8"/>
        <v>0</v>
      </c>
      <c r="AG35" s="15">
        <f t="shared" si="8"/>
        <v>0</v>
      </c>
      <c r="AH35" s="1496">
        <f t="shared" si="8"/>
        <v>0</v>
      </c>
      <c r="AI35" s="15">
        <f t="shared" si="8"/>
        <v>864424000</v>
      </c>
      <c r="AJ35" s="206">
        <f t="shared" si="8"/>
        <v>864424000</v>
      </c>
      <c r="AK35" s="1168">
        <f>B33-AI35</f>
        <v>0</v>
      </c>
    </row>
    <row r="36" spans="1:37" s="786" customFormat="1" ht="74.25" customHeight="1">
      <c r="A36" s="773" t="s">
        <v>166</v>
      </c>
      <c r="B36" s="782">
        <v>725000</v>
      </c>
      <c r="C36" s="314" t="s">
        <v>89</v>
      </c>
      <c r="D36" s="1036" t="s">
        <v>909</v>
      </c>
      <c r="E36" s="1036" t="s">
        <v>153</v>
      </c>
      <c r="F36" s="1036" t="s">
        <v>912</v>
      </c>
      <c r="G36" s="1037" t="s">
        <v>86</v>
      </c>
      <c r="H36" s="1408"/>
      <c r="I36" s="783">
        <v>0</v>
      </c>
      <c r="J36" s="784"/>
      <c r="K36" s="507"/>
      <c r="L36" s="508"/>
      <c r="M36" s="507"/>
      <c r="N36" s="785"/>
      <c r="O36" s="1470"/>
      <c r="P36" s="779"/>
      <c r="Q36" s="780"/>
      <c r="R36" s="780"/>
      <c r="S36" s="780"/>
      <c r="T36" s="780"/>
      <c r="U36" s="780"/>
      <c r="V36" s="780"/>
      <c r="W36" s="780"/>
      <c r="X36" s="780"/>
      <c r="Y36" s="780"/>
      <c r="Z36" s="780"/>
      <c r="AA36" s="781"/>
      <c r="AB36" s="779"/>
      <c r="AC36" s="781"/>
      <c r="AE36" s="1640"/>
      <c r="AF36" s="780"/>
      <c r="AG36" s="780"/>
      <c r="AH36" s="780"/>
      <c r="AI36" s="780"/>
      <c r="AJ36" s="781"/>
      <c r="AK36" s="1168"/>
    </row>
    <row r="37" spans="1:37" s="735" customFormat="1">
      <c r="A37" s="804"/>
      <c r="B37" s="309">
        <f>L37</f>
        <v>0</v>
      </c>
      <c r="C37" s="111" t="s">
        <v>89</v>
      </c>
      <c r="D37" s="112" t="s">
        <v>909</v>
      </c>
      <c r="E37" s="112" t="s">
        <v>153</v>
      </c>
      <c r="F37" s="112" t="s">
        <v>912</v>
      </c>
      <c r="G37" s="113" t="s">
        <v>86</v>
      </c>
      <c r="H37" s="1409">
        <v>317</v>
      </c>
      <c r="I37" s="788">
        <v>0</v>
      </c>
      <c r="J37" s="789"/>
      <c r="K37" s="317"/>
      <c r="L37" s="75"/>
      <c r="M37" s="317"/>
      <c r="N37" s="793"/>
      <c r="O37" s="1471"/>
      <c r="P37" s="791"/>
      <c r="Q37" s="563"/>
      <c r="R37" s="563"/>
      <c r="S37" s="563"/>
      <c r="T37" s="563"/>
      <c r="U37" s="563"/>
      <c r="V37" s="563"/>
      <c r="W37" s="563"/>
      <c r="X37" s="563"/>
      <c r="Y37" s="563"/>
      <c r="Z37" s="563"/>
      <c r="AA37" s="816"/>
      <c r="AB37" s="794">
        <f>SUM(P37:AA37)</f>
        <v>0</v>
      </c>
      <c r="AC37" s="792">
        <f>N37-AB37</f>
        <v>0</v>
      </c>
      <c r="AE37" s="1175">
        <v>317</v>
      </c>
      <c r="AF37" s="1176" t="s">
        <v>189</v>
      </c>
      <c r="AG37" s="1504" t="s">
        <v>188</v>
      </c>
      <c r="AH37" s="1498">
        <f>O37</f>
        <v>0</v>
      </c>
      <c r="AI37" s="1177">
        <v>725000</v>
      </c>
      <c r="AJ37" s="1179">
        <f>AI37-N37</f>
        <v>725000</v>
      </c>
      <c r="AK37" s="1168"/>
    </row>
    <row r="38" spans="1:37" s="735" customFormat="1" ht="12">
      <c r="A38" s="795" t="s">
        <v>87</v>
      </c>
      <c r="B38" s="796">
        <f>B36-SUM(B37:B37)</f>
        <v>725000</v>
      </c>
      <c r="C38" s="797"/>
      <c r="D38" s="797"/>
      <c r="E38" s="797"/>
      <c r="F38" s="797"/>
      <c r="G38" s="798"/>
      <c r="H38" s="1411"/>
      <c r="I38" s="799"/>
      <c r="J38" s="279"/>
      <c r="K38" s="119"/>
      <c r="L38" s="15">
        <f>SUM(L37:L37)</f>
        <v>0</v>
      </c>
      <c r="M38" s="119"/>
      <c r="N38" s="15">
        <f>SUM(N37:N37)</f>
        <v>0</v>
      </c>
      <c r="O38" s="1472"/>
      <c r="P38" s="279">
        <f t="shared" ref="P38:AC38" si="9">SUM(P37:P37)</f>
        <v>0</v>
      </c>
      <c r="Q38" s="15">
        <f t="shared" si="9"/>
        <v>0</v>
      </c>
      <c r="R38" s="15">
        <f t="shared" si="9"/>
        <v>0</v>
      </c>
      <c r="S38" s="15">
        <f t="shared" si="9"/>
        <v>0</v>
      </c>
      <c r="T38" s="15">
        <f t="shared" si="9"/>
        <v>0</v>
      </c>
      <c r="U38" s="15">
        <f t="shared" si="9"/>
        <v>0</v>
      </c>
      <c r="V38" s="15">
        <f t="shared" si="9"/>
        <v>0</v>
      </c>
      <c r="W38" s="15">
        <f t="shared" si="9"/>
        <v>0</v>
      </c>
      <c r="X38" s="15">
        <f t="shared" si="9"/>
        <v>0</v>
      </c>
      <c r="Y38" s="15">
        <f t="shared" si="9"/>
        <v>0</v>
      </c>
      <c r="Z38" s="15">
        <f t="shared" si="9"/>
        <v>0</v>
      </c>
      <c r="AA38" s="206">
        <f t="shared" si="9"/>
        <v>0</v>
      </c>
      <c r="AB38" s="279">
        <f t="shared" si="9"/>
        <v>0</v>
      </c>
      <c r="AC38" s="206">
        <f t="shared" si="9"/>
        <v>0</v>
      </c>
      <c r="AE38" s="1180">
        <f t="shared" ref="AE38:AJ38" si="10">SUM(AE37:AE37)</f>
        <v>317</v>
      </c>
      <c r="AF38" s="15">
        <f t="shared" si="10"/>
        <v>0</v>
      </c>
      <c r="AG38" s="15">
        <f t="shared" si="10"/>
        <v>0</v>
      </c>
      <c r="AH38" s="1496">
        <f t="shared" si="10"/>
        <v>0</v>
      </c>
      <c r="AI38" s="15">
        <f t="shared" si="10"/>
        <v>725000</v>
      </c>
      <c r="AJ38" s="206">
        <f t="shared" si="10"/>
        <v>725000</v>
      </c>
      <c r="AK38" s="1168">
        <f>B36-AI38</f>
        <v>0</v>
      </c>
    </row>
    <row r="39" spans="1:37" s="786" customFormat="1" ht="67.5" customHeight="1">
      <c r="A39" s="773" t="s">
        <v>166</v>
      </c>
      <c r="B39" s="782">
        <v>528108000</v>
      </c>
      <c r="C39" s="314" t="s">
        <v>154</v>
      </c>
      <c r="D39" s="1036" t="s">
        <v>909</v>
      </c>
      <c r="E39" s="1036" t="s">
        <v>153</v>
      </c>
      <c r="F39" s="1036" t="s">
        <v>912</v>
      </c>
      <c r="G39" s="1037" t="s">
        <v>86</v>
      </c>
      <c r="H39" s="1408"/>
      <c r="I39" s="783">
        <v>0</v>
      </c>
      <c r="J39" s="784"/>
      <c r="K39" s="800"/>
      <c r="L39" s="508"/>
      <c r="M39" s="507"/>
      <c r="N39" s="785"/>
      <c r="O39" s="1470"/>
      <c r="P39" s="779"/>
      <c r="Q39" s="780"/>
      <c r="R39" s="780"/>
      <c r="S39" s="780"/>
      <c r="T39" s="780"/>
      <c r="U39" s="780"/>
      <c r="V39" s="780"/>
      <c r="W39" s="780"/>
      <c r="X39" s="780"/>
      <c r="Y39" s="780"/>
      <c r="Z39" s="780"/>
      <c r="AA39" s="781"/>
      <c r="AB39" s="779"/>
      <c r="AC39" s="781"/>
      <c r="AE39" s="1640"/>
      <c r="AF39" s="780"/>
      <c r="AG39" s="780"/>
      <c r="AH39" s="780"/>
      <c r="AI39" s="780"/>
      <c r="AJ39" s="781"/>
      <c r="AK39" s="1168"/>
    </row>
    <row r="40" spans="1:37" s="735" customFormat="1">
      <c r="A40" s="787"/>
      <c r="B40" s="309">
        <f>L40</f>
        <v>0</v>
      </c>
      <c r="C40" s="111" t="s">
        <v>154</v>
      </c>
      <c r="D40" s="112" t="s">
        <v>909</v>
      </c>
      <c r="E40" s="112" t="s">
        <v>153</v>
      </c>
      <c r="F40" s="112" t="s">
        <v>912</v>
      </c>
      <c r="G40" s="113" t="s">
        <v>86</v>
      </c>
      <c r="H40" s="1409">
        <v>317</v>
      </c>
      <c r="I40" s="788">
        <v>0</v>
      </c>
      <c r="J40" s="789"/>
      <c r="K40" s="801"/>
      <c r="L40" s="222"/>
      <c r="M40" s="801"/>
      <c r="N40" s="793"/>
      <c r="O40" s="1471"/>
      <c r="P40" s="791"/>
      <c r="Q40" s="563"/>
      <c r="R40" s="563"/>
      <c r="S40" s="563"/>
      <c r="T40" s="563"/>
      <c r="U40" s="563"/>
      <c r="V40" s="563"/>
      <c r="W40" s="563"/>
      <c r="X40" s="563"/>
      <c r="Y40" s="563"/>
      <c r="Z40" s="563"/>
      <c r="AA40" s="816"/>
      <c r="AB40" s="794">
        <f>SUM(P40:AA40)</f>
        <v>0</v>
      </c>
      <c r="AC40" s="792">
        <f>N40-AB40</f>
        <v>0</v>
      </c>
      <c r="AE40" s="1175">
        <v>317</v>
      </c>
      <c r="AF40" s="1176" t="s">
        <v>189</v>
      </c>
      <c r="AG40" s="1504" t="s">
        <v>188</v>
      </c>
      <c r="AH40" s="1498">
        <f>O40</f>
        <v>0</v>
      </c>
      <c r="AI40" s="1177">
        <v>528108000</v>
      </c>
      <c r="AJ40" s="1179">
        <f>AI40-N40</f>
        <v>528108000</v>
      </c>
      <c r="AK40" s="1168"/>
    </row>
    <row r="41" spans="1:37" s="735" customFormat="1" ht="12">
      <c r="A41" s="795" t="s">
        <v>87</v>
      </c>
      <c r="B41" s="796">
        <f>B39-SUM(B40:B40)</f>
        <v>528108000</v>
      </c>
      <c r="C41" s="797"/>
      <c r="D41" s="797"/>
      <c r="E41" s="797"/>
      <c r="F41" s="797"/>
      <c r="G41" s="798"/>
      <c r="H41" s="1411"/>
      <c r="I41" s="799"/>
      <c r="J41" s="279"/>
      <c r="K41" s="119"/>
      <c r="L41" s="15">
        <f>SUM(L40:L40)</f>
        <v>0</v>
      </c>
      <c r="M41" s="119"/>
      <c r="N41" s="15">
        <f>SUM(N40:N40)</f>
        <v>0</v>
      </c>
      <c r="O41" s="1472"/>
      <c r="P41" s="279">
        <f t="shared" ref="P41:AC41" si="11">SUM(P40:P40)</f>
        <v>0</v>
      </c>
      <c r="Q41" s="15">
        <f t="shared" si="11"/>
        <v>0</v>
      </c>
      <c r="R41" s="15">
        <f t="shared" si="11"/>
        <v>0</v>
      </c>
      <c r="S41" s="15">
        <f t="shared" si="11"/>
        <v>0</v>
      </c>
      <c r="T41" s="15">
        <f t="shared" si="11"/>
        <v>0</v>
      </c>
      <c r="U41" s="15">
        <f t="shared" si="11"/>
        <v>0</v>
      </c>
      <c r="V41" s="15">
        <f t="shared" si="11"/>
        <v>0</v>
      </c>
      <c r="W41" s="15">
        <f t="shared" si="11"/>
        <v>0</v>
      </c>
      <c r="X41" s="15">
        <f t="shared" si="11"/>
        <v>0</v>
      </c>
      <c r="Y41" s="15">
        <f t="shared" si="11"/>
        <v>0</v>
      </c>
      <c r="Z41" s="15">
        <f t="shared" si="11"/>
        <v>0</v>
      </c>
      <c r="AA41" s="206">
        <f t="shared" si="11"/>
        <v>0</v>
      </c>
      <c r="AB41" s="279">
        <f t="shared" si="11"/>
        <v>0</v>
      </c>
      <c r="AC41" s="206">
        <f t="shared" si="11"/>
        <v>0</v>
      </c>
      <c r="AE41" s="1180">
        <f t="shared" ref="AE41:AJ41" si="12">SUM(AE40:AE40)</f>
        <v>317</v>
      </c>
      <c r="AF41" s="15">
        <f t="shared" si="12"/>
        <v>0</v>
      </c>
      <c r="AG41" s="15">
        <f t="shared" si="12"/>
        <v>0</v>
      </c>
      <c r="AH41" s="1496">
        <f t="shared" si="12"/>
        <v>0</v>
      </c>
      <c r="AI41" s="15">
        <f t="shared" si="12"/>
        <v>528108000</v>
      </c>
      <c r="AJ41" s="206">
        <f t="shared" si="12"/>
        <v>528108000</v>
      </c>
      <c r="AK41" s="1168">
        <f>B39-AI41</f>
        <v>0</v>
      </c>
    </row>
    <row r="42" spans="1:37" s="786" customFormat="1" ht="69.75" customHeight="1">
      <c r="A42" s="773" t="s">
        <v>166</v>
      </c>
      <c r="B42" s="782">
        <v>2052827000</v>
      </c>
      <c r="C42" s="314" t="s">
        <v>88</v>
      </c>
      <c r="D42" s="1036" t="s">
        <v>909</v>
      </c>
      <c r="E42" s="1036" t="s">
        <v>153</v>
      </c>
      <c r="F42" s="1036" t="s">
        <v>912</v>
      </c>
      <c r="G42" s="1037" t="s">
        <v>86</v>
      </c>
      <c r="H42" s="1408"/>
      <c r="I42" s="783">
        <v>0</v>
      </c>
      <c r="J42" s="784"/>
      <c r="K42" s="507"/>
      <c r="L42" s="508"/>
      <c r="M42" s="507"/>
      <c r="N42" s="785"/>
      <c r="O42" s="1470"/>
      <c r="P42" s="779"/>
      <c r="Q42" s="780"/>
      <c r="R42" s="780"/>
      <c r="S42" s="780"/>
      <c r="T42" s="780"/>
      <c r="U42" s="780"/>
      <c r="V42" s="780"/>
      <c r="W42" s="780"/>
      <c r="X42" s="780"/>
      <c r="Y42" s="780"/>
      <c r="Z42" s="780"/>
      <c r="AA42" s="781"/>
      <c r="AB42" s="779"/>
      <c r="AC42" s="781"/>
      <c r="AE42" s="1640"/>
      <c r="AF42" s="780"/>
      <c r="AG42" s="780"/>
      <c r="AH42" s="780"/>
      <c r="AI42" s="780"/>
      <c r="AJ42" s="781"/>
      <c r="AK42" s="1168"/>
    </row>
    <row r="43" spans="1:37" s="735" customFormat="1">
      <c r="A43" s="804"/>
      <c r="B43" s="309">
        <f>L43</f>
        <v>0</v>
      </c>
      <c r="C43" s="111" t="s">
        <v>88</v>
      </c>
      <c r="D43" s="112" t="s">
        <v>909</v>
      </c>
      <c r="E43" s="112" t="s">
        <v>153</v>
      </c>
      <c r="F43" s="112" t="s">
        <v>912</v>
      </c>
      <c r="G43" s="113" t="s">
        <v>86</v>
      </c>
      <c r="H43" s="1409">
        <v>317</v>
      </c>
      <c r="I43" s="788">
        <v>0</v>
      </c>
      <c r="J43" s="789"/>
      <c r="K43" s="317"/>
      <c r="L43" s="75"/>
      <c r="M43" s="317"/>
      <c r="N43" s="793"/>
      <c r="O43" s="1471"/>
      <c r="P43" s="791"/>
      <c r="Q43" s="563"/>
      <c r="R43" s="563"/>
      <c r="S43" s="563"/>
      <c r="T43" s="563"/>
      <c r="U43" s="563"/>
      <c r="V43" s="563"/>
      <c r="W43" s="563"/>
      <c r="X43" s="563"/>
      <c r="Y43" s="563"/>
      <c r="Z43" s="563"/>
      <c r="AA43" s="816"/>
      <c r="AB43" s="794">
        <f>SUM(P43:AA43)</f>
        <v>0</v>
      </c>
      <c r="AC43" s="792">
        <f>N43-AB43</f>
        <v>0</v>
      </c>
      <c r="AE43" s="1175">
        <v>317</v>
      </c>
      <c r="AF43" s="1176" t="s">
        <v>189</v>
      </c>
      <c r="AG43" s="1504" t="s">
        <v>188</v>
      </c>
      <c r="AH43" s="1498">
        <f>O43</f>
        <v>0</v>
      </c>
      <c r="AI43" s="1177">
        <v>2052827000</v>
      </c>
      <c r="AJ43" s="1179">
        <f>AI43-N43</f>
        <v>2052827000</v>
      </c>
      <c r="AK43" s="1168"/>
    </row>
    <row r="44" spans="1:37" s="735" customFormat="1" ht="12">
      <c r="A44" s="795" t="s">
        <v>87</v>
      </c>
      <c r="B44" s="796">
        <f>B42-SUM(B43:B43)</f>
        <v>2052827000</v>
      </c>
      <c r="C44" s="797"/>
      <c r="D44" s="797"/>
      <c r="E44" s="797"/>
      <c r="F44" s="797"/>
      <c r="G44" s="798"/>
      <c r="H44" s="1411"/>
      <c r="I44" s="799"/>
      <c r="J44" s="279"/>
      <c r="K44" s="119"/>
      <c r="L44" s="15">
        <f>SUM(L43:L43)</f>
        <v>0</v>
      </c>
      <c r="M44" s="119"/>
      <c r="N44" s="15">
        <f>SUM(N43:N43)</f>
        <v>0</v>
      </c>
      <c r="O44" s="1472"/>
      <c r="P44" s="279">
        <f t="shared" ref="P44:AC44" si="13">SUM(P43:P43)</f>
        <v>0</v>
      </c>
      <c r="Q44" s="15">
        <f t="shared" si="13"/>
        <v>0</v>
      </c>
      <c r="R44" s="15">
        <f t="shared" si="13"/>
        <v>0</v>
      </c>
      <c r="S44" s="15">
        <f t="shared" si="13"/>
        <v>0</v>
      </c>
      <c r="T44" s="15">
        <f t="shared" si="13"/>
        <v>0</v>
      </c>
      <c r="U44" s="15">
        <f t="shared" si="13"/>
        <v>0</v>
      </c>
      <c r="V44" s="15">
        <f t="shared" si="13"/>
        <v>0</v>
      </c>
      <c r="W44" s="15">
        <f t="shared" si="13"/>
        <v>0</v>
      </c>
      <c r="X44" s="15">
        <f t="shared" si="13"/>
        <v>0</v>
      </c>
      <c r="Y44" s="15">
        <f t="shared" si="13"/>
        <v>0</v>
      </c>
      <c r="Z44" s="15">
        <f t="shared" si="13"/>
        <v>0</v>
      </c>
      <c r="AA44" s="206">
        <f t="shared" si="13"/>
        <v>0</v>
      </c>
      <c r="AB44" s="279">
        <f t="shared" si="13"/>
        <v>0</v>
      </c>
      <c r="AC44" s="206">
        <f t="shared" si="13"/>
        <v>0</v>
      </c>
      <c r="AE44" s="1180">
        <f t="shared" ref="AE44:AJ44" si="14">SUM(AE43:AE43)</f>
        <v>317</v>
      </c>
      <c r="AF44" s="15">
        <f t="shared" si="14"/>
        <v>0</v>
      </c>
      <c r="AG44" s="15">
        <f t="shared" si="14"/>
        <v>0</v>
      </c>
      <c r="AH44" s="1496">
        <f t="shared" si="14"/>
        <v>0</v>
      </c>
      <c r="AI44" s="15">
        <f t="shared" si="14"/>
        <v>2052827000</v>
      </c>
      <c r="AJ44" s="206">
        <f t="shared" si="14"/>
        <v>2052827000</v>
      </c>
      <c r="AK44" s="1168">
        <f>B42-AI44</f>
        <v>0</v>
      </c>
    </row>
    <row r="45" spans="1:37" s="735" customFormat="1" ht="68.25" customHeight="1">
      <c r="A45" s="773" t="s">
        <v>166</v>
      </c>
      <c r="B45" s="782">
        <v>2570000</v>
      </c>
      <c r="C45" s="314" t="s">
        <v>161</v>
      </c>
      <c r="D45" s="1036" t="s">
        <v>909</v>
      </c>
      <c r="E45" s="1036" t="s">
        <v>153</v>
      </c>
      <c r="F45" s="1036" t="s">
        <v>912</v>
      </c>
      <c r="G45" s="1037" t="s">
        <v>86</v>
      </c>
      <c r="H45" s="1412"/>
      <c r="I45" s="112">
        <v>0</v>
      </c>
      <c r="J45" s="112"/>
      <c r="K45" s="1427"/>
      <c r="L45" s="112"/>
      <c r="M45" s="1427"/>
      <c r="N45" s="112"/>
      <c r="O45" s="1427"/>
      <c r="P45" s="112"/>
      <c r="Q45" s="112"/>
      <c r="R45" s="112"/>
      <c r="S45" s="112"/>
      <c r="T45" s="112"/>
      <c r="U45" s="112"/>
      <c r="V45" s="112"/>
      <c r="W45" s="112"/>
      <c r="X45" s="112"/>
      <c r="Y45" s="112"/>
      <c r="Z45" s="112"/>
      <c r="AA45" s="727"/>
      <c r="AB45" s="726"/>
      <c r="AC45" s="727"/>
      <c r="AE45" s="1641"/>
      <c r="AF45" s="112"/>
      <c r="AG45" s="112"/>
      <c r="AH45" s="112"/>
      <c r="AI45" s="112"/>
      <c r="AJ45" s="727"/>
      <c r="AK45" s="1168"/>
    </row>
    <row r="46" spans="1:37" s="735" customFormat="1">
      <c r="A46" s="804"/>
      <c r="B46" s="806">
        <f>L46</f>
        <v>0</v>
      </c>
      <c r="C46" s="111" t="s">
        <v>161</v>
      </c>
      <c r="D46" s="112" t="s">
        <v>909</v>
      </c>
      <c r="E46" s="112" t="s">
        <v>153</v>
      </c>
      <c r="F46" s="112" t="s">
        <v>912</v>
      </c>
      <c r="G46" s="113" t="s">
        <v>86</v>
      </c>
      <c r="H46" s="1409">
        <v>317</v>
      </c>
      <c r="I46" s="805">
        <v>0</v>
      </c>
      <c r="J46" s="280"/>
      <c r="K46" s="116"/>
      <c r="L46" s="8"/>
      <c r="M46" s="116"/>
      <c r="N46" s="8"/>
      <c r="O46" s="1473"/>
      <c r="P46" s="280"/>
      <c r="Q46" s="8"/>
      <c r="R46" s="8"/>
      <c r="S46" s="8"/>
      <c r="T46" s="8"/>
      <c r="U46" s="8"/>
      <c r="V46" s="8"/>
      <c r="W46" s="8"/>
      <c r="X46" s="8"/>
      <c r="Y46" s="8"/>
      <c r="Z46" s="8"/>
      <c r="AA46" s="208"/>
      <c r="AB46" s="794">
        <f>SUM(P46:AA46)</f>
        <v>0</v>
      </c>
      <c r="AC46" s="792">
        <f>N46-AB46</f>
        <v>0</v>
      </c>
      <c r="AE46" s="1175">
        <v>317</v>
      </c>
      <c r="AF46" s="1176" t="s">
        <v>189</v>
      </c>
      <c r="AG46" s="1504" t="s">
        <v>188</v>
      </c>
      <c r="AH46" s="1498">
        <f>O46</f>
        <v>0</v>
      </c>
      <c r="AI46" s="1177">
        <v>2570000</v>
      </c>
      <c r="AJ46" s="1179">
        <f>AI46-N46</f>
        <v>2570000</v>
      </c>
      <c r="AK46" s="1168"/>
    </row>
    <row r="47" spans="1:37" s="735" customFormat="1" ht="12">
      <c r="A47" s="807"/>
      <c r="B47" s="796">
        <f>B45-SUM(B46:B46)</f>
        <v>2570000</v>
      </c>
      <c r="C47" s="797"/>
      <c r="D47" s="802"/>
      <c r="E47" s="802"/>
      <c r="F47" s="802"/>
      <c r="G47" s="803"/>
      <c r="H47" s="1413"/>
      <c r="I47" s="799"/>
      <c r="J47" s="279"/>
      <c r="K47" s="119"/>
      <c r="L47" s="15">
        <f>SUM(L45:L46)</f>
        <v>0</v>
      </c>
      <c r="M47" s="119"/>
      <c r="N47" s="15">
        <f>SUM(N45:N46)</f>
        <v>0</v>
      </c>
      <c r="O47" s="1472"/>
      <c r="P47" s="15">
        <f t="shared" ref="P47:AC47" si="15">SUM(P45:P46)</f>
        <v>0</v>
      </c>
      <c r="Q47" s="15">
        <f t="shared" si="15"/>
        <v>0</v>
      </c>
      <c r="R47" s="15">
        <f t="shared" si="15"/>
        <v>0</v>
      </c>
      <c r="S47" s="15">
        <f t="shared" si="15"/>
        <v>0</v>
      </c>
      <c r="T47" s="15">
        <f t="shared" si="15"/>
        <v>0</v>
      </c>
      <c r="U47" s="15">
        <f t="shared" si="15"/>
        <v>0</v>
      </c>
      <c r="V47" s="15">
        <f t="shared" si="15"/>
        <v>0</v>
      </c>
      <c r="W47" s="15">
        <f t="shared" si="15"/>
        <v>0</v>
      </c>
      <c r="X47" s="15">
        <f t="shared" si="15"/>
        <v>0</v>
      </c>
      <c r="Y47" s="15">
        <f t="shared" si="15"/>
        <v>0</v>
      </c>
      <c r="Z47" s="15">
        <f t="shared" si="15"/>
        <v>0</v>
      </c>
      <c r="AA47" s="206">
        <f t="shared" si="15"/>
        <v>0</v>
      </c>
      <c r="AB47" s="279">
        <f t="shared" si="15"/>
        <v>0</v>
      </c>
      <c r="AC47" s="206">
        <f t="shared" si="15"/>
        <v>0</v>
      </c>
      <c r="AE47" s="1180">
        <f t="shared" ref="AE47:AJ47" si="16">SUM(AE45:AE46)</f>
        <v>317</v>
      </c>
      <c r="AF47" s="15">
        <f t="shared" si="16"/>
        <v>0</v>
      </c>
      <c r="AG47" s="15">
        <f t="shared" si="16"/>
        <v>0</v>
      </c>
      <c r="AH47" s="1496">
        <f t="shared" si="16"/>
        <v>0</v>
      </c>
      <c r="AI47" s="15">
        <f t="shared" si="16"/>
        <v>2570000</v>
      </c>
      <c r="AJ47" s="206">
        <f t="shared" si="16"/>
        <v>2570000</v>
      </c>
      <c r="AK47" s="1168">
        <f>B45-AI47</f>
        <v>0</v>
      </c>
    </row>
    <row r="48" spans="1:37" s="735" customFormat="1" ht="60.75" customHeight="1">
      <c r="A48" s="773" t="s">
        <v>166</v>
      </c>
      <c r="B48" s="782">
        <v>20000000</v>
      </c>
      <c r="C48" s="314" t="s">
        <v>160</v>
      </c>
      <c r="D48" s="1036" t="s">
        <v>909</v>
      </c>
      <c r="E48" s="1036" t="s">
        <v>153</v>
      </c>
      <c r="F48" s="1036" t="s">
        <v>912</v>
      </c>
      <c r="G48" s="1037" t="s">
        <v>86</v>
      </c>
      <c r="H48" s="1408"/>
      <c r="I48" s="783">
        <v>0</v>
      </c>
      <c r="J48" s="784"/>
      <c r="K48" s="507"/>
      <c r="L48" s="508"/>
      <c r="M48" s="507"/>
      <c r="N48" s="778"/>
      <c r="O48" s="1470"/>
      <c r="P48" s="779"/>
      <c r="Q48" s="780"/>
      <c r="R48" s="780"/>
      <c r="S48" s="780"/>
      <c r="T48" s="780"/>
      <c r="U48" s="780"/>
      <c r="V48" s="780"/>
      <c r="W48" s="780"/>
      <c r="X48" s="780"/>
      <c r="Y48" s="780"/>
      <c r="Z48" s="780"/>
      <c r="AA48" s="781"/>
      <c r="AB48" s="779"/>
      <c r="AC48" s="781"/>
      <c r="AE48" s="1640"/>
      <c r="AF48" s="780"/>
      <c r="AG48" s="780"/>
      <c r="AH48" s="780"/>
      <c r="AI48" s="780"/>
      <c r="AJ48" s="781"/>
      <c r="AK48" s="1168"/>
    </row>
    <row r="49" spans="1:37" s="735" customFormat="1">
      <c r="A49" s="787"/>
      <c r="B49" s="570">
        <f>L49</f>
        <v>0</v>
      </c>
      <c r="C49" s="111" t="s">
        <v>160</v>
      </c>
      <c r="D49" s="112" t="s">
        <v>909</v>
      </c>
      <c r="E49" s="112" t="s">
        <v>153</v>
      </c>
      <c r="F49" s="112" t="s">
        <v>912</v>
      </c>
      <c r="G49" s="113" t="s">
        <v>86</v>
      </c>
      <c r="H49" s="1409">
        <v>317</v>
      </c>
      <c r="I49" s="788">
        <v>0</v>
      </c>
      <c r="J49" s="789"/>
      <c r="K49" s="318"/>
      <c r="L49" s="222"/>
      <c r="M49" s="317"/>
      <c r="N49" s="793"/>
      <c r="O49" s="1471"/>
      <c r="P49" s="791"/>
      <c r="Q49" s="563"/>
      <c r="R49" s="563"/>
      <c r="S49" s="563"/>
      <c r="T49" s="563"/>
      <c r="U49" s="563"/>
      <c r="V49" s="563"/>
      <c r="W49" s="563"/>
      <c r="X49" s="563"/>
      <c r="Y49" s="563"/>
      <c r="Z49" s="563"/>
      <c r="AA49" s="816"/>
      <c r="AB49" s="794">
        <f>SUM(P49:AA49)</f>
        <v>0</v>
      </c>
      <c r="AC49" s="792">
        <f>N49-AB49</f>
        <v>0</v>
      </c>
      <c r="AE49" s="1175">
        <v>317</v>
      </c>
      <c r="AF49" s="1176" t="s">
        <v>189</v>
      </c>
      <c r="AG49" s="1504" t="s">
        <v>188</v>
      </c>
      <c r="AH49" s="1498">
        <f>O49</f>
        <v>0</v>
      </c>
      <c r="AI49" s="1177">
        <v>20000000</v>
      </c>
      <c r="AJ49" s="1179">
        <f>AI49-N49</f>
        <v>20000000</v>
      </c>
      <c r="AK49" s="1168"/>
    </row>
    <row r="50" spans="1:37" s="735" customFormat="1" ht="12">
      <c r="A50" s="795" t="s">
        <v>87</v>
      </c>
      <c r="B50" s="796">
        <f>B48-SUM(B49:B49)</f>
        <v>20000000</v>
      </c>
      <c r="C50" s="797"/>
      <c r="D50" s="802"/>
      <c r="E50" s="802"/>
      <c r="F50" s="802"/>
      <c r="G50" s="803"/>
      <c r="H50" s="1413"/>
      <c r="I50" s="799"/>
      <c r="J50" s="279"/>
      <c r="K50" s="119"/>
      <c r="L50" s="15">
        <f>SUM(L49:L49)</f>
        <v>0</v>
      </c>
      <c r="M50" s="119"/>
      <c r="N50" s="15">
        <f>SUM(N49:N49)</f>
        <v>0</v>
      </c>
      <c r="O50" s="1472"/>
      <c r="P50" s="15">
        <f t="shared" ref="P50:AC50" si="17">SUM(P49:P49)</f>
        <v>0</v>
      </c>
      <c r="Q50" s="15">
        <f t="shared" si="17"/>
        <v>0</v>
      </c>
      <c r="R50" s="15">
        <f t="shared" si="17"/>
        <v>0</v>
      </c>
      <c r="S50" s="15">
        <f t="shared" si="17"/>
        <v>0</v>
      </c>
      <c r="T50" s="15">
        <f t="shared" si="17"/>
        <v>0</v>
      </c>
      <c r="U50" s="15">
        <f t="shared" si="17"/>
        <v>0</v>
      </c>
      <c r="V50" s="15">
        <f t="shared" si="17"/>
        <v>0</v>
      </c>
      <c r="W50" s="15">
        <f t="shared" si="17"/>
        <v>0</v>
      </c>
      <c r="X50" s="15">
        <f t="shared" si="17"/>
        <v>0</v>
      </c>
      <c r="Y50" s="15">
        <f t="shared" si="17"/>
        <v>0</v>
      </c>
      <c r="Z50" s="15">
        <f t="shared" si="17"/>
        <v>0</v>
      </c>
      <c r="AA50" s="206">
        <f t="shared" si="17"/>
        <v>0</v>
      </c>
      <c r="AB50" s="279">
        <f t="shared" si="17"/>
        <v>0</v>
      </c>
      <c r="AC50" s="206">
        <f t="shared" si="17"/>
        <v>0</v>
      </c>
      <c r="AE50" s="1180">
        <f t="shared" ref="AE50:AJ50" si="18">SUM(AE49:AE49)</f>
        <v>317</v>
      </c>
      <c r="AF50" s="15">
        <f t="shared" si="18"/>
        <v>0</v>
      </c>
      <c r="AG50" s="15">
        <f t="shared" si="18"/>
        <v>0</v>
      </c>
      <c r="AH50" s="1496">
        <f t="shared" si="18"/>
        <v>0</v>
      </c>
      <c r="AI50" s="15">
        <f t="shared" si="18"/>
        <v>20000000</v>
      </c>
      <c r="AJ50" s="206">
        <f t="shared" si="18"/>
        <v>20000000</v>
      </c>
      <c r="AK50" s="1168">
        <f>B48-AI50</f>
        <v>0</v>
      </c>
    </row>
    <row r="51" spans="1:37" s="786" customFormat="1" ht="69" customHeight="1">
      <c r="A51" s="773" t="s">
        <v>167</v>
      </c>
      <c r="B51" s="1071">
        <v>100000000</v>
      </c>
      <c r="C51" s="314" t="s">
        <v>44</v>
      </c>
      <c r="D51" s="1036" t="s">
        <v>909</v>
      </c>
      <c r="E51" s="1036" t="s">
        <v>153</v>
      </c>
      <c r="F51" s="1036" t="s">
        <v>912</v>
      </c>
      <c r="G51" s="1037" t="s">
        <v>86</v>
      </c>
      <c r="H51" s="1408"/>
      <c r="I51" s="783">
        <v>0</v>
      </c>
      <c r="J51" s="784"/>
      <c r="K51" s="507"/>
      <c r="L51" s="508"/>
      <c r="M51" s="507"/>
      <c r="N51" s="785"/>
      <c r="O51" s="1470"/>
      <c r="P51" s="779"/>
      <c r="Q51" s="780"/>
      <c r="R51" s="780"/>
      <c r="S51" s="780"/>
      <c r="T51" s="780"/>
      <c r="U51" s="780"/>
      <c r="V51" s="780"/>
      <c r="W51" s="780"/>
      <c r="X51" s="780"/>
      <c r="Y51" s="780"/>
      <c r="Z51" s="780"/>
      <c r="AA51" s="781"/>
      <c r="AB51" s="779"/>
      <c r="AC51" s="781"/>
      <c r="AE51" s="1640"/>
      <c r="AF51" s="780"/>
      <c r="AG51" s="780"/>
      <c r="AH51" s="780"/>
      <c r="AI51" s="780"/>
      <c r="AJ51" s="781"/>
      <c r="AK51" s="1168"/>
    </row>
    <row r="52" spans="1:37" s="735" customFormat="1">
      <c r="A52" s="1072" t="s">
        <v>167</v>
      </c>
      <c r="B52" s="309">
        <f>L52</f>
        <v>0</v>
      </c>
      <c r="C52" s="111" t="s">
        <v>44</v>
      </c>
      <c r="D52" s="112" t="s">
        <v>909</v>
      </c>
      <c r="E52" s="112" t="s">
        <v>153</v>
      </c>
      <c r="F52" s="112" t="s">
        <v>912</v>
      </c>
      <c r="G52" s="113" t="s">
        <v>86</v>
      </c>
      <c r="H52" s="1409">
        <v>311</v>
      </c>
      <c r="I52" s="788">
        <v>0</v>
      </c>
      <c r="J52" s="789"/>
      <c r="K52" s="790"/>
      <c r="L52" s="222"/>
      <c r="M52" s="317"/>
      <c r="N52" s="793"/>
      <c r="O52" s="1471"/>
      <c r="P52" s="791"/>
      <c r="Q52" s="563"/>
      <c r="R52" s="563"/>
      <c r="S52" s="563"/>
      <c r="T52" s="563"/>
      <c r="U52" s="563"/>
      <c r="V52" s="563"/>
      <c r="W52" s="563"/>
      <c r="X52" s="563"/>
      <c r="Y52" s="563"/>
      <c r="Z52" s="563"/>
      <c r="AA52" s="816"/>
      <c r="AB52" s="794">
        <f>SUM(P52:AA52)</f>
        <v>0</v>
      </c>
      <c r="AC52" s="792">
        <f>N52-AB52</f>
        <v>0</v>
      </c>
      <c r="AE52" s="1175">
        <v>311</v>
      </c>
      <c r="AF52" s="1176" t="s">
        <v>507</v>
      </c>
      <c r="AG52" s="1504" t="s">
        <v>188</v>
      </c>
      <c r="AH52" s="1498">
        <f>O52</f>
        <v>0</v>
      </c>
      <c r="AI52" s="1177">
        <v>100000000</v>
      </c>
      <c r="AJ52" s="1179">
        <f>AI52-N52</f>
        <v>100000000</v>
      </c>
      <c r="AK52" s="1168"/>
    </row>
    <row r="53" spans="1:37" s="735" customFormat="1" ht="12">
      <c r="A53" s="795" t="s">
        <v>87</v>
      </c>
      <c r="B53" s="796">
        <f>B51-SUM(B52:B52)</f>
        <v>100000000</v>
      </c>
      <c r="C53" s="797"/>
      <c r="D53" s="797"/>
      <c r="E53" s="797"/>
      <c r="F53" s="797"/>
      <c r="G53" s="798"/>
      <c r="H53" s="1411"/>
      <c r="I53" s="799"/>
      <c r="J53" s="279"/>
      <c r="K53" s="119"/>
      <c r="L53" s="15">
        <f>SUM(L52:L52)</f>
        <v>0</v>
      </c>
      <c r="M53" s="119"/>
      <c r="N53" s="15">
        <f>SUM(N52:N52)</f>
        <v>0</v>
      </c>
      <c r="O53" s="1472"/>
      <c r="P53" s="279">
        <f t="shared" ref="P53:AC53" si="19">SUM(P52:P52)</f>
        <v>0</v>
      </c>
      <c r="Q53" s="15">
        <f t="shared" si="19"/>
        <v>0</v>
      </c>
      <c r="R53" s="15">
        <f t="shared" si="19"/>
        <v>0</v>
      </c>
      <c r="S53" s="15">
        <f t="shared" si="19"/>
        <v>0</v>
      </c>
      <c r="T53" s="15">
        <f t="shared" si="19"/>
        <v>0</v>
      </c>
      <c r="U53" s="15">
        <f t="shared" si="19"/>
        <v>0</v>
      </c>
      <c r="V53" s="15">
        <f t="shared" si="19"/>
        <v>0</v>
      </c>
      <c r="W53" s="15">
        <f t="shared" si="19"/>
        <v>0</v>
      </c>
      <c r="X53" s="15">
        <f t="shared" si="19"/>
        <v>0</v>
      </c>
      <c r="Y53" s="15">
        <f t="shared" si="19"/>
        <v>0</v>
      </c>
      <c r="Z53" s="15">
        <f t="shared" si="19"/>
        <v>0</v>
      </c>
      <c r="AA53" s="206">
        <f t="shared" si="19"/>
        <v>0</v>
      </c>
      <c r="AB53" s="279">
        <f t="shared" si="19"/>
        <v>0</v>
      </c>
      <c r="AC53" s="206">
        <f t="shared" si="19"/>
        <v>0</v>
      </c>
      <c r="AE53" s="1180">
        <f t="shared" ref="AE53:AJ53" si="20">SUM(AE52:AE52)</f>
        <v>311</v>
      </c>
      <c r="AF53" s="15">
        <f t="shared" si="20"/>
        <v>0</v>
      </c>
      <c r="AG53" s="15">
        <f t="shared" si="20"/>
        <v>0</v>
      </c>
      <c r="AH53" s="1496">
        <f t="shared" si="20"/>
        <v>0</v>
      </c>
      <c r="AI53" s="15">
        <f t="shared" si="20"/>
        <v>100000000</v>
      </c>
      <c r="AJ53" s="206">
        <f t="shared" si="20"/>
        <v>100000000</v>
      </c>
      <c r="AK53" s="1168">
        <f>B51-AI53</f>
        <v>0</v>
      </c>
    </row>
    <row r="54" spans="1:37" s="786" customFormat="1" ht="69" customHeight="1">
      <c r="A54" s="773" t="s">
        <v>168</v>
      </c>
      <c r="B54" s="1071">
        <v>330000000</v>
      </c>
      <c r="C54" s="314" t="s">
        <v>44</v>
      </c>
      <c r="D54" s="1036" t="s">
        <v>909</v>
      </c>
      <c r="E54" s="1036" t="s">
        <v>153</v>
      </c>
      <c r="F54" s="1036" t="s">
        <v>912</v>
      </c>
      <c r="G54" s="1037" t="s">
        <v>86</v>
      </c>
      <c r="H54" s="1408"/>
      <c r="I54" s="783">
        <v>0</v>
      </c>
      <c r="J54" s="784"/>
      <c r="K54" s="507"/>
      <c r="L54" s="508"/>
      <c r="M54" s="507"/>
      <c r="N54" s="785"/>
      <c r="O54" s="1470"/>
      <c r="P54" s="779"/>
      <c r="Q54" s="780"/>
      <c r="R54" s="780"/>
      <c r="S54" s="780"/>
      <c r="T54" s="780"/>
      <c r="U54" s="780"/>
      <c r="V54" s="780"/>
      <c r="W54" s="780"/>
      <c r="X54" s="780"/>
      <c r="Y54" s="780"/>
      <c r="Z54" s="780"/>
      <c r="AA54" s="781"/>
      <c r="AB54" s="779"/>
      <c r="AC54" s="781"/>
      <c r="AE54" s="1640"/>
      <c r="AF54" s="780"/>
      <c r="AG54" s="780"/>
      <c r="AH54" s="780"/>
      <c r="AI54" s="780"/>
      <c r="AJ54" s="781"/>
      <c r="AK54" s="1168"/>
    </row>
    <row r="55" spans="1:37" s="786" customFormat="1" ht="15">
      <c r="A55" s="1072" t="s">
        <v>168</v>
      </c>
      <c r="B55" s="309">
        <f>L55</f>
        <v>0</v>
      </c>
      <c r="C55" s="111" t="s">
        <v>44</v>
      </c>
      <c r="D55" s="112" t="s">
        <v>909</v>
      </c>
      <c r="E55" s="112" t="s">
        <v>153</v>
      </c>
      <c r="F55" s="112" t="s">
        <v>912</v>
      </c>
      <c r="G55" s="113" t="s">
        <v>86</v>
      </c>
      <c r="H55" s="1409">
        <v>312</v>
      </c>
      <c r="I55" s="788">
        <v>0</v>
      </c>
      <c r="J55" s="789"/>
      <c r="K55" s="801"/>
      <c r="L55" s="75"/>
      <c r="M55" s="317"/>
      <c r="N55" s="1096"/>
      <c r="O55" s="1471"/>
      <c r="P55" s="791"/>
      <c r="Q55" s="563"/>
      <c r="R55" s="563"/>
      <c r="S55" s="563"/>
      <c r="T55" s="563"/>
      <c r="U55" s="563"/>
      <c r="V55" s="563"/>
      <c r="W55" s="563"/>
      <c r="X55" s="563"/>
      <c r="Y55" s="563"/>
      <c r="Z55" s="563"/>
      <c r="AA55" s="816"/>
      <c r="AB55" s="794">
        <f>SUM(P55:AA55)</f>
        <v>0</v>
      </c>
      <c r="AC55" s="792">
        <f>N55-AB55</f>
        <v>0</v>
      </c>
      <c r="AE55" s="1175">
        <v>312</v>
      </c>
      <c r="AF55" s="1176" t="s">
        <v>508</v>
      </c>
      <c r="AG55" s="1505" t="s">
        <v>188</v>
      </c>
      <c r="AH55" s="1498">
        <f>O55</f>
        <v>0</v>
      </c>
      <c r="AI55" s="1177">
        <v>248000000</v>
      </c>
      <c r="AJ55" s="1179">
        <f>AI55-N55</f>
        <v>248000000</v>
      </c>
      <c r="AK55" s="1168"/>
    </row>
    <row r="56" spans="1:37" s="786" customFormat="1" ht="15">
      <c r="A56" s="1072" t="s">
        <v>168</v>
      </c>
      <c r="B56" s="309">
        <f>L56</f>
        <v>0</v>
      </c>
      <c r="C56" s="111" t="s">
        <v>44</v>
      </c>
      <c r="D56" s="112" t="s">
        <v>909</v>
      </c>
      <c r="E56" s="112" t="s">
        <v>153</v>
      </c>
      <c r="F56" s="112" t="s">
        <v>912</v>
      </c>
      <c r="G56" s="113" t="s">
        <v>86</v>
      </c>
      <c r="H56" s="1409">
        <v>313</v>
      </c>
      <c r="I56" s="788">
        <v>0</v>
      </c>
      <c r="J56" s="789"/>
      <c r="K56" s="801"/>
      <c r="L56" s="75"/>
      <c r="M56" s="317"/>
      <c r="N56" s="1096"/>
      <c r="O56" s="1471"/>
      <c r="P56" s="791"/>
      <c r="Q56" s="563"/>
      <c r="R56" s="563"/>
      <c r="S56" s="563"/>
      <c r="T56" s="563"/>
      <c r="U56" s="563"/>
      <c r="V56" s="563"/>
      <c r="W56" s="563"/>
      <c r="X56" s="563"/>
      <c r="Y56" s="563"/>
      <c r="Z56" s="563"/>
      <c r="AA56" s="816"/>
      <c r="AB56" s="794">
        <f>SUM(P56:AA56)</f>
        <v>0</v>
      </c>
      <c r="AC56" s="792">
        <f>N56-AB56</f>
        <v>0</v>
      </c>
      <c r="AE56" s="1175">
        <v>313</v>
      </c>
      <c r="AF56" s="1176" t="s">
        <v>509</v>
      </c>
      <c r="AG56" s="1505" t="s">
        <v>188</v>
      </c>
      <c r="AH56" s="1498">
        <f>O56</f>
        <v>0</v>
      </c>
      <c r="AI56" s="1177">
        <v>22000000</v>
      </c>
      <c r="AJ56" s="1179">
        <f>AI56-N56</f>
        <v>22000000</v>
      </c>
      <c r="AK56" s="1168"/>
    </row>
    <row r="57" spans="1:37" s="786" customFormat="1" ht="15">
      <c r="A57" s="1072" t="s">
        <v>168</v>
      </c>
      <c r="B57" s="309">
        <f>L57</f>
        <v>0</v>
      </c>
      <c r="C57" s="111" t="s">
        <v>44</v>
      </c>
      <c r="D57" s="112" t="s">
        <v>909</v>
      </c>
      <c r="E57" s="112" t="s">
        <v>153</v>
      </c>
      <c r="F57" s="112" t="s">
        <v>912</v>
      </c>
      <c r="G57" s="113" t="s">
        <v>86</v>
      </c>
      <c r="H57" s="1409">
        <v>314</v>
      </c>
      <c r="I57" s="788">
        <v>0</v>
      </c>
      <c r="J57" s="789"/>
      <c r="K57" s="801"/>
      <c r="L57" s="75"/>
      <c r="M57" s="317"/>
      <c r="N57" s="1096"/>
      <c r="O57" s="1471"/>
      <c r="P57" s="791"/>
      <c r="Q57" s="563"/>
      <c r="R57" s="563"/>
      <c r="S57" s="563"/>
      <c r="T57" s="563"/>
      <c r="U57" s="563"/>
      <c r="V57" s="563"/>
      <c r="W57" s="563"/>
      <c r="X57" s="563"/>
      <c r="Y57" s="563"/>
      <c r="Z57" s="563"/>
      <c r="AA57" s="816"/>
      <c r="AB57" s="794">
        <f>SUM(P57:AA57)</f>
        <v>0</v>
      </c>
      <c r="AC57" s="792">
        <f>N57-AB57</f>
        <v>0</v>
      </c>
      <c r="AE57" s="1175">
        <v>314</v>
      </c>
      <c r="AF57" s="1176" t="s">
        <v>510</v>
      </c>
      <c r="AG57" s="1505" t="s">
        <v>188</v>
      </c>
      <c r="AH57" s="1498">
        <f>O57</f>
        <v>0</v>
      </c>
      <c r="AI57" s="1177">
        <v>60000000</v>
      </c>
      <c r="AJ57" s="1179">
        <f>AI57-N57</f>
        <v>60000000</v>
      </c>
      <c r="AK57" s="1168"/>
    </row>
    <row r="58" spans="1:37" s="735" customFormat="1" ht="15">
      <c r="A58" s="1072" t="s">
        <v>168</v>
      </c>
      <c r="B58" s="309">
        <f>L58</f>
        <v>0</v>
      </c>
      <c r="C58" s="111" t="s">
        <v>44</v>
      </c>
      <c r="D58" s="112" t="s">
        <v>909</v>
      </c>
      <c r="E58" s="112" t="s">
        <v>153</v>
      </c>
      <c r="F58" s="112" t="s">
        <v>912</v>
      </c>
      <c r="G58" s="113" t="s">
        <v>86</v>
      </c>
      <c r="H58" s="1410" t="s">
        <v>188</v>
      </c>
      <c r="I58" s="788">
        <v>0</v>
      </c>
      <c r="J58" s="789"/>
      <c r="K58" s="801"/>
      <c r="L58" s="222"/>
      <c r="M58" s="317"/>
      <c r="N58" s="793"/>
      <c r="O58" s="1471"/>
      <c r="P58" s="791"/>
      <c r="Q58" s="563"/>
      <c r="R58" s="563"/>
      <c r="S58" s="563"/>
      <c r="T58" s="563"/>
      <c r="U58" s="563"/>
      <c r="V58" s="563"/>
      <c r="W58" s="563"/>
      <c r="X58" s="563"/>
      <c r="Y58" s="563"/>
      <c r="Z58" s="563"/>
      <c r="AA58" s="816"/>
      <c r="AB58" s="794">
        <f>SUM(P58:AA58)</f>
        <v>0</v>
      </c>
      <c r="AC58" s="792">
        <f>N58-AB58</f>
        <v>0</v>
      </c>
      <c r="AE58" s="1175"/>
      <c r="AF58" s="1176"/>
      <c r="AG58" s="1505" t="s">
        <v>188</v>
      </c>
      <c r="AH58" s="1498">
        <f>O58</f>
        <v>0</v>
      </c>
      <c r="AI58" s="1177"/>
      <c r="AJ58" s="1179">
        <f>AI58-N58</f>
        <v>0</v>
      </c>
      <c r="AK58" s="1168"/>
    </row>
    <row r="59" spans="1:37" s="735" customFormat="1" ht="12">
      <c r="A59" s="795" t="s">
        <v>87</v>
      </c>
      <c r="B59" s="796">
        <f>B54-SUM(B55:B58)</f>
        <v>330000000</v>
      </c>
      <c r="C59" s="797"/>
      <c r="D59" s="797"/>
      <c r="E59" s="797"/>
      <c r="F59" s="797"/>
      <c r="G59" s="798"/>
      <c r="H59" s="1411"/>
      <c r="I59" s="799"/>
      <c r="J59" s="279"/>
      <c r="K59" s="119"/>
      <c r="L59" s="15">
        <f>SUM(L55:L58)</f>
        <v>0</v>
      </c>
      <c r="M59" s="119"/>
      <c r="N59" s="15">
        <f>SUM(N55:N58)</f>
        <v>0</v>
      </c>
      <c r="O59" s="1472"/>
      <c r="P59" s="15">
        <f>SUM(P55:P58)</f>
        <v>0</v>
      </c>
      <c r="Q59" s="15">
        <f t="shared" ref="Q59:AC59" si="21">SUM(Q55:Q58)</f>
        <v>0</v>
      </c>
      <c r="R59" s="15">
        <f t="shared" si="21"/>
        <v>0</v>
      </c>
      <c r="S59" s="15">
        <f t="shared" si="21"/>
        <v>0</v>
      </c>
      <c r="T59" s="15">
        <f t="shared" si="21"/>
        <v>0</v>
      </c>
      <c r="U59" s="15">
        <f t="shared" si="21"/>
        <v>0</v>
      </c>
      <c r="V59" s="15">
        <f t="shared" si="21"/>
        <v>0</v>
      </c>
      <c r="W59" s="15">
        <f t="shared" si="21"/>
        <v>0</v>
      </c>
      <c r="X59" s="15">
        <f t="shared" si="21"/>
        <v>0</v>
      </c>
      <c r="Y59" s="15">
        <f t="shared" si="21"/>
        <v>0</v>
      </c>
      <c r="Z59" s="15">
        <f t="shared" si="21"/>
        <v>0</v>
      </c>
      <c r="AA59" s="15">
        <f t="shared" si="21"/>
        <v>0</v>
      </c>
      <c r="AB59" s="15">
        <f t="shared" si="21"/>
        <v>0</v>
      </c>
      <c r="AC59" s="15">
        <f t="shared" si="21"/>
        <v>0</v>
      </c>
      <c r="AE59" s="1180"/>
      <c r="AF59" s="15"/>
      <c r="AG59" s="15"/>
      <c r="AH59" s="1496"/>
      <c r="AI59" s="15">
        <f>SUM(AI55:AI58)</f>
        <v>330000000</v>
      </c>
      <c r="AJ59" s="206">
        <f>SUM(AJ55:AJ58)</f>
        <v>330000000</v>
      </c>
      <c r="AK59" s="1168">
        <f>B54-AI59</f>
        <v>0</v>
      </c>
    </row>
    <row r="60" spans="1:37" s="786" customFormat="1" ht="69" customHeight="1">
      <c r="A60" s="773" t="s">
        <v>169</v>
      </c>
      <c r="B60" s="1071">
        <v>860000000</v>
      </c>
      <c r="C60" s="314" t="s">
        <v>44</v>
      </c>
      <c r="D60" s="1036" t="s">
        <v>909</v>
      </c>
      <c r="E60" s="1036" t="s">
        <v>153</v>
      </c>
      <c r="F60" s="1036" t="s">
        <v>912</v>
      </c>
      <c r="G60" s="1037" t="s">
        <v>86</v>
      </c>
      <c r="H60" s="1408"/>
      <c r="I60" s="783">
        <v>0</v>
      </c>
      <c r="J60" s="784"/>
      <c r="K60" s="507"/>
      <c r="L60" s="508"/>
      <c r="M60" s="507"/>
      <c r="N60" s="785"/>
      <c r="O60" s="1470"/>
      <c r="P60" s="779"/>
      <c r="Q60" s="780"/>
      <c r="R60" s="780"/>
      <c r="S60" s="780"/>
      <c r="T60" s="780"/>
      <c r="U60" s="780"/>
      <c r="V60" s="780"/>
      <c r="W60" s="780"/>
      <c r="X60" s="780"/>
      <c r="Y60" s="780"/>
      <c r="Z60" s="780"/>
      <c r="AA60" s="781"/>
      <c r="AB60" s="779"/>
      <c r="AC60" s="781"/>
      <c r="AE60" s="1640"/>
      <c r="AF60" s="780"/>
      <c r="AG60" s="780"/>
      <c r="AH60" s="780"/>
      <c r="AI60" s="780"/>
      <c r="AJ60" s="781"/>
      <c r="AK60" s="1168"/>
    </row>
    <row r="61" spans="1:37" s="786" customFormat="1" ht="15">
      <c r="A61" s="1072" t="s">
        <v>169</v>
      </c>
      <c r="B61" s="309">
        <f>L61</f>
        <v>714166680</v>
      </c>
      <c r="C61" s="111" t="s">
        <v>44</v>
      </c>
      <c r="D61" s="112" t="s">
        <v>909</v>
      </c>
      <c r="E61" s="112" t="s">
        <v>153</v>
      </c>
      <c r="F61" s="112" t="s">
        <v>912</v>
      </c>
      <c r="G61" s="113" t="s">
        <v>86</v>
      </c>
      <c r="H61" s="1409">
        <v>315</v>
      </c>
      <c r="I61" s="788">
        <v>0</v>
      </c>
      <c r="J61" s="789"/>
      <c r="K61" s="801">
        <v>325</v>
      </c>
      <c r="L61" s="222">
        <v>714166680</v>
      </c>
      <c r="M61" s="317"/>
      <c r="N61" s="1096"/>
      <c r="O61" s="1471"/>
      <c r="P61" s="791"/>
      <c r="Q61" s="563"/>
      <c r="R61" s="563"/>
      <c r="S61" s="563"/>
      <c r="T61" s="563"/>
      <c r="U61" s="563"/>
      <c r="V61" s="563"/>
      <c r="W61" s="563"/>
      <c r="X61" s="563"/>
      <c r="Y61" s="563"/>
      <c r="Z61" s="563"/>
      <c r="AA61" s="816"/>
      <c r="AB61" s="794">
        <f>SUM(P61:AA61)</f>
        <v>0</v>
      </c>
      <c r="AC61" s="792">
        <f>N61-AB61</f>
        <v>0</v>
      </c>
      <c r="AE61" s="1175">
        <v>315</v>
      </c>
      <c r="AF61" s="1176" t="s">
        <v>517</v>
      </c>
      <c r="AG61" s="1505" t="s">
        <v>188</v>
      </c>
      <c r="AH61" s="1498">
        <f>O61</f>
        <v>0</v>
      </c>
      <c r="AI61" s="1177">
        <v>714166680</v>
      </c>
      <c r="AJ61" s="1179">
        <f>AI61-N61</f>
        <v>714166680</v>
      </c>
      <c r="AK61" s="1168"/>
    </row>
    <row r="62" spans="1:37" s="786" customFormat="1">
      <c r="A62" s="1072" t="s">
        <v>169</v>
      </c>
      <c r="B62" s="309">
        <f>L62</f>
        <v>985458</v>
      </c>
      <c r="C62" s="111" t="s">
        <v>44</v>
      </c>
      <c r="D62" s="112" t="s">
        <v>909</v>
      </c>
      <c r="E62" s="112" t="s">
        <v>153</v>
      </c>
      <c r="F62" s="112" t="s">
        <v>912</v>
      </c>
      <c r="G62" s="113" t="s">
        <v>86</v>
      </c>
      <c r="H62" s="1409" t="s">
        <v>156</v>
      </c>
      <c r="I62" s="788">
        <v>0</v>
      </c>
      <c r="J62" s="789"/>
      <c r="K62" s="801">
        <v>347</v>
      </c>
      <c r="L62" s="222">
        <v>985458</v>
      </c>
      <c r="M62" s="117">
        <v>347</v>
      </c>
      <c r="N62" s="793">
        <v>985458</v>
      </c>
      <c r="O62" s="1471" t="s">
        <v>870</v>
      </c>
      <c r="P62" s="791"/>
      <c r="Q62" s="563"/>
      <c r="R62" s="563">
        <v>985458</v>
      </c>
      <c r="S62" s="563"/>
      <c r="T62" s="563"/>
      <c r="U62" s="563"/>
      <c r="V62" s="563"/>
      <c r="W62" s="563"/>
      <c r="X62" s="563"/>
      <c r="Y62" s="563"/>
      <c r="Z62" s="563"/>
      <c r="AA62" s="816"/>
      <c r="AB62" s="794">
        <f>SUM(P62:AA62)</f>
        <v>985458</v>
      </c>
      <c r="AC62" s="792">
        <f>N62-AB62</f>
        <v>0</v>
      </c>
      <c r="AE62" s="1175" t="s">
        <v>156</v>
      </c>
      <c r="AF62" s="1176" t="s">
        <v>518</v>
      </c>
      <c r="AG62" s="1504" t="s">
        <v>871</v>
      </c>
      <c r="AH62" s="1498" t="str">
        <f>O62</f>
        <v>FV-18032</v>
      </c>
      <c r="AI62" s="1177">
        <v>3000000</v>
      </c>
      <c r="AJ62" s="1179">
        <f>AI62-N62</f>
        <v>2014542</v>
      </c>
      <c r="AK62" s="1168"/>
    </row>
    <row r="63" spans="1:37" s="786" customFormat="1" ht="15">
      <c r="A63" s="1072" t="s">
        <v>169</v>
      </c>
      <c r="B63" s="309">
        <f>L63</f>
        <v>142833320</v>
      </c>
      <c r="C63" s="111" t="s">
        <v>44</v>
      </c>
      <c r="D63" s="112" t="s">
        <v>909</v>
      </c>
      <c r="E63" s="112" t="s">
        <v>153</v>
      </c>
      <c r="F63" s="112" t="s">
        <v>912</v>
      </c>
      <c r="G63" s="113" t="s">
        <v>86</v>
      </c>
      <c r="H63" s="1409">
        <v>316</v>
      </c>
      <c r="I63" s="788">
        <v>0</v>
      </c>
      <c r="J63" s="789"/>
      <c r="K63" s="801">
        <v>387</v>
      </c>
      <c r="L63" s="222">
        <v>142833320</v>
      </c>
      <c r="M63" s="317"/>
      <c r="N63" s="1096"/>
      <c r="O63" s="1471"/>
      <c r="P63" s="791"/>
      <c r="Q63" s="563"/>
      <c r="R63" s="563"/>
      <c r="S63" s="563"/>
      <c r="T63" s="563"/>
      <c r="U63" s="563"/>
      <c r="V63" s="563"/>
      <c r="W63" s="563"/>
      <c r="X63" s="563"/>
      <c r="Y63" s="563"/>
      <c r="Z63" s="563"/>
      <c r="AA63" s="816"/>
      <c r="AB63" s="794">
        <f>SUM(P63:AA63)</f>
        <v>0</v>
      </c>
      <c r="AC63" s="792">
        <f>N63-AB63</f>
        <v>0</v>
      </c>
      <c r="AE63" s="1175">
        <v>316</v>
      </c>
      <c r="AF63" s="1176" t="s">
        <v>519</v>
      </c>
      <c r="AG63" s="1505" t="s">
        <v>188</v>
      </c>
      <c r="AH63" s="1498">
        <f>O63</f>
        <v>0</v>
      </c>
      <c r="AI63" s="1177">
        <v>142833320</v>
      </c>
      <c r="AJ63" s="1179">
        <f>AI63-N63</f>
        <v>142833320</v>
      </c>
      <c r="AK63" s="1168"/>
    </row>
    <row r="64" spans="1:37" s="786" customFormat="1" ht="15">
      <c r="A64" s="1072" t="s">
        <v>169</v>
      </c>
      <c r="B64" s="309">
        <f>L64</f>
        <v>0</v>
      </c>
      <c r="C64" s="111" t="s">
        <v>44</v>
      </c>
      <c r="D64" s="112" t="s">
        <v>909</v>
      </c>
      <c r="E64" s="112" t="s">
        <v>153</v>
      </c>
      <c r="F64" s="112" t="s">
        <v>912</v>
      </c>
      <c r="G64" s="113" t="s">
        <v>86</v>
      </c>
      <c r="H64" s="1410" t="s">
        <v>188</v>
      </c>
      <c r="I64" s="788">
        <v>0</v>
      </c>
      <c r="J64" s="789"/>
      <c r="K64" s="1095"/>
      <c r="L64" s="75"/>
      <c r="M64" s="317"/>
      <c r="N64" s="1096"/>
      <c r="O64" s="1471"/>
      <c r="P64" s="791"/>
      <c r="Q64" s="563"/>
      <c r="R64" s="563"/>
      <c r="S64" s="563"/>
      <c r="T64" s="563"/>
      <c r="U64" s="563"/>
      <c r="V64" s="563"/>
      <c r="W64" s="563"/>
      <c r="X64" s="563"/>
      <c r="Y64" s="563"/>
      <c r="Z64" s="563"/>
      <c r="AA64" s="816"/>
      <c r="AB64" s="794">
        <f>SUM(P64:AA64)</f>
        <v>0</v>
      </c>
      <c r="AC64" s="792">
        <f>N64-AB64</f>
        <v>0</v>
      </c>
      <c r="AE64" s="1175"/>
      <c r="AF64" s="1176"/>
      <c r="AG64" s="1505" t="s">
        <v>188</v>
      </c>
      <c r="AH64" s="1498">
        <f>O64</f>
        <v>0</v>
      </c>
      <c r="AI64" s="1177"/>
      <c r="AJ64" s="1179">
        <f>AI64-N64</f>
        <v>0</v>
      </c>
      <c r="AK64" s="1168"/>
    </row>
    <row r="65" spans="1:37" s="735" customFormat="1" ht="15">
      <c r="A65" s="1072" t="s">
        <v>169</v>
      </c>
      <c r="B65" s="309">
        <f>L65</f>
        <v>0</v>
      </c>
      <c r="C65" s="111" t="s">
        <v>44</v>
      </c>
      <c r="D65" s="112" t="s">
        <v>909</v>
      </c>
      <c r="E65" s="112" t="s">
        <v>153</v>
      </c>
      <c r="F65" s="112" t="s">
        <v>912</v>
      </c>
      <c r="G65" s="113" t="s">
        <v>86</v>
      </c>
      <c r="H65" s="1410" t="s">
        <v>188</v>
      </c>
      <c r="I65" s="788">
        <v>0</v>
      </c>
      <c r="J65" s="789"/>
      <c r="K65" s="790"/>
      <c r="L65" s="222"/>
      <c r="M65" s="317"/>
      <c r="N65" s="793"/>
      <c r="O65" s="1471"/>
      <c r="P65" s="791"/>
      <c r="Q65" s="563"/>
      <c r="R65" s="563"/>
      <c r="S65" s="563"/>
      <c r="T65" s="563"/>
      <c r="U65" s="563"/>
      <c r="V65" s="563"/>
      <c r="W65" s="563"/>
      <c r="X65" s="563"/>
      <c r="Y65" s="563"/>
      <c r="Z65" s="563"/>
      <c r="AA65" s="816"/>
      <c r="AB65" s="794">
        <f>SUM(P65:AA65)</f>
        <v>0</v>
      </c>
      <c r="AC65" s="792">
        <f>N65-AB65</f>
        <v>0</v>
      </c>
      <c r="AE65" s="1175"/>
      <c r="AF65" s="1176"/>
      <c r="AG65" s="1505" t="s">
        <v>188</v>
      </c>
      <c r="AH65" s="1498">
        <f>O65</f>
        <v>0</v>
      </c>
      <c r="AI65" s="1177"/>
      <c r="AJ65" s="1179">
        <f>AI65-N65</f>
        <v>0</v>
      </c>
      <c r="AK65" s="1168"/>
    </row>
    <row r="66" spans="1:37" s="735" customFormat="1" ht="12">
      <c r="A66" s="795" t="s">
        <v>87</v>
      </c>
      <c r="B66" s="796">
        <f>B60-SUM(B61:B65)</f>
        <v>2014542</v>
      </c>
      <c r="C66" s="797"/>
      <c r="D66" s="797"/>
      <c r="E66" s="797"/>
      <c r="F66" s="797"/>
      <c r="G66" s="798"/>
      <c r="H66" s="1411"/>
      <c r="I66" s="799"/>
      <c r="J66" s="279"/>
      <c r="K66" s="119"/>
      <c r="L66" s="15">
        <f>SUM(L61:L65)</f>
        <v>857985458</v>
      </c>
      <c r="M66" s="119"/>
      <c r="N66" s="15">
        <f>SUM(N61:N65)</f>
        <v>985458</v>
      </c>
      <c r="O66" s="1472"/>
      <c r="P66" s="15">
        <f>SUM(P61:P65)</f>
        <v>0</v>
      </c>
      <c r="Q66" s="15">
        <f t="shared" ref="Q66:AC66" si="22">SUM(Q61:Q65)</f>
        <v>0</v>
      </c>
      <c r="R66" s="15">
        <f t="shared" si="22"/>
        <v>985458</v>
      </c>
      <c r="S66" s="15">
        <f t="shared" si="22"/>
        <v>0</v>
      </c>
      <c r="T66" s="15">
        <f t="shared" si="22"/>
        <v>0</v>
      </c>
      <c r="U66" s="15">
        <f t="shared" si="22"/>
        <v>0</v>
      </c>
      <c r="V66" s="15">
        <f t="shared" si="22"/>
        <v>0</v>
      </c>
      <c r="W66" s="15">
        <f t="shared" si="22"/>
        <v>0</v>
      </c>
      <c r="X66" s="15">
        <f t="shared" si="22"/>
        <v>0</v>
      </c>
      <c r="Y66" s="15">
        <f t="shared" si="22"/>
        <v>0</v>
      </c>
      <c r="Z66" s="15">
        <f t="shared" si="22"/>
        <v>0</v>
      </c>
      <c r="AA66" s="15">
        <f t="shared" si="22"/>
        <v>0</v>
      </c>
      <c r="AB66" s="15">
        <f t="shared" si="22"/>
        <v>985458</v>
      </c>
      <c r="AC66" s="15">
        <f t="shared" si="22"/>
        <v>0</v>
      </c>
      <c r="AE66" s="1180">
        <f t="shared" ref="AE66:AJ66" si="23">SUM(AE61:AE65)</f>
        <v>631</v>
      </c>
      <c r="AF66" s="15">
        <f t="shared" si="23"/>
        <v>0</v>
      </c>
      <c r="AG66" s="15">
        <f t="shared" si="23"/>
        <v>0</v>
      </c>
      <c r="AH66" s="1496">
        <f t="shared" si="23"/>
        <v>0</v>
      </c>
      <c r="AI66" s="15">
        <f t="shared" si="23"/>
        <v>860000000</v>
      </c>
      <c r="AJ66" s="206">
        <f t="shared" si="23"/>
        <v>859014542</v>
      </c>
      <c r="AK66" s="1168">
        <f>B60-AI66</f>
        <v>0</v>
      </c>
    </row>
    <row r="67" spans="1:37" s="786" customFormat="1" ht="69" customHeight="1">
      <c r="A67" s="773" t="s">
        <v>170</v>
      </c>
      <c r="B67" s="1071">
        <v>400000000</v>
      </c>
      <c r="C67" s="314" t="s">
        <v>44</v>
      </c>
      <c r="D67" s="1036" t="s">
        <v>909</v>
      </c>
      <c r="E67" s="1036" t="s">
        <v>153</v>
      </c>
      <c r="F67" s="1036" t="s">
        <v>912</v>
      </c>
      <c r="G67" s="1037" t="s">
        <v>86</v>
      </c>
      <c r="H67" s="1408"/>
      <c r="I67" s="783">
        <v>0</v>
      </c>
      <c r="J67" s="784"/>
      <c r="K67" s="507"/>
      <c r="L67" s="508"/>
      <c r="M67" s="507"/>
      <c r="N67" s="785"/>
      <c r="O67" s="1470"/>
      <c r="P67" s="779"/>
      <c r="Q67" s="780"/>
      <c r="R67" s="780"/>
      <c r="S67" s="780"/>
      <c r="T67" s="780"/>
      <c r="U67" s="780"/>
      <c r="V67" s="780"/>
      <c r="W67" s="780"/>
      <c r="X67" s="780"/>
      <c r="Y67" s="780"/>
      <c r="Z67" s="780"/>
      <c r="AA67" s="781"/>
      <c r="AB67" s="779"/>
      <c r="AC67" s="781"/>
      <c r="AE67" s="1640"/>
      <c r="AF67" s="780"/>
      <c r="AG67" s="780"/>
      <c r="AH67" s="780"/>
      <c r="AI67" s="780"/>
      <c r="AJ67" s="781"/>
      <c r="AK67" s="1168"/>
    </row>
    <row r="68" spans="1:37" s="786" customFormat="1" ht="15">
      <c r="A68" s="1072" t="s">
        <v>170</v>
      </c>
      <c r="B68" s="309">
        <f t="shared" ref="B68:B73" si="24">L68</f>
        <v>0</v>
      </c>
      <c r="C68" s="111" t="s">
        <v>44</v>
      </c>
      <c r="D68" s="112" t="s">
        <v>909</v>
      </c>
      <c r="E68" s="112" t="s">
        <v>153</v>
      </c>
      <c r="F68" s="112" t="s">
        <v>912</v>
      </c>
      <c r="G68" s="113" t="s">
        <v>86</v>
      </c>
      <c r="H68" s="1409">
        <v>322</v>
      </c>
      <c r="I68" s="788">
        <v>0</v>
      </c>
      <c r="J68" s="789"/>
      <c r="K68" s="801"/>
      <c r="L68" s="75"/>
      <c r="M68" s="317"/>
      <c r="N68" s="1096"/>
      <c r="O68" s="1471"/>
      <c r="P68" s="791"/>
      <c r="Q68" s="563"/>
      <c r="R68" s="563"/>
      <c r="S68" s="563"/>
      <c r="T68" s="563"/>
      <c r="U68" s="563"/>
      <c r="V68" s="563"/>
      <c r="W68" s="563"/>
      <c r="X68" s="563"/>
      <c r="Y68" s="563"/>
      <c r="Z68" s="563"/>
      <c r="AA68" s="816"/>
      <c r="AB68" s="794">
        <f t="shared" ref="AB68:AB73" si="25">SUM(P68:AA68)</f>
        <v>0</v>
      </c>
      <c r="AC68" s="792">
        <f t="shared" ref="AC68:AC73" si="26">N68-AB68</f>
        <v>0</v>
      </c>
      <c r="AE68" s="1175">
        <v>322</v>
      </c>
      <c r="AF68" s="1176" t="s">
        <v>514</v>
      </c>
      <c r="AG68" s="1505" t="s">
        <v>188</v>
      </c>
      <c r="AH68" s="1498">
        <f t="shared" ref="AH68:AH73" si="27">O68</f>
        <v>0</v>
      </c>
      <c r="AI68" s="1177">
        <v>330900000</v>
      </c>
      <c r="AJ68" s="1179">
        <f t="shared" ref="AJ68:AJ73" si="28">AI68-N68</f>
        <v>330900000</v>
      </c>
      <c r="AK68" s="1168"/>
    </row>
    <row r="69" spans="1:37" s="786" customFormat="1">
      <c r="A69" s="1072" t="s">
        <v>170</v>
      </c>
      <c r="B69" s="309">
        <f t="shared" si="24"/>
        <v>985458</v>
      </c>
      <c r="C69" s="111" t="s">
        <v>44</v>
      </c>
      <c r="D69" s="112" t="s">
        <v>909</v>
      </c>
      <c r="E69" s="112" t="s">
        <v>153</v>
      </c>
      <c r="F69" s="112" t="s">
        <v>912</v>
      </c>
      <c r="G69" s="113" t="s">
        <v>86</v>
      </c>
      <c r="H69" s="1409" t="s">
        <v>156</v>
      </c>
      <c r="I69" s="788">
        <v>0</v>
      </c>
      <c r="J69" s="789"/>
      <c r="K69" s="801">
        <v>309</v>
      </c>
      <c r="L69" s="123">
        <v>985458</v>
      </c>
      <c r="M69" s="318">
        <v>296</v>
      </c>
      <c r="N69" s="793">
        <v>985458</v>
      </c>
      <c r="O69" s="1471" t="s">
        <v>806</v>
      </c>
      <c r="P69" s="791"/>
      <c r="Q69" s="563"/>
      <c r="R69" s="563">
        <f>VLOOKUP(M69,[5]Hoja2!N$2:T$77,7,0)</f>
        <v>985458</v>
      </c>
      <c r="S69" s="563"/>
      <c r="T69" s="563"/>
      <c r="U69" s="563"/>
      <c r="V69" s="563"/>
      <c r="W69" s="563"/>
      <c r="X69" s="563"/>
      <c r="Y69" s="563"/>
      <c r="Z69" s="563"/>
      <c r="AA69" s="816"/>
      <c r="AB69" s="794">
        <f t="shared" si="25"/>
        <v>985458</v>
      </c>
      <c r="AC69" s="792">
        <f t="shared" si="26"/>
        <v>0</v>
      </c>
      <c r="AE69" s="1175" t="s">
        <v>156</v>
      </c>
      <c r="AF69" s="1176" t="s">
        <v>515</v>
      </c>
      <c r="AG69" s="1504" t="s">
        <v>807</v>
      </c>
      <c r="AH69" s="1498" t="str">
        <f t="shared" si="27"/>
        <v>Oficio-16493</v>
      </c>
      <c r="AI69" s="1177">
        <v>3000000</v>
      </c>
      <c r="AJ69" s="1179">
        <f t="shared" si="28"/>
        <v>2014542</v>
      </c>
      <c r="AK69" s="1168"/>
    </row>
    <row r="70" spans="1:37" s="786" customFormat="1" ht="15">
      <c r="A70" s="1072" t="s">
        <v>170</v>
      </c>
      <c r="B70" s="309">
        <f t="shared" si="24"/>
        <v>0</v>
      </c>
      <c r="C70" s="111" t="s">
        <v>44</v>
      </c>
      <c r="D70" s="112" t="s">
        <v>909</v>
      </c>
      <c r="E70" s="112" t="s">
        <v>153</v>
      </c>
      <c r="F70" s="112" t="s">
        <v>912</v>
      </c>
      <c r="G70" s="113" t="s">
        <v>86</v>
      </c>
      <c r="H70" s="1409">
        <v>323</v>
      </c>
      <c r="I70" s="788">
        <v>0</v>
      </c>
      <c r="J70" s="789"/>
      <c r="K70" s="801"/>
      <c r="L70" s="75"/>
      <c r="M70" s="317"/>
      <c r="N70" s="1096"/>
      <c r="O70" s="1471"/>
      <c r="P70" s="791"/>
      <c r="Q70" s="563"/>
      <c r="R70" s="563"/>
      <c r="S70" s="563"/>
      <c r="T70" s="563"/>
      <c r="U70" s="563"/>
      <c r="V70" s="563"/>
      <c r="W70" s="563"/>
      <c r="X70" s="563"/>
      <c r="Y70" s="563"/>
      <c r="Z70" s="563"/>
      <c r="AA70" s="816"/>
      <c r="AB70" s="794">
        <f t="shared" si="25"/>
        <v>0</v>
      </c>
      <c r="AC70" s="792">
        <f t="shared" si="26"/>
        <v>0</v>
      </c>
      <c r="AE70" s="1175">
        <v>323</v>
      </c>
      <c r="AF70" s="1176" t="s">
        <v>516</v>
      </c>
      <c r="AG70" s="1505" t="s">
        <v>188</v>
      </c>
      <c r="AH70" s="1498">
        <f t="shared" si="27"/>
        <v>0</v>
      </c>
      <c r="AI70" s="1177">
        <v>66100000</v>
      </c>
      <c r="AJ70" s="1179">
        <f t="shared" si="28"/>
        <v>66100000</v>
      </c>
      <c r="AK70" s="1168"/>
    </row>
    <row r="71" spans="1:37" s="786" customFormat="1" ht="15">
      <c r="A71" s="1072" t="s">
        <v>170</v>
      </c>
      <c r="B71" s="309">
        <f t="shared" si="24"/>
        <v>0</v>
      </c>
      <c r="C71" s="111" t="s">
        <v>44</v>
      </c>
      <c r="D71" s="112" t="s">
        <v>909</v>
      </c>
      <c r="E71" s="112" t="s">
        <v>153</v>
      </c>
      <c r="F71" s="112" t="s">
        <v>912</v>
      </c>
      <c r="G71" s="113" t="s">
        <v>86</v>
      </c>
      <c r="H71" s="1410" t="s">
        <v>188</v>
      </c>
      <c r="I71" s="788">
        <v>0</v>
      </c>
      <c r="J71" s="789"/>
      <c r="K71" s="1095"/>
      <c r="L71" s="75"/>
      <c r="M71" s="317"/>
      <c r="N71" s="1096"/>
      <c r="O71" s="1471"/>
      <c r="P71" s="791"/>
      <c r="Q71" s="563"/>
      <c r="R71" s="563"/>
      <c r="S71" s="563"/>
      <c r="T71" s="563"/>
      <c r="U71" s="563"/>
      <c r="V71" s="563"/>
      <c r="W71" s="563"/>
      <c r="X71" s="563"/>
      <c r="Y71" s="563"/>
      <c r="Z71" s="563"/>
      <c r="AA71" s="816"/>
      <c r="AB71" s="794">
        <f t="shared" si="25"/>
        <v>0</v>
      </c>
      <c r="AC71" s="792">
        <f t="shared" si="26"/>
        <v>0</v>
      </c>
      <c r="AE71" s="1175"/>
      <c r="AF71" s="1176"/>
      <c r="AG71" s="1505" t="s">
        <v>188</v>
      </c>
      <c r="AH71" s="1498">
        <f t="shared" si="27"/>
        <v>0</v>
      </c>
      <c r="AI71" s="1177"/>
      <c r="AJ71" s="1179">
        <f t="shared" si="28"/>
        <v>0</v>
      </c>
      <c r="AK71" s="1168"/>
    </row>
    <row r="72" spans="1:37" s="786" customFormat="1" ht="15">
      <c r="A72" s="1072" t="s">
        <v>170</v>
      </c>
      <c r="B72" s="309">
        <f t="shared" si="24"/>
        <v>0</v>
      </c>
      <c r="C72" s="111" t="s">
        <v>44</v>
      </c>
      <c r="D72" s="112" t="s">
        <v>909</v>
      </c>
      <c r="E72" s="112" t="s">
        <v>153</v>
      </c>
      <c r="F72" s="112" t="s">
        <v>912</v>
      </c>
      <c r="G72" s="113" t="s">
        <v>86</v>
      </c>
      <c r="H72" s="1410" t="s">
        <v>188</v>
      </c>
      <c r="I72" s="788">
        <v>0</v>
      </c>
      <c r="J72" s="789"/>
      <c r="K72" s="1095"/>
      <c r="L72" s="75"/>
      <c r="M72" s="317"/>
      <c r="N72" s="1096"/>
      <c r="O72" s="1471"/>
      <c r="P72" s="791"/>
      <c r="Q72" s="563"/>
      <c r="R72" s="563"/>
      <c r="S72" s="563"/>
      <c r="T72" s="563"/>
      <c r="U72" s="563"/>
      <c r="V72" s="563"/>
      <c r="W72" s="563"/>
      <c r="X72" s="563"/>
      <c r="Y72" s="563"/>
      <c r="Z72" s="563"/>
      <c r="AA72" s="816"/>
      <c r="AB72" s="794">
        <f t="shared" si="25"/>
        <v>0</v>
      </c>
      <c r="AC72" s="792">
        <f t="shared" si="26"/>
        <v>0</v>
      </c>
      <c r="AE72" s="1175"/>
      <c r="AF72" s="1176"/>
      <c r="AG72" s="1505" t="s">
        <v>188</v>
      </c>
      <c r="AH72" s="1498">
        <f t="shared" si="27"/>
        <v>0</v>
      </c>
      <c r="AI72" s="1177"/>
      <c r="AJ72" s="1179">
        <f t="shared" si="28"/>
        <v>0</v>
      </c>
      <c r="AK72" s="1168"/>
    </row>
    <row r="73" spans="1:37" s="735" customFormat="1" ht="15">
      <c r="A73" s="1072" t="s">
        <v>170</v>
      </c>
      <c r="B73" s="309">
        <f t="shared" si="24"/>
        <v>0</v>
      </c>
      <c r="C73" s="111" t="s">
        <v>44</v>
      </c>
      <c r="D73" s="112" t="s">
        <v>909</v>
      </c>
      <c r="E73" s="112" t="s">
        <v>153</v>
      </c>
      <c r="F73" s="112" t="s">
        <v>912</v>
      </c>
      <c r="G73" s="113" t="s">
        <v>86</v>
      </c>
      <c r="H73" s="1410" t="s">
        <v>188</v>
      </c>
      <c r="I73" s="788">
        <v>0</v>
      </c>
      <c r="J73" s="789"/>
      <c r="K73" s="790"/>
      <c r="L73" s="222"/>
      <c r="M73" s="317"/>
      <c r="N73" s="793"/>
      <c r="O73" s="1471"/>
      <c r="P73" s="791"/>
      <c r="Q73" s="563"/>
      <c r="R73" s="563"/>
      <c r="S73" s="563"/>
      <c r="T73" s="563"/>
      <c r="U73" s="563"/>
      <c r="V73" s="563"/>
      <c r="W73" s="563"/>
      <c r="X73" s="563"/>
      <c r="Y73" s="563"/>
      <c r="Z73" s="563"/>
      <c r="AA73" s="816"/>
      <c r="AB73" s="794">
        <f t="shared" si="25"/>
        <v>0</v>
      </c>
      <c r="AC73" s="792">
        <f t="shared" si="26"/>
        <v>0</v>
      </c>
      <c r="AE73" s="1175"/>
      <c r="AF73" s="1176"/>
      <c r="AG73" s="1505" t="s">
        <v>188</v>
      </c>
      <c r="AH73" s="1498">
        <f t="shared" si="27"/>
        <v>0</v>
      </c>
      <c r="AI73" s="1177"/>
      <c r="AJ73" s="1179">
        <f t="shared" si="28"/>
        <v>0</v>
      </c>
      <c r="AK73" s="1168"/>
    </row>
    <row r="74" spans="1:37" s="735" customFormat="1" ht="12">
      <c r="A74" s="795" t="s">
        <v>87</v>
      </c>
      <c r="B74" s="796">
        <f>B67-SUM(B68:B73)</f>
        <v>399014542</v>
      </c>
      <c r="C74" s="797"/>
      <c r="D74" s="797"/>
      <c r="E74" s="797"/>
      <c r="F74" s="797"/>
      <c r="G74" s="798"/>
      <c r="H74" s="1411"/>
      <c r="I74" s="799"/>
      <c r="J74" s="279"/>
      <c r="K74" s="119"/>
      <c r="L74" s="15">
        <f>SUM(L68:L73)</f>
        <v>985458</v>
      </c>
      <c r="M74" s="119"/>
      <c r="N74" s="15">
        <f>SUM(N68:N73)</f>
        <v>985458</v>
      </c>
      <c r="O74" s="1472"/>
      <c r="P74" s="15">
        <f>SUM(P68:P73)</f>
        <v>0</v>
      </c>
      <c r="Q74" s="15">
        <f t="shared" ref="Q74:AC74" si="29">SUM(Q68:Q73)</f>
        <v>0</v>
      </c>
      <c r="R74" s="15">
        <f t="shared" si="29"/>
        <v>985458</v>
      </c>
      <c r="S74" s="15">
        <f t="shared" si="29"/>
        <v>0</v>
      </c>
      <c r="T74" s="15">
        <f t="shared" si="29"/>
        <v>0</v>
      </c>
      <c r="U74" s="15">
        <f t="shared" si="29"/>
        <v>0</v>
      </c>
      <c r="V74" s="15">
        <f t="shared" si="29"/>
        <v>0</v>
      </c>
      <c r="W74" s="15">
        <f t="shared" si="29"/>
        <v>0</v>
      </c>
      <c r="X74" s="15">
        <f t="shared" si="29"/>
        <v>0</v>
      </c>
      <c r="Y74" s="15">
        <f t="shared" si="29"/>
        <v>0</v>
      </c>
      <c r="Z74" s="15">
        <f t="shared" si="29"/>
        <v>0</v>
      </c>
      <c r="AA74" s="15">
        <f t="shared" si="29"/>
        <v>0</v>
      </c>
      <c r="AB74" s="15">
        <f t="shared" si="29"/>
        <v>985458</v>
      </c>
      <c r="AC74" s="15">
        <f t="shared" si="29"/>
        <v>0</v>
      </c>
      <c r="AE74" s="1180">
        <f t="shared" ref="AE74:AJ74" si="30">SUM(AE68:AE73)</f>
        <v>645</v>
      </c>
      <c r="AF74" s="15">
        <f t="shared" si="30"/>
        <v>0</v>
      </c>
      <c r="AG74" s="15">
        <f t="shared" si="30"/>
        <v>0</v>
      </c>
      <c r="AH74" s="1496">
        <f t="shared" si="30"/>
        <v>0</v>
      </c>
      <c r="AI74" s="15">
        <f t="shared" si="30"/>
        <v>400000000</v>
      </c>
      <c r="AJ74" s="206">
        <f t="shared" si="30"/>
        <v>399014542</v>
      </c>
      <c r="AK74" s="1168">
        <f>B67-AI74</f>
        <v>0</v>
      </c>
    </row>
    <row r="75" spans="1:37" s="786" customFormat="1" ht="69" customHeight="1">
      <c r="A75" s="773" t="s">
        <v>171</v>
      </c>
      <c r="B75" s="1071">
        <v>350000000</v>
      </c>
      <c r="C75" s="314" t="s">
        <v>44</v>
      </c>
      <c r="D75" s="1036" t="s">
        <v>909</v>
      </c>
      <c r="E75" s="1036" t="s">
        <v>153</v>
      </c>
      <c r="F75" s="1036" t="s">
        <v>912</v>
      </c>
      <c r="G75" s="1037" t="s">
        <v>86</v>
      </c>
      <c r="H75" s="1408"/>
      <c r="I75" s="783">
        <v>0</v>
      </c>
      <c r="J75" s="784"/>
      <c r="K75" s="507"/>
      <c r="L75" s="508"/>
      <c r="M75" s="507"/>
      <c r="N75" s="785"/>
      <c r="O75" s="1470"/>
      <c r="P75" s="779"/>
      <c r="Q75" s="780"/>
      <c r="R75" s="780"/>
      <c r="S75" s="780"/>
      <c r="T75" s="780"/>
      <c r="U75" s="780"/>
      <c r="V75" s="780"/>
      <c r="W75" s="780"/>
      <c r="X75" s="780"/>
      <c r="Y75" s="780"/>
      <c r="Z75" s="780"/>
      <c r="AA75" s="781"/>
      <c r="AB75" s="779"/>
      <c r="AC75" s="781"/>
      <c r="AE75" s="1640"/>
      <c r="AF75" s="780"/>
      <c r="AG75" s="780"/>
      <c r="AH75" s="780"/>
      <c r="AI75" s="780"/>
      <c r="AJ75" s="781"/>
      <c r="AK75" s="1168"/>
    </row>
    <row r="76" spans="1:37" s="735" customFormat="1">
      <c r="A76" s="1072" t="s">
        <v>171</v>
      </c>
      <c r="B76" s="309">
        <f>L76</f>
        <v>0</v>
      </c>
      <c r="C76" s="111" t="s">
        <v>44</v>
      </c>
      <c r="D76" s="112" t="s">
        <v>909</v>
      </c>
      <c r="E76" s="112" t="s">
        <v>153</v>
      </c>
      <c r="F76" s="112" t="s">
        <v>912</v>
      </c>
      <c r="G76" s="113" t="s">
        <v>86</v>
      </c>
      <c r="H76" s="1409">
        <v>325</v>
      </c>
      <c r="I76" s="788">
        <v>0</v>
      </c>
      <c r="J76" s="789"/>
      <c r="K76" s="790"/>
      <c r="L76" s="222"/>
      <c r="M76" s="317"/>
      <c r="N76" s="793"/>
      <c r="O76" s="1471"/>
      <c r="P76" s="791"/>
      <c r="Q76" s="563"/>
      <c r="R76" s="563"/>
      <c r="S76" s="563"/>
      <c r="T76" s="563"/>
      <c r="U76" s="563"/>
      <c r="V76" s="563"/>
      <c r="W76" s="563"/>
      <c r="X76" s="563"/>
      <c r="Y76" s="563"/>
      <c r="Z76" s="563"/>
      <c r="AA76" s="816"/>
      <c r="AB76" s="794">
        <f>SUM(P76:AA76)</f>
        <v>0</v>
      </c>
      <c r="AC76" s="792">
        <f>N76-AB76</f>
        <v>0</v>
      </c>
      <c r="AE76" s="1175">
        <v>325</v>
      </c>
      <c r="AF76" s="1176" t="s">
        <v>506</v>
      </c>
      <c r="AG76" s="1504" t="s">
        <v>188</v>
      </c>
      <c r="AH76" s="1498">
        <f>O76</f>
        <v>0</v>
      </c>
      <c r="AI76" s="1177">
        <v>350000000</v>
      </c>
      <c r="AJ76" s="1179">
        <f>AI76-N76</f>
        <v>350000000</v>
      </c>
      <c r="AK76" s="1168"/>
    </row>
    <row r="77" spans="1:37" s="735" customFormat="1" ht="12">
      <c r="A77" s="795" t="s">
        <v>87</v>
      </c>
      <c r="B77" s="796">
        <f>B75-SUM(B76:B76)</f>
        <v>350000000</v>
      </c>
      <c r="C77" s="797"/>
      <c r="D77" s="797"/>
      <c r="E77" s="797"/>
      <c r="F77" s="797"/>
      <c r="G77" s="798"/>
      <c r="H77" s="1411"/>
      <c r="I77" s="799"/>
      <c r="J77" s="279"/>
      <c r="K77" s="119"/>
      <c r="L77" s="15">
        <f>SUM(L76:L76)</f>
        <v>0</v>
      </c>
      <c r="M77" s="119"/>
      <c r="N77" s="15">
        <f>SUM(N76:N76)</f>
        <v>0</v>
      </c>
      <c r="O77" s="1472"/>
      <c r="P77" s="279">
        <f t="shared" ref="P77:AC77" si="31">SUM(P76:P76)</f>
        <v>0</v>
      </c>
      <c r="Q77" s="15">
        <f t="shared" si="31"/>
        <v>0</v>
      </c>
      <c r="R77" s="15">
        <f t="shared" si="31"/>
        <v>0</v>
      </c>
      <c r="S77" s="15">
        <f t="shared" si="31"/>
        <v>0</v>
      </c>
      <c r="T77" s="15">
        <f t="shared" si="31"/>
        <v>0</v>
      </c>
      <c r="U77" s="15">
        <f t="shared" si="31"/>
        <v>0</v>
      </c>
      <c r="V77" s="15">
        <f t="shared" si="31"/>
        <v>0</v>
      </c>
      <c r="W77" s="15">
        <f t="shared" si="31"/>
        <v>0</v>
      </c>
      <c r="X77" s="15">
        <f t="shared" si="31"/>
        <v>0</v>
      </c>
      <c r="Y77" s="15">
        <f t="shared" si="31"/>
        <v>0</v>
      </c>
      <c r="Z77" s="15">
        <f t="shared" si="31"/>
        <v>0</v>
      </c>
      <c r="AA77" s="206">
        <f t="shared" si="31"/>
        <v>0</v>
      </c>
      <c r="AB77" s="279">
        <f t="shared" si="31"/>
        <v>0</v>
      </c>
      <c r="AC77" s="206">
        <f t="shared" si="31"/>
        <v>0</v>
      </c>
      <c r="AE77" s="1180">
        <f t="shared" ref="AE77:AJ77" si="32">SUM(AE76:AE76)</f>
        <v>325</v>
      </c>
      <c r="AF77" s="15">
        <f t="shared" si="32"/>
        <v>0</v>
      </c>
      <c r="AG77" s="15">
        <f t="shared" si="32"/>
        <v>0</v>
      </c>
      <c r="AH77" s="1496">
        <f t="shared" si="32"/>
        <v>0</v>
      </c>
      <c r="AI77" s="15">
        <f t="shared" si="32"/>
        <v>350000000</v>
      </c>
      <c r="AJ77" s="206">
        <f t="shared" si="32"/>
        <v>350000000</v>
      </c>
      <c r="AK77" s="1168">
        <f>B75-AI77</f>
        <v>0</v>
      </c>
    </row>
    <row r="78" spans="1:37" s="786" customFormat="1" ht="69" customHeight="1">
      <c r="A78" s="773" t="s">
        <v>914</v>
      </c>
      <c r="B78" s="1071">
        <v>4810000</v>
      </c>
      <c r="C78" s="314" t="s">
        <v>44</v>
      </c>
      <c r="D78" s="1036" t="s">
        <v>909</v>
      </c>
      <c r="E78" s="1036" t="s">
        <v>153</v>
      </c>
      <c r="F78" s="1036" t="s">
        <v>912</v>
      </c>
      <c r="G78" s="1037" t="s">
        <v>86</v>
      </c>
      <c r="H78" s="1408"/>
      <c r="I78" s="783">
        <v>0</v>
      </c>
      <c r="J78" s="784"/>
      <c r="K78" s="507"/>
      <c r="L78" s="508"/>
      <c r="M78" s="507"/>
      <c r="N78" s="785"/>
      <c r="O78" s="1470"/>
      <c r="P78" s="779"/>
      <c r="Q78" s="780"/>
      <c r="R78" s="780"/>
      <c r="S78" s="780"/>
      <c r="T78" s="780"/>
      <c r="U78" s="780"/>
      <c r="V78" s="780"/>
      <c r="W78" s="780"/>
      <c r="X78" s="780"/>
      <c r="Y78" s="780"/>
      <c r="Z78" s="780"/>
      <c r="AA78" s="781"/>
      <c r="AB78" s="779"/>
      <c r="AC78" s="781"/>
      <c r="AE78" s="1640"/>
      <c r="AF78" s="780"/>
      <c r="AG78" s="780"/>
      <c r="AH78" s="780"/>
      <c r="AI78" s="780"/>
      <c r="AJ78" s="781"/>
      <c r="AK78" s="1168"/>
    </row>
    <row r="79" spans="1:37" s="735" customFormat="1">
      <c r="A79" s="1072" t="s">
        <v>172</v>
      </c>
      <c r="B79" s="309">
        <f>L79</f>
        <v>642300</v>
      </c>
      <c r="C79" s="111" t="s">
        <v>44</v>
      </c>
      <c r="D79" s="112" t="s">
        <v>909</v>
      </c>
      <c r="E79" s="112" t="s">
        <v>153</v>
      </c>
      <c r="F79" s="112" t="s">
        <v>912</v>
      </c>
      <c r="G79" s="113" t="s">
        <v>86</v>
      </c>
      <c r="H79" s="1409" t="s">
        <v>363</v>
      </c>
      <c r="I79" s="788">
        <v>0</v>
      </c>
      <c r="J79" s="789"/>
      <c r="K79" s="790" t="s">
        <v>873</v>
      </c>
      <c r="L79" s="222">
        <f>166100+476200</f>
        <v>642300</v>
      </c>
      <c r="M79" s="318" t="s">
        <v>874</v>
      </c>
      <c r="N79" s="222">
        <f>166100+476200</f>
        <v>642300</v>
      </c>
      <c r="O79" s="1471" t="s">
        <v>808</v>
      </c>
      <c r="P79" s="791"/>
      <c r="Q79" s="222">
        <v>166100</v>
      </c>
      <c r="R79" s="563">
        <v>476200</v>
      </c>
      <c r="S79" s="563"/>
      <c r="T79" s="563"/>
      <c r="U79" s="563"/>
      <c r="V79" s="563"/>
      <c r="W79" s="563"/>
      <c r="X79" s="563"/>
      <c r="Y79" s="563"/>
      <c r="Z79" s="563"/>
      <c r="AA79" s="816"/>
      <c r="AB79" s="794">
        <f>SUM(P79:AA79)</f>
        <v>642300</v>
      </c>
      <c r="AC79" s="792">
        <f>N79-AB79</f>
        <v>0</v>
      </c>
      <c r="AE79" s="1175" t="s">
        <v>363</v>
      </c>
      <c r="AF79" s="1176" t="s">
        <v>197</v>
      </c>
      <c r="AG79" s="1504" t="s">
        <v>188</v>
      </c>
      <c r="AH79" s="1498" t="str">
        <f>O79</f>
        <v>ARL</v>
      </c>
      <c r="AI79" s="1177">
        <v>4810000</v>
      </c>
      <c r="AJ79" s="1179">
        <f>AI79-N79</f>
        <v>4167700</v>
      </c>
      <c r="AK79" s="1168"/>
    </row>
    <row r="80" spans="1:37" s="735" customFormat="1" ht="12">
      <c r="A80" s="795" t="s">
        <v>87</v>
      </c>
      <c r="B80" s="796">
        <f>B78-SUM(B79:B79)</f>
        <v>4167700</v>
      </c>
      <c r="C80" s="797"/>
      <c r="D80" s="797"/>
      <c r="E80" s="797"/>
      <c r="F80" s="797"/>
      <c r="G80" s="798"/>
      <c r="H80" s="1411"/>
      <c r="I80" s="799"/>
      <c r="J80" s="279"/>
      <c r="K80" s="119"/>
      <c r="L80" s="15">
        <f>SUM(L79:L79)</f>
        <v>642300</v>
      </c>
      <c r="M80" s="119"/>
      <c r="N80" s="15">
        <f>SUM(N79:N79)</f>
        <v>642300</v>
      </c>
      <c r="O80" s="1472"/>
      <c r="P80" s="279">
        <f t="shared" ref="P80:AC80" si="33">SUM(P79:P79)</f>
        <v>0</v>
      </c>
      <c r="Q80" s="15">
        <f t="shared" si="33"/>
        <v>166100</v>
      </c>
      <c r="R80" s="15">
        <f t="shared" si="33"/>
        <v>476200</v>
      </c>
      <c r="S80" s="15">
        <f t="shared" si="33"/>
        <v>0</v>
      </c>
      <c r="T80" s="15">
        <f t="shared" si="33"/>
        <v>0</v>
      </c>
      <c r="U80" s="15">
        <f t="shared" si="33"/>
        <v>0</v>
      </c>
      <c r="V80" s="15">
        <f t="shared" si="33"/>
        <v>0</v>
      </c>
      <c r="W80" s="15">
        <f t="shared" si="33"/>
        <v>0</v>
      </c>
      <c r="X80" s="15">
        <f t="shared" si="33"/>
        <v>0</v>
      </c>
      <c r="Y80" s="15">
        <f t="shared" si="33"/>
        <v>0</v>
      </c>
      <c r="Z80" s="15">
        <f t="shared" si="33"/>
        <v>0</v>
      </c>
      <c r="AA80" s="206">
        <f t="shared" si="33"/>
        <v>0</v>
      </c>
      <c r="AB80" s="279">
        <f t="shared" si="33"/>
        <v>642300</v>
      </c>
      <c r="AC80" s="206">
        <f t="shared" si="33"/>
        <v>0</v>
      </c>
      <c r="AE80" s="1180">
        <f t="shared" ref="AE80:AJ80" si="34">SUM(AE79:AE79)</f>
        <v>0</v>
      </c>
      <c r="AF80" s="15">
        <f t="shared" si="34"/>
        <v>0</v>
      </c>
      <c r="AG80" s="15">
        <f t="shared" si="34"/>
        <v>0</v>
      </c>
      <c r="AH80" s="1496">
        <f t="shared" si="34"/>
        <v>0</v>
      </c>
      <c r="AI80" s="15">
        <f t="shared" si="34"/>
        <v>4810000</v>
      </c>
      <c r="AJ80" s="206">
        <f t="shared" si="34"/>
        <v>4167700</v>
      </c>
      <c r="AK80" s="1168">
        <f>B78-AI80</f>
        <v>0</v>
      </c>
    </row>
    <row r="81" spans="1:37" s="1050" customFormat="1" ht="66.75" customHeight="1">
      <c r="A81" s="773" t="s">
        <v>120</v>
      </c>
      <c r="B81" s="774">
        <v>1445190000</v>
      </c>
      <c r="C81" s="314" t="s">
        <v>44</v>
      </c>
      <c r="D81" s="1036" t="s">
        <v>909</v>
      </c>
      <c r="E81" s="1036" t="s">
        <v>153</v>
      </c>
      <c r="F81" s="1036" t="s">
        <v>912</v>
      </c>
      <c r="G81" s="1037" t="s">
        <v>86</v>
      </c>
      <c r="H81" s="1408"/>
      <c r="I81" s="783">
        <v>0</v>
      </c>
      <c r="J81" s="784"/>
      <c r="K81" s="507"/>
      <c r="L81" s="508"/>
      <c r="M81" s="507"/>
      <c r="N81" s="785"/>
      <c r="O81" s="1470"/>
      <c r="P81" s="779"/>
      <c r="Q81" s="780"/>
      <c r="R81" s="780"/>
      <c r="S81" s="780"/>
      <c r="T81" s="780"/>
      <c r="U81" s="780"/>
      <c r="V81" s="780"/>
      <c r="W81" s="780"/>
      <c r="X81" s="780"/>
      <c r="Y81" s="780"/>
      <c r="Z81" s="780"/>
      <c r="AA81" s="781"/>
      <c r="AB81" s="779"/>
      <c r="AC81" s="781"/>
      <c r="AE81" s="1640"/>
      <c r="AF81" s="780"/>
      <c r="AG81" s="780"/>
      <c r="AH81" s="780"/>
      <c r="AI81" s="780"/>
      <c r="AJ81" s="781"/>
      <c r="AK81" s="1137"/>
    </row>
    <row r="82" spans="1:37" s="1050" customFormat="1">
      <c r="A82" s="1100" t="s">
        <v>120</v>
      </c>
      <c r="B82" s="570">
        <f>L82</f>
        <v>38280000</v>
      </c>
      <c r="C82" s="111" t="s">
        <v>44</v>
      </c>
      <c r="D82" s="112" t="s">
        <v>909</v>
      </c>
      <c r="E82" s="112" t="s">
        <v>153</v>
      </c>
      <c r="F82" s="112" t="s">
        <v>912</v>
      </c>
      <c r="G82" s="113" t="s">
        <v>86</v>
      </c>
      <c r="H82" s="1409">
        <v>368</v>
      </c>
      <c r="I82" s="575">
        <v>0</v>
      </c>
      <c r="J82" s="789"/>
      <c r="K82" s="801">
        <v>35</v>
      </c>
      <c r="L82" s="222">
        <v>38280000</v>
      </c>
      <c r="M82" s="318">
        <v>27</v>
      </c>
      <c r="N82" s="793">
        <v>38280000</v>
      </c>
      <c r="O82" s="1471">
        <v>19</v>
      </c>
      <c r="P82" s="791"/>
      <c r="Q82" s="563">
        <v>1624000</v>
      </c>
      <c r="R82" s="563">
        <f>VLOOKUP(M82,[5]Hoja2!N$2:T$77,7,0)</f>
        <v>3480000</v>
      </c>
      <c r="S82" s="563"/>
      <c r="T82" s="563"/>
      <c r="U82" s="563"/>
      <c r="V82" s="563"/>
      <c r="W82" s="563"/>
      <c r="X82" s="563"/>
      <c r="Y82" s="563"/>
      <c r="Z82" s="563"/>
      <c r="AA82" s="816"/>
      <c r="AB82" s="794">
        <f t="shared" ref="AB82:AB108" si="35">SUM(P82:AA82)</f>
        <v>5104000</v>
      </c>
      <c r="AC82" s="792">
        <f t="shared" ref="AC82:AC108" si="36">N82-AB82</f>
        <v>33176000</v>
      </c>
      <c r="AE82" s="1175">
        <v>368</v>
      </c>
      <c r="AF82" s="1176" t="s">
        <v>233</v>
      </c>
      <c r="AG82" s="1504" t="s">
        <v>607</v>
      </c>
      <c r="AH82" s="1498">
        <f t="shared" ref="AH82:AH108" si="37">O82</f>
        <v>19</v>
      </c>
      <c r="AI82" s="1177">
        <v>38280000</v>
      </c>
      <c r="AJ82" s="1179">
        <f t="shared" ref="AJ82:AJ108" si="38">AI82-N82</f>
        <v>0</v>
      </c>
      <c r="AK82" s="1137"/>
    </row>
    <row r="83" spans="1:37" s="1050" customFormat="1">
      <c r="A83" s="1100" t="s">
        <v>120</v>
      </c>
      <c r="B83" s="570">
        <f t="shared" ref="B83:B108" si="39">L83</f>
        <v>35150000</v>
      </c>
      <c r="C83" s="111" t="s">
        <v>44</v>
      </c>
      <c r="D83" s="112" t="s">
        <v>909</v>
      </c>
      <c r="E83" s="112" t="s">
        <v>153</v>
      </c>
      <c r="F83" s="112" t="s">
        <v>912</v>
      </c>
      <c r="G83" s="113" t="s">
        <v>86</v>
      </c>
      <c r="H83" s="1409">
        <v>369</v>
      </c>
      <c r="I83" s="575">
        <v>0</v>
      </c>
      <c r="J83" s="789"/>
      <c r="K83" s="801">
        <v>356</v>
      </c>
      <c r="L83" s="222">
        <v>35150000</v>
      </c>
      <c r="M83" s="1608">
        <v>362</v>
      </c>
      <c r="N83" s="793">
        <v>35150000</v>
      </c>
      <c r="O83" s="1697">
        <v>287</v>
      </c>
      <c r="P83" s="791"/>
      <c r="Q83" s="563"/>
      <c r="R83" s="563"/>
      <c r="S83" s="563"/>
      <c r="T83" s="563"/>
      <c r="U83" s="563"/>
      <c r="V83" s="563"/>
      <c r="W83" s="563"/>
      <c r="X83" s="563"/>
      <c r="Y83" s="563"/>
      <c r="Z83" s="563"/>
      <c r="AA83" s="816"/>
      <c r="AB83" s="794">
        <f t="shared" si="35"/>
        <v>0</v>
      </c>
      <c r="AC83" s="792">
        <f t="shared" si="36"/>
        <v>35150000</v>
      </c>
      <c r="AE83" s="1266">
        <v>369</v>
      </c>
      <c r="AF83" s="1176" t="s">
        <v>827</v>
      </c>
      <c r="AG83" s="1504" t="s">
        <v>882</v>
      </c>
      <c r="AH83" s="1498">
        <f t="shared" si="37"/>
        <v>287</v>
      </c>
      <c r="AI83" s="1267">
        <f>53300000+1660000</f>
        <v>54960000</v>
      </c>
      <c r="AJ83" s="1179">
        <f t="shared" si="38"/>
        <v>19810000</v>
      </c>
      <c r="AK83" s="1137"/>
    </row>
    <row r="84" spans="1:37" s="1050" customFormat="1">
      <c r="A84" s="1100" t="s">
        <v>120</v>
      </c>
      <c r="B84" s="570">
        <f t="shared" si="39"/>
        <v>38280000</v>
      </c>
      <c r="C84" s="111" t="s">
        <v>44</v>
      </c>
      <c r="D84" s="112" t="s">
        <v>909</v>
      </c>
      <c r="E84" s="112" t="s">
        <v>153</v>
      </c>
      <c r="F84" s="112" t="s">
        <v>912</v>
      </c>
      <c r="G84" s="113" t="s">
        <v>86</v>
      </c>
      <c r="H84" s="1409">
        <v>370</v>
      </c>
      <c r="I84" s="575">
        <v>0</v>
      </c>
      <c r="J84" s="789"/>
      <c r="K84" s="801">
        <v>137</v>
      </c>
      <c r="L84" s="222">
        <v>38280000</v>
      </c>
      <c r="M84" s="318">
        <v>117</v>
      </c>
      <c r="N84" s="793">
        <v>38280000</v>
      </c>
      <c r="O84" s="1471">
        <v>116</v>
      </c>
      <c r="P84" s="791"/>
      <c r="Q84" s="563">
        <v>928000</v>
      </c>
      <c r="R84" s="563">
        <f>VLOOKUP(M84,[5]Hoja2!N$2:T$77,7,0)</f>
        <v>3480000</v>
      </c>
      <c r="S84" s="563"/>
      <c r="T84" s="563"/>
      <c r="U84" s="563"/>
      <c r="V84" s="563"/>
      <c r="W84" s="563"/>
      <c r="X84" s="563"/>
      <c r="Y84" s="563"/>
      <c r="Z84" s="563"/>
      <c r="AA84" s="816"/>
      <c r="AB84" s="794">
        <f t="shared" si="35"/>
        <v>4408000</v>
      </c>
      <c r="AC84" s="792">
        <f t="shared" si="36"/>
        <v>33872000</v>
      </c>
      <c r="AE84" s="1175">
        <v>370</v>
      </c>
      <c r="AF84" s="1176" t="s">
        <v>234</v>
      </c>
      <c r="AG84" s="1504" t="s">
        <v>608</v>
      </c>
      <c r="AH84" s="1498">
        <f t="shared" si="37"/>
        <v>116</v>
      </c>
      <c r="AI84" s="1177">
        <v>38280000</v>
      </c>
      <c r="AJ84" s="1179">
        <f t="shared" si="38"/>
        <v>0</v>
      </c>
      <c r="AK84" s="1137"/>
    </row>
    <row r="85" spans="1:37" s="1050" customFormat="1">
      <c r="A85" s="1100" t="s">
        <v>120</v>
      </c>
      <c r="B85" s="570">
        <f t="shared" si="39"/>
        <v>34100000</v>
      </c>
      <c r="C85" s="111" t="s">
        <v>44</v>
      </c>
      <c r="D85" s="112" t="s">
        <v>909</v>
      </c>
      <c r="E85" s="112" t="s">
        <v>153</v>
      </c>
      <c r="F85" s="112" t="s">
        <v>912</v>
      </c>
      <c r="G85" s="113" t="s">
        <v>86</v>
      </c>
      <c r="H85" s="1409">
        <v>371</v>
      </c>
      <c r="I85" s="575">
        <v>0</v>
      </c>
      <c r="J85" s="789"/>
      <c r="K85" s="801">
        <v>121</v>
      </c>
      <c r="L85" s="222">
        <v>34100000</v>
      </c>
      <c r="M85" s="318">
        <v>113</v>
      </c>
      <c r="N85" s="793">
        <v>34100000</v>
      </c>
      <c r="O85" s="1471">
        <v>96</v>
      </c>
      <c r="P85" s="791"/>
      <c r="Q85" s="563">
        <v>930000</v>
      </c>
      <c r="R85" s="563">
        <f>VLOOKUP(M85,[5]Hoja2!N$2:T$77,7,0)</f>
        <v>3100000</v>
      </c>
      <c r="S85" s="563"/>
      <c r="T85" s="563"/>
      <c r="U85" s="563"/>
      <c r="V85" s="563"/>
      <c r="W85" s="563"/>
      <c r="X85" s="563"/>
      <c r="Y85" s="563"/>
      <c r="Z85" s="563"/>
      <c r="AA85" s="816"/>
      <c r="AB85" s="794">
        <f t="shared" si="35"/>
        <v>4030000</v>
      </c>
      <c r="AC85" s="792">
        <f t="shared" si="36"/>
        <v>30070000</v>
      </c>
      <c r="AE85" s="1175">
        <v>371</v>
      </c>
      <c r="AF85" s="1176" t="s">
        <v>235</v>
      </c>
      <c r="AG85" s="1504" t="s">
        <v>609</v>
      </c>
      <c r="AH85" s="1498">
        <f t="shared" si="37"/>
        <v>96</v>
      </c>
      <c r="AI85" s="1177">
        <v>34100000</v>
      </c>
      <c r="AJ85" s="1179">
        <f t="shared" si="38"/>
        <v>0</v>
      </c>
      <c r="AK85" s="1137"/>
    </row>
    <row r="86" spans="1:37" s="1050" customFormat="1">
      <c r="A86" s="1100" t="s">
        <v>120</v>
      </c>
      <c r="B86" s="570">
        <f t="shared" si="39"/>
        <v>22800000</v>
      </c>
      <c r="C86" s="111" t="s">
        <v>44</v>
      </c>
      <c r="D86" s="112" t="s">
        <v>909</v>
      </c>
      <c r="E86" s="112" t="s">
        <v>153</v>
      </c>
      <c r="F86" s="112" t="s">
        <v>912</v>
      </c>
      <c r="G86" s="113" t="s">
        <v>86</v>
      </c>
      <c r="H86" s="1409">
        <v>372</v>
      </c>
      <c r="I86" s="575">
        <v>0</v>
      </c>
      <c r="J86" s="789"/>
      <c r="K86" s="801">
        <v>319</v>
      </c>
      <c r="L86" s="222">
        <v>22800000</v>
      </c>
      <c r="M86" s="1608">
        <v>338</v>
      </c>
      <c r="N86" s="793">
        <v>22800000</v>
      </c>
      <c r="O86" s="1471">
        <v>276</v>
      </c>
      <c r="P86" s="791"/>
      <c r="Q86" s="563"/>
      <c r="R86" s="563"/>
      <c r="S86" s="563"/>
      <c r="T86" s="563"/>
      <c r="U86" s="563"/>
      <c r="V86" s="563"/>
      <c r="W86" s="563"/>
      <c r="X86" s="563"/>
      <c r="Y86" s="563"/>
      <c r="Z86" s="563"/>
      <c r="AA86" s="816"/>
      <c r="AB86" s="794">
        <f t="shared" si="35"/>
        <v>0</v>
      </c>
      <c r="AC86" s="792">
        <f t="shared" si="36"/>
        <v>22800000</v>
      </c>
      <c r="AE86" s="1175">
        <v>372</v>
      </c>
      <c r="AF86" s="1176" t="s">
        <v>236</v>
      </c>
      <c r="AG86" s="1504" t="s">
        <v>865</v>
      </c>
      <c r="AH86" s="1498">
        <f t="shared" si="37"/>
        <v>276</v>
      </c>
      <c r="AI86" s="1177">
        <v>22800000</v>
      </c>
      <c r="AJ86" s="1179">
        <f t="shared" si="38"/>
        <v>0</v>
      </c>
      <c r="AK86" s="1137"/>
    </row>
    <row r="87" spans="1:37" s="1050" customFormat="1">
      <c r="A87" s="1100" t="s">
        <v>120</v>
      </c>
      <c r="B87" s="570">
        <f t="shared" si="39"/>
        <v>36000000</v>
      </c>
      <c r="C87" s="111" t="s">
        <v>44</v>
      </c>
      <c r="D87" s="112" t="s">
        <v>909</v>
      </c>
      <c r="E87" s="112" t="s">
        <v>153</v>
      </c>
      <c r="F87" s="112" t="s">
        <v>912</v>
      </c>
      <c r="G87" s="113" t="s">
        <v>86</v>
      </c>
      <c r="H87" s="1409">
        <v>373</v>
      </c>
      <c r="I87" s="575">
        <v>0</v>
      </c>
      <c r="J87" s="789"/>
      <c r="K87" s="801">
        <v>37</v>
      </c>
      <c r="L87" s="222">
        <v>36000000</v>
      </c>
      <c r="M87" s="318">
        <v>28</v>
      </c>
      <c r="N87" s="793">
        <v>36000000</v>
      </c>
      <c r="O87" s="1471">
        <v>17</v>
      </c>
      <c r="P87" s="791"/>
      <c r="Q87" s="563">
        <v>1680000</v>
      </c>
      <c r="R87" s="563">
        <f>VLOOKUP(M87,[5]Hoja2!N$2:T$77,7,0)</f>
        <v>3600000</v>
      </c>
      <c r="S87" s="563"/>
      <c r="T87" s="563"/>
      <c r="U87" s="563"/>
      <c r="V87" s="563"/>
      <c r="W87" s="563"/>
      <c r="X87" s="563"/>
      <c r="Y87" s="563"/>
      <c r="Z87" s="563"/>
      <c r="AA87" s="816"/>
      <c r="AB87" s="794">
        <f t="shared" si="35"/>
        <v>5280000</v>
      </c>
      <c r="AC87" s="792">
        <f t="shared" si="36"/>
        <v>30720000</v>
      </c>
      <c r="AE87" s="1175">
        <v>373</v>
      </c>
      <c r="AF87" s="1176" t="s">
        <v>237</v>
      </c>
      <c r="AG87" s="1504" t="s">
        <v>610</v>
      </c>
      <c r="AH87" s="1498">
        <f t="shared" si="37"/>
        <v>17</v>
      </c>
      <c r="AI87" s="1177">
        <v>38170000</v>
      </c>
      <c r="AJ87" s="1179">
        <f t="shared" si="38"/>
        <v>2170000</v>
      </c>
      <c r="AK87" s="1137"/>
    </row>
    <row r="88" spans="1:37" s="1050" customFormat="1">
      <c r="A88" s="1100" t="s">
        <v>120</v>
      </c>
      <c r="B88" s="570">
        <f t="shared" si="39"/>
        <v>75200000</v>
      </c>
      <c r="C88" s="111" t="s">
        <v>44</v>
      </c>
      <c r="D88" s="112" t="s">
        <v>909</v>
      </c>
      <c r="E88" s="112" t="s">
        <v>153</v>
      </c>
      <c r="F88" s="112" t="s">
        <v>912</v>
      </c>
      <c r="G88" s="113" t="s">
        <v>86</v>
      </c>
      <c r="H88" s="1409">
        <v>374</v>
      </c>
      <c r="I88" s="575">
        <v>0</v>
      </c>
      <c r="J88" s="789"/>
      <c r="K88" s="801">
        <v>376</v>
      </c>
      <c r="L88" s="222">
        <v>75200000</v>
      </c>
      <c r="M88" s="1608">
        <v>384</v>
      </c>
      <c r="N88" s="793">
        <v>72000000</v>
      </c>
      <c r="O88" s="1697">
        <v>300</v>
      </c>
      <c r="P88" s="791"/>
      <c r="Q88" s="563"/>
      <c r="R88" s="563"/>
      <c r="S88" s="563"/>
      <c r="T88" s="563"/>
      <c r="U88" s="563"/>
      <c r="V88" s="563"/>
      <c r="W88" s="563"/>
      <c r="X88" s="563"/>
      <c r="Y88" s="563"/>
      <c r="Z88" s="563"/>
      <c r="AA88" s="816"/>
      <c r="AB88" s="794">
        <f t="shared" si="35"/>
        <v>0</v>
      </c>
      <c r="AC88" s="792">
        <f t="shared" si="36"/>
        <v>72000000</v>
      </c>
      <c r="AE88" s="1175">
        <v>374</v>
      </c>
      <c r="AF88" s="1176" t="s">
        <v>238</v>
      </c>
      <c r="AG88" s="1504" t="s">
        <v>893</v>
      </c>
      <c r="AH88" s="1498">
        <f t="shared" si="37"/>
        <v>300</v>
      </c>
      <c r="AI88" s="1177">
        <f>61160000+18840000</f>
        <v>80000000</v>
      </c>
      <c r="AJ88" s="1179">
        <f t="shared" si="38"/>
        <v>8000000</v>
      </c>
      <c r="AK88" s="1137"/>
    </row>
    <row r="89" spans="1:37" s="1050" customFormat="1">
      <c r="A89" s="1100" t="s">
        <v>120</v>
      </c>
      <c r="B89" s="570">
        <f t="shared" si="39"/>
        <v>59580000</v>
      </c>
      <c r="C89" s="111" t="s">
        <v>44</v>
      </c>
      <c r="D89" s="112" t="s">
        <v>909</v>
      </c>
      <c r="E89" s="112" t="s">
        <v>153</v>
      </c>
      <c r="F89" s="112" t="s">
        <v>912</v>
      </c>
      <c r="G89" s="113" t="s">
        <v>86</v>
      </c>
      <c r="H89" s="1409">
        <v>375</v>
      </c>
      <c r="I89" s="575">
        <v>0</v>
      </c>
      <c r="J89" s="789"/>
      <c r="K89" s="801">
        <v>211</v>
      </c>
      <c r="L89" s="222">
        <v>59580000</v>
      </c>
      <c r="M89" s="318">
        <v>248</v>
      </c>
      <c r="N89" s="793">
        <v>59580000</v>
      </c>
      <c r="O89" s="1471">
        <v>219</v>
      </c>
      <c r="P89" s="791"/>
      <c r="Q89" s="563"/>
      <c r="R89" s="563">
        <f>VLOOKUP(M89,[5]Hoja2!N$2:T$77,7,0)</f>
        <v>5075333</v>
      </c>
      <c r="S89" s="563"/>
      <c r="T89" s="563"/>
      <c r="U89" s="563"/>
      <c r="V89" s="563"/>
      <c r="W89" s="563"/>
      <c r="X89" s="563"/>
      <c r="Y89" s="563"/>
      <c r="Z89" s="563"/>
      <c r="AA89" s="816"/>
      <c r="AB89" s="794">
        <f t="shared" si="35"/>
        <v>5075333</v>
      </c>
      <c r="AC89" s="792">
        <f t="shared" si="36"/>
        <v>54504667</v>
      </c>
      <c r="AE89" s="1175">
        <v>375</v>
      </c>
      <c r="AF89" s="1176" t="s">
        <v>239</v>
      </c>
      <c r="AG89" s="1504" t="s">
        <v>801</v>
      </c>
      <c r="AH89" s="1498">
        <f t="shared" si="37"/>
        <v>219</v>
      </c>
      <c r="AI89" s="1177">
        <v>59580000</v>
      </c>
      <c r="AJ89" s="1179">
        <f t="shared" si="38"/>
        <v>0</v>
      </c>
      <c r="AK89" s="1137"/>
    </row>
    <row r="90" spans="1:37" s="1050" customFormat="1">
      <c r="A90" s="1100" t="s">
        <v>120</v>
      </c>
      <c r="B90" s="570">
        <f t="shared" si="39"/>
        <v>53010000</v>
      </c>
      <c r="C90" s="111" t="s">
        <v>44</v>
      </c>
      <c r="D90" s="112" t="s">
        <v>909</v>
      </c>
      <c r="E90" s="112" t="s">
        <v>153</v>
      </c>
      <c r="F90" s="112" t="s">
        <v>912</v>
      </c>
      <c r="G90" s="113" t="s">
        <v>86</v>
      </c>
      <c r="H90" s="1409">
        <v>376</v>
      </c>
      <c r="I90" s="575">
        <v>0</v>
      </c>
      <c r="J90" s="789"/>
      <c r="K90" s="801">
        <v>212</v>
      </c>
      <c r="L90" s="222">
        <v>53010000</v>
      </c>
      <c r="M90" s="318">
        <v>250</v>
      </c>
      <c r="N90" s="793">
        <v>53010000</v>
      </c>
      <c r="O90" s="1471">
        <v>223</v>
      </c>
      <c r="P90" s="791"/>
      <c r="Q90" s="563"/>
      <c r="R90" s="563">
        <f>VLOOKUP(M90,[5]Hoja2!N$2:T$77,7,0)</f>
        <v>4515667</v>
      </c>
      <c r="S90" s="563"/>
      <c r="T90" s="563"/>
      <c r="U90" s="563"/>
      <c r="V90" s="563"/>
      <c r="W90" s="563"/>
      <c r="X90" s="563"/>
      <c r="Y90" s="563"/>
      <c r="Z90" s="563"/>
      <c r="AA90" s="816"/>
      <c r="AB90" s="794">
        <f t="shared" si="35"/>
        <v>4515667</v>
      </c>
      <c r="AC90" s="792">
        <f t="shared" si="36"/>
        <v>48494333</v>
      </c>
      <c r="AE90" s="1175">
        <v>376</v>
      </c>
      <c r="AF90" s="1176" t="s">
        <v>239</v>
      </c>
      <c r="AG90" s="1504" t="s">
        <v>802</v>
      </c>
      <c r="AH90" s="1498">
        <f t="shared" si="37"/>
        <v>223</v>
      </c>
      <c r="AI90" s="1177">
        <v>53010000</v>
      </c>
      <c r="AJ90" s="1179">
        <f t="shared" si="38"/>
        <v>0</v>
      </c>
      <c r="AK90" s="1137"/>
    </row>
    <row r="91" spans="1:37" s="1050" customFormat="1">
      <c r="A91" s="1100" t="s">
        <v>120</v>
      </c>
      <c r="B91" s="570">
        <f t="shared" si="39"/>
        <v>49500000</v>
      </c>
      <c r="C91" s="111" t="s">
        <v>44</v>
      </c>
      <c r="D91" s="112" t="s">
        <v>909</v>
      </c>
      <c r="E91" s="112" t="s">
        <v>153</v>
      </c>
      <c r="F91" s="112" t="s">
        <v>912</v>
      </c>
      <c r="G91" s="113" t="s">
        <v>86</v>
      </c>
      <c r="H91" s="1409">
        <v>377</v>
      </c>
      <c r="I91" s="575">
        <v>0</v>
      </c>
      <c r="J91" s="789"/>
      <c r="K91" s="801">
        <v>290</v>
      </c>
      <c r="L91" s="222">
        <v>49500000</v>
      </c>
      <c r="M91" s="801">
        <v>321</v>
      </c>
      <c r="N91" s="222">
        <v>49500000</v>
      </c>
      <c r="O91" s="1471">
        <v>255</v>
      </c>
      <c r="P91" s="791"/>
      <c r="Q91" s="563"/>
      <c r="R91" s="563"/>
      <c r="S91" s="563"/>
      <c r="T91" s="563"/>
      <c r="U91" s="563"/>
      <c r="V91" s="563"/>
      <c r="W91" s="563"/>
      <c r="X91" s="563"/>
      <c r="Y91" s="563"/>
      <c r="Z91" s="563"/>
      <c r="AA91" s="816"/>
      <c r="AB91" s="794">
        <f t="shared" si="35"/>
        <v>0</v>
      </c>
      <c r="AC91" s="792">
        <f t="shared" si="36"/>
        <v>49500000</v>
      </c>
      <c r="AE91" s="1175">
        <v>377</v>
      </c>
      <c r="AF91" s="1176" t="s">
        <v>239</v>
      </c>
      <c r="AG91" s="1504" t="s">
        <v>845</v>
      </c>
      <c r="AH91" s="1498">
        <f t="shared" si="37"/>
        <v>255</v>
      </c>
      <c r="AI91" s="1177">
        <v>53010000</v>
      </c>
      <c r="AJ91" s="1179">
        <f t="shared" si="38"/>
        <v>3510000</v>
      </c>
      <c r="AK91" s="1137"/>
    </row>
    <row r="92" spans="1:37" s="1050" customFormat="1">
      <c r="A92" s="1100" t="s">
        <v>120</v>
      </c>
      <c r="B92" s="570">
        <f t="shared" si="39"/>
        <v>46000000</v>
      </c>
      <c r="C92" s="111" t="s">
        <v>44</v>
      </c>
      <c r="D92" s="112" t="s">
        <v>909</v>
      </c>
      <c r="E92" s="112" t="s">
        <v>153</v>
      </c>
      <c r="F92" s="112" t="s">
        <v>912</v>
      </c>
      <c r="G92" s="113" t="s">
        <v>86</v>
      </c>
      <c r="H92" s="1409">
        <v>378</v>
      </c>
      <c r="I92" s="575">
        <v>0</v>
      </c>
      <c r="J92" s="789"/>
      <c r="K92" s="801">
        <v>234</v>
      </c>
      <c r="L92" s="222">
        <v>46000000</v>
      </c>
      <c r="M92" s="318">
        <v>216</v>
      </c>
      <c r="N92" s="793">
        <v>46000000</v>
      </c>
      <c r="O92" s="1471">
        <v>210</v>
      </c>
      <c r="P92" s="791"/>
      <c r="Q92" s="563"/>
      <c r="R92" s="563">
        <f>VLOOKUP(M92,[5]Hoja2!N$2:T$77,7,0)</f>
        <v>4140000</v>
      </c>
      <c r="S92" s="563"/>
      <c r="T92" s="563"/>
      <c r="U92" s="563"/>
      <c r="V92" s="563"/>
      <c r="W92" s="563"/>
      <c r="X92" s="563"/>
      <c r="Y92" s="563"/>
      <c r="Z92" s="563"/>
      <c r="AA92" s="816"/>
      <c r="AB92" s="794">
        <f t="shared" si="35"/>
        <v>4140000</v>
      </c>
      <c r="AC92" s="792">
        <f t="shared" si="36"/>
        <v>41860000</v>
      </c>
      <c r="AE92" s="1175">
        <v>378</v>
      </c>
      <c r="AF92" s="1176" t="s">
        <v>240</v>
      </c>
      <c r="AG92" s="1504" t="s">
        <v>805</v>
      </c>
      <c r="AH92" s="1498">
        <f t="shared" si="37"/>
        <v>210</v>
      </c>
      <c r="AI92" s="1177">
        <v>58700000</v>
      </c>
      <c r="AJ92" s="1179">
        <f t="shared" si="38"/>
        <v>12700000</v>
      </c>
      <c r="AK92" s="1137"/>
    </row>
    <row r="93" spans="1:37" s="1050" customFormat="1">
      <c r="A93" s="1100" t="s">
        <v>120</v>
      </c>
      <c r="B93" s="570">
        <f t="shared" si="39"/>
        <v>54010000</v>
      </c>
      <c r="C93" s="111" t="s">
        <v>44</v>
      </c>
      <c r="D93" s="112" t="s">
        <v>909</v>
      </c>
      <c r="E93" s="112" t="s">
        <v>153</v>
      </c>
      <c r="F93" s="112" t="s">
        <v>912</v>
      </c>
      <c r="G93" s="113" t="s">
        <v>86</v>
      </c>
      <c r="H93" s="1409">
        <v>379</v>
      </c>
      <c r="I93" s="575">
        <v>0</v>
      </c>
      <c r="J93" s="789"/>
      <c r="K93" s="801">
        <v>122</v>
      </c>
      <c r="L93" s="222">
        <v>54010000</v>
      </c>
      <c r="M93" s="318">
        <v>87</v>
      </c>
      <c r="N93" s="793">
        <v>54010000</v>
      </c>
      <c r="O93" s="1471">
        <v>94</v>
      </c>
      <c r="P93" s="791"/>
      <c r="Q93" s="563">
        <v>1309333</v>
      </c>
      <c r="R93" s="563">
        <f>VLOOKUP(M93,[5]Hoja2!N$2:T$77,7,0)</f>
        <v>4910000</v>
      </c>
      <c r="S93" s="563"/>
      <c r="T93" s="563"/>
      <c r="U93" s="563"/>
      <c r="V93" s="563"/>
      <c r="W93" s="563"/>
      <c r="X93" s="563"/>
      <c r="Y93" s="563"/>
      <c r="Z93" s="563"/>
      <c r="AA93" s="816"/>
      <c r="AB93" s="794">
        <f t="shared" si="35"/>
        <v>6219333</v>
      </c>
      <c r="AC93" s="792">
        <f t="shared" si="36"/>
        <v>47790667</v>
      </c>
      <c r="AE93" s="1175">
        <v>379</v>
      </c>
      <c r="AF93" s="1176" t="s">
        <v>241</v>
      </c>
      <c r="AG93" s="1504" t="s">
        <v>611</v>
      </c>
      <c r="AH93" s="1498">
        <f t="shared" si="37"/>
        <v>94</v>
      </c>
      <c r="AI93" s="1177">
        <v>54010000</v>
      </c>
      <c r="AJ93" s="1179">
        <f t="shared" si="38"/>
        <v>0</v>
      </c>
      <c r="AK93" s="1137"/>
    </row>
    <row r="94" spans="1:37" s="1050" customFormat="1" ht="15">
      <c r="A94" s="1100" t="s">
        <v>120</v>
      </c>
      <c r="B94" s="570">
        <f t="shared" si="39"/>
        <v>0</v>
      </c>
      <c r="C94" s="111" t="s">
        <v>44</v>
      </c>
      <c r="D94" s="112" t="s">
        <v>909</v>
      </c>
      <c r="E94" s="112" t="s">
        <v>153</v>
      </c>
      <c r="F94" s="112" t="s">
        <v>912</v>
      </c>
      <c r="G94" s="113" t="s">
        <v>86</v>
      </c>
      <c r="H94" s="1409">
        <v>380</v>
      </c>
      <c r="I94" s="575">
        <v>0</v>
      </c>
      <c r="J94" s="789"/>
      <c r="K94" s="801"/>
      <c r="L94" s="222"/>
      <c r="M94" s="1095"/>
      <c r="N94" s="1096"/>
      <c r="O94" s="1471"/>
      <c r="P94" s="791"/>
      <c r="Q94" s="563"/>
      <c r="R94" s="563"/>
      <c r="S94" s="563"/>
      <c r="T94" s="563"/>
      <c r="U94" s="563"/>
      <c r="V94" s="563"/>
      <c r="W94" s="563"/>
      <c r="X94" s="563"/>
      <c r="Y94" s="563"/>
      <c r="Z94" s="563"/>
      <c r="AA94" s="816"/>
      <c r="AB94" s="794">
        <f t="shared" si="35"/>
        <v>0</v>
      </c>
      <c r="AC94" s="792">
        <f t="shared" si="36"/>
        <v>0</v>
      </c>
      <c r="AE94" s="1175">
        <v>380</v>
      </c>
      <c r="AF94" s="1176" t="s">
        <v>242</v>
      </c>
      <c r="AG94" s="1505" t="s">
        <v>188</v>
      </c>
      <c r="AH94" s="1498">
        <f t="shared" si="37"/>
        <v>0</v>
      </c>
      <c r="AI94" s="1177">
        <v>55000000</v>
      </c>
      <c r="AJ94" s="1179">
        <f t="shared" si="38"/>
        <v>55000000</v>
      </c>
      <c r="AK94" s="1137"/>
    </row>
    <row r="95" spans="1:37" s="1050" customFormat="1">
      <c r="A95" s="1100" t="s">
        <v>120</v>
      </c>
      <c r="B95" s="570">
        <f t="shared" si="39"/>
        <v>59580000</v>
      </c>
      <c r="C95" s="111" t="s">
        <v>44</v>
      </c>
      <c r="D95" s="112" t="s">
        <v>909</v>
      </c>
      <c r="E95" s="112" t="s">
        <v>153</v>
      </c>
      <c r="F95" s="112" t="s">
        <v>912</v>
      </c>
      <c r="G95" s="113" t="s">
        <v>86</v>
      </c>
      <c r="H95" s="1409">
        <v>381</v>
      </c>
      <c r="I95" s="575">
        <v>0</v>
      </c>
      <c r="J95" s="789"/>
      <c r="K95" s="801">
        <v>138</v>
      </c>
      <c r="L95" s="222">
        <v>59580000</v>
      </c>
      <c r="M95" s="318">
        <v>123</v>
      </c>
      <c r="N95" s="793">
        <v>59580000</v>
      </c>
      <c r="O95" s="1471">
        <v>127</v>
      </c>
      <c r="P95" s="791"/>
      <c r="Q95" s="563">
        <v>1765333</v>
      </c>
      <c r="R95" s="563">
        <f>VLOOKUP(M95,[5]Hoja2!N$2:T$77,7,0)</f>
        <v>6620000</v>
      </c>
      <c r="S95" s="563"/>
      <c r="T95" s="563"/>
      <c r="U95" s="563"/>
      <c r="V95" s="563"/>
      <c r="W95" s="563"/>
      <c r="X95" s="563"/>
      <c r="Y95" s="563"/>
      <c r="Z95" s="563"/>
      <c r="AA95" s="816"/>
      <c r="AB95" s="794">
        <f t="shared" si="35"/>
        <v>8385333</v>
      </c>
      <c r="AC95" s="792">
        <f t="shared" si="36"/>
        <v>51194667</v>
      </c>
      <c r="AE95" s="1175">
        <v>381</v>
      </c>
      <c r="AF95" s="1176" t="s">
        <v>243</v>
      </c>
      <c r="AG95" s="1504" t="s">
        <v>612</v>
      </c>
      <c r="AH95" s="1498">
        <f t="shared" si="37"/>
        <v>127</v>
      </c>
      <c r="AI95" s="1177">
        <v>59580000</v>
      </c>
      <c r="AJ95" s="1179">
        <f t="shared" si="38"/>
        <v>0</v>
      </c>
      <c r="AK95" s="1137"/>
    </row>
    <row r="96" spans="1:37" s="1050" customFormat="1">
      <c r="A96" s="1100" t="s">
        <v>120</v>
      </c>
      <c r="B96" s="570">
        <f t="shared" si="39"/>
        <v>57200000</v>
      </c>
      <c r="C96" s="111" t="s">
        <v>44</v>
      </c>
      <c r="D96" s="112" t="s">
        <v>909</v>
      </c>
      <c r="E96" s="112" t="s">
        <v>153</v>
      </c>
      <c r="F96" s="112" t="s">
        <v>912</v>
      </c>
      <c r="G96" s="113" t="s">
        <v>86</v>
      </c>
      <c r="H96" s="1409">
        <v>382</v>
      </c>
      <c r="I96" s="575">
        <v>0</v>
      </c>
      <c r="J96" s="789"/>
      <c r="K96" s="801">
        <v>34</v>
      </c>
      <c r="L96" s="222">
        <v>57200000</v>
      </c>
      <c r="M96" s="318">
        <v>17</v>
      </c>
      <c r="N96" s="793">
        <v>57200000</v>
      </c>
      <c r="O96" s="1471">
        <v>20</v>
      </c>
      <c r="P96" s="791"/>
      <c r="Q96" s="563">
        <v>2426667</v>
      </c>
      <c r="R96" s="563">
        <f>VLOOKUP(M96,[5]Hoja2!N$2:T$77,7,0)</f>
        <v>5200000</v>
      </c>
      <c r="S96" s="563"/>
      <c r="T96" s="563"/>
      <c r="U96" s="563"/>
      <c r="V96" s="563"/>
      <c r="W96" s="563"/>
      <c r="X96" s="563"/>
      <c r="Y96" s="563"/>
      <c r="Z96" s="563"/>
      <c r="AA96" s="816"/>
      <c r="AB96" s="794">
        <f t="shared" si="35"/>
        <v>7626667</v>
      </c>
      <c r="AC96" s="792">
        <f t="shared" si="36"/>
        <v>49573333</v>
      </c>
      <c r="AE96" s="1175">
        <v>382</v>
      </c>
      <c r="AF96" s="1176" t="s">
        <v>244</v>
      </c>
      <c r="AG96" s="1504" t="s">
        <v>613</v>
      </c>
      <c r="AH96" s="1498">
        <f t="shared" si="37"/>
        <v>20</v>
      </c>
      <c r="AI96" s="1177">
        <v>57200000</v>
      </c>
      <c r="AJ96" s="1179">
        <f t="shared" si="38"/>
        <v>0</v>
      </c>
      <c r="AK96" s="1137"/>
    </row>
    <row r="97" spans="1:37" s="1050" customFormat="1">
      <c r="A97" s="1100" t="s">
        <v>120</v>
      </c>
      <c r="B97" s="570">
        <f t="shared" si="39"/>
        <v>90640000</v>
      </c>
      <c r="C97" s="111" t="s">
        <v>44</v>
      </c>
      <c r="D97" s="112" t="s">
        <v>909</v>
      </c>
      <c r="E97" s="112" t="s">
        <v>153</v>
      </c>
      <c r="F97" s="112" t="s">
        <v>912</v>
      </c>
      <c r="G97" s="113" t="s">
        <v>86</v>
      </c>
      <c r="H97" s="1409">
        <v>383</v>
      </c>
      <c r="I97" s="575">
        <v>0</v>
      </c>
      <c r="J97" s="789"/>
      <c r="K97" s="801">
        <v>139</v>
      </c>
      <c r="L97" s="222">
        <v>90640000</v>
      </c>
      <c r="M97" s="318">
        <v>119</v>
      </c>
      <c r="N97" s="793">
        <v>90640000</v>
      </c>
      <c r="O97" s="1471">
        <v>119</v>
      </c>
      <c r="P97" s="791"/>
      <c r="Q97" s="563">
        <v>2472000</v>
      </c>
      <c r="R97" s="563">
        <f>VLOOKUP(M97,[5]Hoja2!N$2:T$77,7,0)</f>
        <v>8240000</v>
      </c>
      <c r="S97" s="563"/>
      <c r="T97" s="563"/>
      <c r="U97" s="563"/>
      <c r="V97" s="563"/>
      <c r="W97" s="563"/>
      <c r="X97" s="563"/>
      <c r="Y97" s="563"/>
      <c r="Z97" s="563"/>
      <c r="AA97" s="816"/>
      <c r="AB97" s="794">
        <f t="shared" si="35"/>
        <v>10712000</v>
      </c>
      <c r="AC97" s="792">
        <f t="shared" si="36"/>
        <v>79928000</v>
      </c>
      <c r="AE97" s="1175">
        <v>383</v>
      </c>
      <c r="AF97" s="1176" t="s">
        <v>245</v>
      </c>
      <c r="AG97" s="1504" t="s">
        <v>614</v>
      </c>
      <c r="AH97" s="1498">
        <f t="shared" si="37"/>
        <v>119</v>
      </c>
      <c r="AI97" s="1177">
        <v>90640000</v>
      </c>
      <c r="AJ97" s="1179">
        <f t="shared" si="38"/>
        <v>0</v>
      </c>
      <c r="AK97" s="1137"/>
    </row>
    <row r="98" spans="1:37" s="1050" customFormat="1" ht="15">
      <c r="A98" s="1100" t="s">
        <v>120</v>
      </c>
      <c r="B98" s="570">
        <f t="shared" si="39"/>
        <v>0</v>
      </c>
      <c r="C98" s="111" t="s">
        <v>44</v>
      </c>
      <c r="D98" s="112" t="s">
        <v>909</v>
      </c>
      <c r="E98" s="112" t="s">
        <v>153</v>
      </c>
      <c r="F98" s="112" t="s">
        <v>912</v>
      </c>
      <c r="G98" s="113" t="s">
        <v>86</v>
      </c>
      <c r="H98" s="1409">
        <v>384</v>
      </c>
      <c r="I98" s="575">
        <v>0</v>
      </c>
      <c r="J98" s="789"/>
      <c r="K98" s="801"/>
      <c r="L98" s="222"/>
      <c r="M98" s="1095"/>
      <c r="N98" s="1096"/>
      <c r="O98" s="1471"/>
      <c r="P98" s="791"/>
      <c r="Q98" s="563"/>
      <c r="R98" s="563"/>
      <c r="S98" s="563"/>
      <c r="T98" s="563"/>
      <c r="U98" s="563"/>
      <c r="V98" s="563"/>
      <c r="W98" s="563"/>
      <c r="X98" s="563"/>
      <c r="Y98" s="563"/>
      <c r="Z98" s="563"/>
      <c r="AA98" s="816"/>
      <c r="AB98" s="794">
        <f t="shared" si="35"/>
        <v>0</v>
      </c>
      <c r="AC98" s="792">
        <f t="shared" si="36"/>
        <v>0</v>
      </c>
      <c r="AE98" s="1175">
        <v>384</v>
      </c>
      <c r="AF98" s="1176" t="s">
        <v>246</v>
      </c>
      <c r="AG98" s="1505" t="s">
        <v>188</v>
      </c>
      <c r="AH98" s="1498">
        <f t="shared" si="37"/>
        <v>0</v>
      </c>
      <c r="AI98" s="1177">
        <v>54900000</v>
      </c>
      <c r="AJ98" s="1179">
        <f t="shared" si="38"/>
        <v>54900000</v>
      </c>
      <c r="AK98" s="1137"/>
    </row>
    <row r="99" spans="1:37" s="1050" customFormat="1">
      <c r="A99" s="1100" t="s">
        <v>120</v>
      </c>
      <c r="B99" s="570">
        <f t="shared" si="39"/>
        <v>93500000</v>
      </c>
      <c r="C99" s="111" t="s">
        <v>44</v>
      </c>
      <c r="D99" s="112" t="s">
        <v>909</v>
      </c>
      <c r="E99" s="112" t="s">
        <v>153</v>
      </c>
      <c r="F99" s="112" t="s">
        <v>912</v>
      </c>
      <c r="G99" s="113" t="s">
        <v>86</v>
      </c>
      <c r="H99" s="1409">
        <v>385</v>
      </c>
      <c r="I99" s="575">
        <v>0</v>
      </c>
      <c r="J99" s="789"/>
      <c r="K99" s="801">
        <v>38</v>
      </c>
      <c r="L99" s="222">
        <v>93500000</v>
      </c>
      <c r="M99" s="318">
        <v>25</v>
      </c>
      <c r="N99" s="793">
        <v>93500000</v>
      </c>
      <c r="O99" s="1471">
        <v>18</v>
      </c>
      <c r="P99" s="791"/>
      <c r="Q99" s="563">
        <v>3966667</v>
      </c>
      <c r="R99" s="563">
        <f>VLOOKUP(M99,[5]Hoja2!N$2:T$77,7,0)</f>
        <v>8500000</v>
      </c>
      <c r="S99" s="563"/>
      <c r="T99" s="563"/>
      <c r="U99" s="563"/>
      <c r="V99" s="563"/>
      <c r="W99" s="563"/>
      <c r="X99" s="563"/>
      <c r="Y99" s="563"/>
      <c r="Z99" s="563"/>
      <c r="AA99" s="816"/>
      <c r="AB99" s="794">
        <f t="shared" si="35"/>
        <v>12466667</v>
      </c>
      <c r="AC99" s="792">
        <f t="shared" si="36"/>
        <v>81033333</v>
      </c>
      <c r="AE99" s="1175">
        <v>385</v>
      </c>
      <c r="AF99" s="1176" t="s">
        <v>247</v>
      </c>
      <c r="AG99" s="1504" t="s">
        <v>615</v>
      </c>
      <c r="AH99" s="1498">
        <f t="shared" si="37"/>
        <v>18</v>
      </c>
      <c r="AI99" s="1177">
        <v>93500000</v>
      </c>
      <c r="AJ99" s="1179">
        <f t="shared" si="38"/>
        <v>0</v>
      </c>
      <c r="AK99" s="1137"/>
    </row>
    <row r="100" spans="1:37" s="1050" customFormat="1">
      <c r="A100" s="1100" t="s">
        <v>120</v>
      </c>
      <c r="B100" s="570">
        <f t="shared" si="39"/>
        <v>91740000</v>
      </c>
      <c r="C100" s="111" t="s">
        <v>44</v>
      </c>
      <c r="D100" s="112" t="s">
        <v>909</v>
      </c>
      <c r="E100" s="112" t="s">
        <v>153</v>
      </c>
      <c r="F100" s="112" t="s">
        <v>912</v>
      </c>
      <c r="G100" s="113" t="s">
        <v>86</v>
      </c>
      <c r="H100" s="1409">
        <v>386</v>
      </c>
      <c r="I100" s="575">
        <v>0</v>
      </c>
      <c r="J100" s="789"/>
      <c r="K100" s="801">
        <v>74</v>
      </c>
      <c r="L100" s="222">
        <v>91740000</v>
      </c>
      <c r="M100" s="318">
        <v>98</v>
      </c>
      <c r="N100" s="793">
        <v>91740000</v>
      </c>
      <c r="O100" s="1471">
        <v>68</v>
      </c>
      <c r="P100" s="791"/>
      <c r="Q100" s="563">
        <v>2502000</v>
      </c>
      <c r="R100" s="563">
        <f>VLOOKUP(M100,[5]Hoja2!N$2:T$77,7,0)</f>
        <v>8340000</v>
      </c>
      <c r="S100" s="563"/>
      <c r="T100" s="563"/>
      <c r="U100" s="563"/>
      <c r="V100" s="563"/>
      <c r="W100" s="563"/>
      <c r="X100" s="563"/>
      <c r="Y100" s="563"/>
      <c r="Z100" s="563"/>
      <c r="AA100" s="816"/>
      <c r="AB100" s="794">
        <f t="shared" si="35"/>
        <v>10842000</v>
      </c>
      <c r="AC100" s="792">
        <f t="shared" si="36"/>
        <v>80898000</v>
      </c>
      <c r="AE100" s="1175">
        <v>386</v>
      </c>
      <c r="AF100" s="1176" t="s">
        <v>248</v>
      </c>
      <c r="AG100" s="1504" t="s">
        <v>616</v>
      </c>
      <c r="AH100" s="1498">
        <f t="shared" si="37"/>
        <v>68</v>
      </c>
      <c r="AI100" s="1177">
        <v>91740000</v>
      </c>
      <c r="AJ100" s="1179">
        <f t="shared" si="38"/>
        <v>0</v>
      </c>
      <c r="AK100" s="1137"/>
    </row>
    <row r="101" spans="1:37" s="1050" customFormat="1" ht="15">
      <c r="A101" s="1100" t="s">
        <v>120</v>
      </c>
      <c r="B101" s="570">
        <f t="shared" si="39"/>
        <v>0</v>
      </c>
      <c r="C101" s="111" t="s">
        <v>44</v>
      </c>
      <c r="D101" s="112" t="s">
        <v>909</v>
      </c>
      <c r="E101" s="112" t="s">
        <v>153</v>
      </c>
      <c r="F101" s="112" t="s">
        <v>912</v>
      </c>
      <c r="G101" s="113" t="s">
        <v>86</v>
      </c>
      <c r="H101" s="1409">
        <v>387</v>
      </c>
      <c r="I101" s="575">
        <v>0</v>
      </c>
      <c r="J101" s="789"/>
      <c r="K101" s="801"/>
      <c r="L101" s="222"/>
      <c r="M101" s="1095"/>
      <c r="N101" s="1096"/>
      <c r="O101" s="1471"/>
      <c r="P101" s="791"/>
      <c r="Q101" s="563"/>
      <c r="R101" s="563"/>
      <c r="S101" s="563"/>
      <c r="T101" s="563"/>
      <c r="U101" s="563"/>
      <c r="V101" s="563"/>
      <c r="W101" s="563"/>
      <c r="X101" s="563"/>
      <c r="Y101" s="563"/>
      <c r="Z101" s="563"/>
      <c r="AA101" s="816"/>
      <c r="AB101" s="794">
        <f t="shared" si="35"/>
        <v>0</v>
      </c>
      <c r="AC101" s="792">
        <f t="shared" si="36"/>
        <v>0</v>
      </c>
      <c r="AE101" s="1175">
        <v>387</v>
      </c>
      <c r="AF101" s="1176" t="s">
        <v>249</v>
      </c>
      <c r="AG101" s="1505" t="s">
        <v>188</v>
      </c>
      <c r="AH101" s="1498">
        <f t="shared" si="37"/>
        <v>0</v>
      </c>
      <c r="AI101" s="1177">
        <f>88000000-18000000</f>
        <v>70000000</v>
      </c>
      <c r="AJ101" s="1179">
        <f t="shared" si="38"/>
        <v>70000000</v>
      </c>
      <c r="AK101" s="1137"/>
    </row>
    <row r="102" spans="1:37" s="1050" customFormat="1">
      <c r="A102" s="1100" t="s">
        <v>120</v>
      </c>
      <c r="B102" s="570">
        <f t="shared" si="39"/>
        <v>48960000</v>
      </c>
      <c r="C102" s="111" t="s">
        <v>44</v>
      </c>
      <c r="D102" s="112" t="s">
        <v>909</v>
      </c>
      <c r="E102" s="112" t="s">
        <v>153</v>
      </c>
      <c r="F102" s="112" t="s">
        <v>912</v>
      </c>
      <c r="G102" s="113" t="s">
        <v>86</v>
      </c>
      <c r="H102" s="1409">
        <v>388</v>
      </c>
      <c r="I102" s="575">
        <v>0</v>
      </c>
      <c r="J102" s="789"/>
      <c r="K102" s="801">
        <v>140</v>
      </c>
      <c r="L102" s="222">
        <v>48960000</v>
      </c>
      <c r="M102" s="318">
        <v>125</v>
      </c>
      <c r="N102" s="793">
        <v>48960000</v>
      </c>
      <c r="O102" s="1471">
        <v>111</v>
      </c>
      <c r="P102" s="791"/>
      <c r="Q102" s="563">
        <v>1450667</v>
      </c>
      <c r="R102" s="563">
        <f>VLOOKUP(M102,[5]Hoja2!N$2:T$77,7,0)</f>
        <v>5440000</v>
      </c>
      <c r="S102" s="563"/>
      <c r="T102" s="563"/>
      <c r="U102" s="563"/>
      <c r="V102" s="563"/>
      <c r="W102" s="563"/>
      <c r="X102" s="563"/>
      <c r="Y102" s="563"/>
      <c r="Z102" s="563"/>
      <c r="AA102" s="816"/>
      <c r="AB102" s="794">
        <f t="shared" si="35"/>
        <v>6890667</v>
      </c>
      <c r="AC102" s="792">
        <f t="shared" si="36"/>
        <v>42069333</v>
      </c>
      <c r="AE102" s="1175">
        <v>388</v>
      </c>
      <c r="AF102" s="1176" t="s">
        <v>250</v>
      </c>
      <c r="AG102" s="1504" t="s">
        <v>617</v>
      </c>
      <c r="AH102" s="1498">
        <f t="shared" si="37"/>
        <v>111</v>
      </c>
      <c r="AI102" s="1177">
        <v>48960000</v>
      </c>
      <c r="AJ102" s="1179">
        <f t="shared" si="38"/>
        <v>0</v>
      </c>
      <c r="AK102" s="1137"/>
    </row>
    <row r="103" spans="1:37" s="1050" customFormat="1">
      <c r="A103" s="1100" t="s">
        <v>120</v>
      </c>
      <c r="B103" s="570">
        <f t="shared" si="39"/>
        <v>85000000</v>
      </c>
      <c r="C103" s="111" t="s">
        <v>44</v>
      </c>
      <c r="D103" s="112" t="s">
        <v>909</v>
      </c>
      <c r="E103" s="112" t="s">
        <v>153</v>
      </c>
      <c r="F103" s="112" t="s">
        <v>912</v>
      </c>
      <c r="G103" s="113" t="s">
        <v>86</v>
      </c>
      <c r="H103" s="1409">
        <v>389</v>
      </c>
      <c r="I103" s="575">
        <v>0</v>
      </c>
      <c r="J103" s="789"/>
      <c r="K103" s="801">
        <v>291</v>
      </c>
      <c r="L103" s="222">
        <v>85000000</v>
      </c>
      <c r="M103" s="1608">
        <v>343</v>
      </c>
      <c r="N103" s="793">
        <v>80750000</v>
      </c>
      <c r="O103" s="1471">
        <v>279</v>
      </c>
      <c r="P103" s="791"/>
      <c r="Q103" s="563"/>
      <c r="R103" s="563"/>
      <c r="S103" s="563"/>
      <c r="T103" s="563"/>
      <c r="U103" s="563"/>
      <c r="V103" s="563"/>
      <c r="W103" s="563"/>
      <c r="X103" s="563"/>
      <c r="Y103" s="563"/>
      <c r="Z103" s="563"/>
      <c r="AA103" s="816"/>
      <c r="AB103" s="794">
        <f t="shared" si="35"/>
        <v>0</v>
      </c>
      <c r="AC103" s="792">
        <f t="shared" si="36"/>
        <v>80750000</v>
      </c>
      <c r="AE103" s="1175">
        <v>389</v>
      </c>
      <c r="AF103" s="1176" t="s">
        <v>251</v>
      </c>
      <c r="AG103" s="1504" t="s">
        <v>866</v>
      </c>
      <c r="AH103" s="1498">
        <f t="shared" si="37"/>
        <v>279</v>
      </c>
      <c r="AI103" s="1177">
        <f>87500000-2500000</f>
        <v>85000000</v>
      </c>
      <c r="AJ103" s="1179">
        <f t="shared" si="38"/>
        <v>4250000</v>
      </c>
      <c r="AK103" s="1137"/>
    </row>
    <row r="104" spans="1:37" s="1050" customFormat="1">
      <c r="A104" s="1100" t="s">
        <v>120</v>
      </c>
      <c r="B104" s="570">
        <f t="shared" si="39"/>
        <v>72000000</v>
      </c>
      <c r="C104" s="111" t="s">
        <v>44</v>
      </c>
      <c r="D104" s="112" t="s">
        <v>909</v>
      </c>
      <c r="E104" s="112" t="s">
        <v>153</v>
      </c>
      <c r="F104" s="112" t="s">
        <v>912</v>
      </c>
      <c r="G104" s="113" t="s">
        <v>86</v>
      </c>
      <c r="H104" s="1409">
        <v>390</v>
      </c>
      <c r="I104" s="575">
        <v>0</v>
      </c>
      <c r="J104" s="789"/>
      <c r="K104" s="801">
        <v>213</v>
      </c>
      <c r="L104" s="222">
        <v>72000000</v>
      </c>
      <c r="M104" s="318">
        <v>211</v>
      </c>
      <c r="N104" s="793">
        <v>72000000</v>
      </c>
      <c r="O104" s="1471">
        <v>209</v>
      </c>
      <c r="P104" s="791"/>
      <c r="Q104" s="563"/>
      <c r="R104" s="563">
        <f>VLOOKUP(M104,[5]Hoja2!N$2:T$77,7,0)</f>
        <v>7200000</v>
      </c>
      <c r="S104" s="563"/>
      <c r="T104" s="563"/>
      <c r="U104" s="563"/>
      <c r="V104" s="563"/>
      <c r="W104" s="563"/>
      <c r="X104" s="563"/>
      <c r="Y104" s="563"/>
      <c r="Z104" s="563"/>
      <c r="AA104" s="816"/>
      <c r="AB104" s="794">
        <f t="shared" si="35"/>
        <v>7200000</v>
      </c>
      <c r="AC104" s="792">
        <f t="shared" si="36"/>
        <v>64800000</v>
      </c>
      <c r="AE104" s="1175">
        <v>390</v>
      </c>
      <c r="AF104" s="1176" t="s">
        <v>252</v>
      </c>
      <c r="AG104" s="1504" t="s">
        <v>618</v>
      </c>
      <c r="AH104" s="1498">
        <f t="shared" si="37"/>
        <v>209</v>
      </c>
      <c r="AI104" s="1177">
        <v>72000000</v>
      </c>
      <c r="AJ104" s="1179">
        <f t="shared" si="38"/>
        <v>0</v>
      </c>
      <c r="AK104" s="1137"/>
    </row>
    <row r="105" spans="1:37" s="1050" customFormat="1">
      <c r="A105" s="1100" t="s">
        <v>120</v>
      </c>
      <c r="B105" s="570">
        <f t="shared" si="39"/>
        <v>45320000</v>
      </c>
      <c r="C105" s="111" t="s">
        <v>44</v>
      </c>
      <c r="D105" s="112" t="s">
        <v>909</v>
      </c>
      <c r="E105" s="112" t="s">
        <v>153</v>
      </c>
      <c r="F105" s="112" t="s">
        <v>912</v>
      </c>
      <c r="G105" s="113" t="s">
        <v>86</v>
      </c>
      <c r="H105" s="1409">
        <v>391</v>
      </c>
      <c r="I105" s="575">
        <v>0</v>
      </c>
      <c r="J105" s="789"/>
      <c r="K105" s="801">
        <v>49</v>
      </c>
      <c r="L105" s="222">
        <v>45320000</v>
      </c>
      <c r="M105" s="318">
        <v>29</v>
      </c>
      <c r="N105" s="793">
        <v>45320000</v>
      </c>
      <c r="O105" s="1471">
        <v>26</v>
      </c>
      <c r="P105" s="791"/>
      <c r="Q105" s="563">
        <v>1922667</v>
      </c>
      <c r="R105" s="563">
        <f>VLOOKUP(M105,[5]Hoja2!N$2:T$77,7,0)</f>
        <v>4120000</v>
      </c>
      <c r="S105" s="563"/>
      <c r="T105" s="563"/>
      <c r="U105" s="563"/>
      <c r="V105" s="563"/>
      <c r="W105" s="563"/>
      <c r="X105" s="563"/>
      <c r="Y105" s="563"/>
      <c r="Z105" s="563"/>
      <c r="AA105" s="816"/>
      <c r="AB105" s="794">
        <f t="shared" si="35"/>
        <v>6042667</v>
      </c>
      <c r="AC105" s="792">
        <f t="shared" si="36"/>
        <v>39277333</v>
      </c>
      <c r="AE105" s="1175">
        <v>391</v>
      </c>
      <c r="AF105" s="1176" t="s">
        <v>253</v>
      </c>
      <c r="AG105" s="1504" t="s">
        <v>619</v>
      </c>
      <c r="AH105" s="1498">
        <f t="shared" si="37"/>
        <v>26</v>
      </c>
      <c r="AI105" s="1177">
        <v>45320000</v>
      </c>
      <c r="AJ105" s="1179">
        <f t="shared" si="38"/>
        <v>0</v>
      </c>
      <c r="AK105" s="1137"/>
    </row>
    <row r="106" spans="1:37" s="1050" customFormat="1" ht="15">
      <c r="A106" s="1100" t="s">
        <v>120</v>
      </c>
      <c r="B106" s="570">
        <f t="shared" si="39"/>
        <v>0</v>
      </c>
      <c r="C106" s="111" t="s">
        <v>44</v>
      </c>
      <c r="D106" s="112" t="s">
        <v>909</v>
      </c>
      <c r="E106" s="112" t="s">
        <v>153</v>
      </c>
      <c r="F106" s="112" t="s">
        <v>912</v>
      </c>
      <c r="G106" s="113" t="s">
        <v>86</v>
      </c>
      <c r="H106" s="1409">
        <v>392</v>
      </c>
      <c r="I106" s="575">
        <v>0</v>
      </c>
      <c r="J106" s="789"/>
      <c r="K106" s="801"/>
      <c r="L106" s="75"/>
      <c r="M106" s="1095"/>
      <c r="N106" s="1096"/>
      <c r="O106" s="1471"/>
      <c r="P106" s="791"/>
      <c r="Q106" s="563"/>
      <c r="R106" s="563"/>
      <c r="S106" s="563"/>
      <c r="T106" s="563"/>
      <c r="U106" s="563"/>
      <c r="V106" s="563"/>
      <c r="W106" s="563"/>
      <c r="X106" s="563"/>
      <c r="Y106" s="563"/>
      <c r="Z106" s="563"/>
      <c r="AA106" s="816"/>
      <c r="AB106" s="794">
        <f t="shared" si="35"/>
        <v>0</v>
      </c>
      <c r="AC106" s="792">
        <f t="shared" si="36"/>
        <v>0</v>
      </c>
      <c r="AE106" s="1175">
        <v>392</v>
      </c>
      <c r="AF106" s="1176" t="s">
        <v>253</v>
      </c>
      <c r="AG106" s="1505" t="s">
        <v>188</v>
      </c>
      <c r="AH106" s="1498">
        <f t="shared" si="37"/>
        <v>0</v>
      </c>
      <c r="AI106" s="1177">
        <v>36450000</v>
      </c>
      <c r="AJ106" s="1179">
        <f t="shared" si="38"/>
        <v>36450000</v>
      </c>
      <c r="AK106" s="1137"/>
    </row>
    <row r="107" spans="1:37" s="1050" customFormat="1" ht="15">
      <c r="A107" s="1100" t="s">
        <v>120</v>
      </c>
      <c r="B107" s="570">
        <f t="shared" si="39"/>
        <v>0</v>
      </c>
      <c r="C107" s="111" t="s">
        <v>44</v>
      </c>
      <c r="D107" s="112" t="s">
        <v>909</v>
      </c>
      <c r="E107" s="112" t="s">
        <v>153</v>
      </c>
      <c r="F107" s="112" t="s">
        <v>912</v>
      </c>
      <c r="G107" s="113" t="s">
        <v>86</v>
      </c>
      <c r="H107" s="1410" t="s">
        <v>188</v>
      </c>
      <c r="I107" s="575">
        <v>0</v>
      </c>
      <c r="J107" s="576"/>
      <c r="K107" s="1046"/>
      <c r="L107" s="1047"/>
      <c r="M107" s="1046"/>
      <c r="N107" s="188"/>
      <c r="O107" s="1474"/>
      <c r="P107" s="1048"/>
      <c r="Q107" s="1049"/>
      <c r="R107" s="1049"/>
      <c r="S107" s="1049"/>
      <c r="T107" s="1049"/>
      <c r="U107" s="1049"/>
      <c r="V107" s="1049"/>
      <c r="W107" s="1049"/>
      <c r="X107" s="1049"/>
      <c r="Y107" s="1049"/>
      <c r="Z107" s="1049"/>
      <c r="AA107" s="1057"/>
      <c r="AB107" s="794">
        <f t="shared" si="35"/>
        <v>0</v>
      </c>
      <c r="AC107" s="792">
        <f t="shared" si="36"/>
        <v>0</v>
      </c>
      <c r="AE107" s="1175"/>
      <c r="AF107" s="1176"/>
      <c r="AG107" s="1505"/>
      <c r="AH107" s="1498">
        <f t="shared" si="37"/>
        <v>0</v>
      </c>
      <c r="AI107" s="1177"/>
      <c r="AJ107" s="1179">
        <f t="shared" si="38"/>
        <v>0</v>
      </c>
      <c r="AK107" s="1137"/>
    </row>
    <row r="108" spans="1:37" s="1050" customFormat="1" ht="15">
      <c r="A108" s="1100" t="s">
        <v>120</v>
      </c>
      <c r="B108" s="570">
        <f t="shared" si="39"/>
        <v>0</v>
      </c>
      <c r="C108" s="111" t="s">
        <v>44</v>
      </c>
      <c r="D108" s="112" t="s">
        <v>909</v>
      </c>
      <c r="E108" s="112" t="s">
        <v>153</v>
      </c>
      <c r="F108" s="112" t="s">
        <v>912</v>
      </c>
      <c r="G108" s="113" t="s">
        <v>86</v>
      </c>
      <c r="H108" s="1410" t="s">
        <v>188</v>
      </c>
      <c r="I108" s="575">
        <v>0</v>
      </c>
      <c r="J108" s="576"/>
      <c r="K108" s="1046"/>
      <c r="L108" s="1047"/>
      <c r="M108" s="1046"/>
      <c r="N108" s="188"/>
      <c r="O108" s="1474"/>
      <c r="P108" s="1048"/>
      <c r="Q108" s="1049"/>
      <c r="R108" s="1049"/>
      <c r="S108" s="1049"/>
      <c r="T108" s="1049"/>
      <c r="U108" s="1049"/>
      <c r="V108" s="1049"/>
      <c r="W108" s="1049"/>
      <c r="X108" s="1049"/>
      <c r="Y108" s="1049"/>
      <c r="Z108" s="1049"/>
      <c r="AA108" s="1099"/>
      <c r="AB108" s="794">
        <f t="shared" si="35"/>
        <v>0</v>
      </c>
      <c r="AC108" s="792">
        <f t="shared" si="36"/>
        <v>0</v>
      </c>
      <c r="AE108" s="1175"/>
      <c r="AF108" s="1176"/>
      <c r="AG108" s="1505"/>
      <c r="AH108" s="1498">
        <f t="shared" si="37"/>
        <v>0</v>
      </c>
      <c r="AI108" s="1177"/>
      <c r="AJ108" s="1179">
        <f t="shared" si="38"/>
        <v>0</v>
      </c>
      <c r="AK108" s="1137"/>
    </row>
    <row r="109" spans="1:37" s="9" customFormat="1" ht="12.75">
      <c r="A109" s="228" t="s">
        <v>87</v>
      </c>
      <c r="B109" s="310">
        <f>B81-SUM(B82:B108)</f>
        <v>259340000</v>
      </c>
      <c r="C109" s="92"/>
      <c r="D109" s="1051"/>
      <c r="E109" s="1051"/>
      <c r="F109" s="1051"/>
      <c r="G109" s="1052"/>
      <c r="H109" s="1414"/>
      <c r="I109" s="236"/>
      <c r="J109" s="325"/>
      <c r="K109" s="119"/>
      <c r="L109" s="140">
        <f>SUM(L82:L108)</f>
        <v>1185850000</v>
      </c>
      <c r="M109" s="119"/>
      <c r="N109" s="140">
        <f>SUM(N82:N108)</f>
        <v>1178400000</v>
      </c>
      <c r="O109" s="1475"/>
      <c r="P109" s="140">
        <f>SUM(P82:P108)</f>
        <v>0</v>
      </c>
      <c r="Q109" s="140">
        <f>SUM(Q82:Q108)</f>
        <v>22977334</v>
      </c>
      <c r="R109" s="140">
        <f t="shared" ref="R109:AC109" si="40">SUM(R82:R108)</f>
        <v>85961000</v>
      </c>
      <c r="S109" s="140">
        <f t="shared" si="40"/>
        <v>0</v>
      </c>
      <c r="T109" s="140">
        <f t="shared" si="40"/>
        <v>0</v>
      </c>
      <c r="U109" s="140">
        <f t="shared" si="40"/>
        <v>0</v>
      </c>
      <c r="V109" s="140">
        <f t="shared" si="40"/>
        <v>0</v>
      </c>
      <c r="W109" s="140">
        <f t="shared" si="40"/>
        <v>0</v>
      </c>
      <c r="X109" s="140">
        <f t="shared" si="40"/>
        <v>0</v>
      </c>
      <c r="Y109" s="140">
        <f t="shared" si="40"/>
        <v>0</v>
      </c>
      <c r="Z109" s="140">
        <f t="shared" si="40"/>
        <v>0</v>
      </c>
      <c r="AA109" s="140">
        <f t="shared" si="40"/>
        <v>0</v>
      </c>
      <c r="AB109" s="140">
        <f t="shared" si="40"/>
        <v>108938334</v>
      </c>
      <c r="AC109" s="140">
        <f t="shared" si="40"/>
        <v>1069461666</v>
      </c>
      <c r="AE109" s="1181"/>
      <c r="AF109" s="140"/>
      <c r="AG109" s="140"/>
      <c r="AH109" s="154"/>
      <c r="AI109" s="140">
        <f>SUM(AI82:AI108)</f>
        <v>1445190000</v>
      </c>
      <c r="AJ109" s="1053">
        <f>SUM(AJ82:AJ108)</f>
        <v>266790000</v>
      </c>
      <c r="AK109" s="1137">
        <f>B81-AI109</f>
        <v>0</v>
      </c>
    </row>
    <row r="110" spans="1:37" s="786" customFormat="1" ht="12">
      <c r="A110" s="1038" t="s">
        <v>91</v>
      </c>
      <c r="B110" s="774">
        <f>B111+B136</f>
        <v>1672000000</v>
      </c>
      <c r="C110" s="1039"/>
      <c r="D110" s="1040"/>
      <c r="E110" s="1040"/>
      <c r="F110" s="1040"/>
      <c r="G110" s="1041"/>
      <c r="H110" s="1415"/>
      <c r="I110" s="817">
        <v>0</v>
      </c>
      <c r="J110" s="818"/>
      <c r="K110" s="510"/>
      <c r="L110" s="511"/>
      <c r="M110" s="510"/>
      <c r="N110" s="819"/>
      <c r="O110" s="1476"/>
      <c r="P110" s="820"/>
      <c r="Q110" s="821"/>
      <c r="R110" s="821"/>
      <c r="S110" s="821"/>
      <c r="T110" s="821"/>
      <c r="U110" s="821"/>
      <c r="V110" s="821"/>
      <c r="W110" s="821"/>
      <c r="X110" s="821"/>
      <c r="Y110" s="821"/>
      <c r="Z110" s="821"/>
      <c r="AA110" s="822"/>
      <c r="AB110" s="820"/>
      <c r="AC110" s="822"/>
      <c r="AE110" s="1642"/>
      <c r="AF110" s="821"/>
      <c r="AG110" s="821"/>
      <c r="AH110" s="821"/>
      <c r="AI110" s="821"/>
      <c r="AJ110" s="822"/>
      <c r="AK110" s="1168"/>
    </row>
    <row r="111" spans="1:37" s="786" customFormat="1" ht="57.75" customHeight="1">
      <c r="A111" s="1038" t="s">
        <v>183</v>
      </c>
      <c r="B111" s="1069">
        <v>912000000</v>
      </c>
      <c r="C111" s="1039" t="s">
        <v>44</v>
      </c>
      <c r="D111" s="1040" t="s">
        <v>909</v>
      </c>
      <c r="E111" s="1040" t="s">
        <v>153</v>
      </c>
      <c r="F111" s="1040" t="s">
        <v>912</v>
      </c>
      <c r="G111" s="1041" t="s">
        <v>86</v>
      </c>
      <c r="H111" s="1415"/>
      <c r="I111" s="817"/>
      <c r="J111" s="818"/>
      <c r="K111" s="510"/>
      <c r="L111" s="511"/>
      <c r="M111" s="510"/>
      <c r="N111" s="819"/>
      <c r="O111" s="1476"/>
      <c r="P111" s="820"/>
      <c r="Q111" s="821"/>
      <c r="R111" s="821"/>
      <c r="S111" s="821"/>
      <c r="T111" s="821"/>
      <c r="U111" s="821"/>
      <c r="V111" s="821"/>
      <c r="W111" s="821"/>
      <c r="X111" s="821"/>
      <c r="Y111" s="821"/>
      <c r="Z111" s="821"/>
      <c r="AA111" s="822"/>
      <c r="AB111" s="820"/>
      <c r="AC111" s="822"/>
      <c r="AE111" s="1642"/>
      <c r="AF111" s="821"/>
      <c r="AG111" s="821"/>
      <c r="AH111" s="821"/>
      <c r="AI111" s="821"/>
      <c r="AJ111" s="822"/>
      <c r="AK111" s="1168"/>
    </row>
    <row r="112" spans="1:37" s="786" customFormat="1" ht="15">
      <c r="A112" s="823" t="s">
        <v>183</v>
      </c>
      <c r="B112" s="570">
        <f>L112</f>
        <v>0</v>
      </c>
      <c r="C112" s="301" t="s">
        <v>44</v>
      </c>
      <c r="D112" s="302" t="s">
        <v>909</v>
      </c>
      <c r="E112" s="302" t="s">
        <v>153</v>
      </c>
      <c r="F112" s="302" t="s">
        <v>912</v>
      </c>
      <c r="G112" s="303" t="s">
        <v>86</v>
      </c>
      <c r="H112" s="1409">
        <v>328</v>
      </c>
      <c r="I112" s="575">
        <v>0</v>
      </c>
      <c r="J112" s="1101"/>
      <c r="K112" s="801"/>
      <c r="L112" s="75"/>
      <c r="M112" s="317"/>
      <c r="N112" s="1096"/>
      <c r="O112" s="1471"/>
      <c r="P112" s="791"/>
      <c r="Q112" s="563"/>
      <c r="R112" s="563"/>
      <c r="S112" s="563"/>
      <c r="T112" s="563"/>
      <c r="U112" s="563"/>
      <c r="V112" s="563"/>
      <c r="W112" s="563"/>
      <c r="X112" s="563"/>
      <c r="Y112" s="563"/>
      <c r="Z112" s="563"/>
      <c r="AA112" s="816"/>
      <c r="AB112" s="794">
        <f t="shared" ref="AB112:AB134" si="41">SUM(P112:AA112)</f>
        <v>0</v>
      </c>
      <c r="AC112" s="792">
        <f t="shared" ref="AC112:AC134" si="42">N112-AB112</f>
        <v>0</v>
      </c>
      <c r="AE112" s="1175">
        <v>328</v>
      </c>
      <c r="AF112" s="1176" t="s">
        <v>254</v>
      </c>
      <c r="AG112" s="1505" t="s">
        <v>188</v>
      </c>
      <c r="AH112" s="1498">
        <f t="shared" ref="AH112:AH134" si="43">O112</f>
        <v>0</v>
      </c>
      <c r="AI112" s="1177">
        <v>30000000</v>
      </c>
      <c r="AJ112" s="1179">
        <f t="shared" ref="AJ112:AJ134" si="44">AI112-N112</f>
        <v>30000000</v>
      </c>
      <c r="AK112" s="1168"/>
    </row>
    <row r="113" spans="1:37" s="786" customFormat="1" ht="15">
      <c r="A113" s="823" t="s">
        <v>183</v>
      </c>
      <c r="B113" s="570">
        <f t="shared" ref="B113:B134" si="45">L113</f>
        <v>0</v>
      </c>
      <c r="C113" s="301" t="s">
        <v>44</v>
      </c>
      <c r="D113" s="302" t="s">
        <v>909</v>
      </c>
      <c r="E113" s="302" t="s">
        <v>193</v>
      </c>
      <c r="F113" s="302" t="s">
        <v>912</v>
      </c>
      <c r="G113" s="303" t="s">
        <v>86</v>
      </c>
      <c r="H113" s="1409">
        <v>329</v>
      </c>
      <c r="I113" s="575">
        <v>1</v>
      </c>
      <c r="J113" s="1101"/>
      <c r="K113" s="801"/>
      <c r="L113" s="75"/>
      <c r="M113" s="317"/>
      <c r="N113" s="1096"/>
      <c r="O113" s="1471"/>
      <c r="P113" s="791"/>
      <c r="Q113" s="563"/>
      <c r="R113" s="563"/>
      <c r="S113" s="563"/>
      <c r="T113" s="563"/>
      <c r="U113" s="563"/>
      <c r="V113" s="563"/>
      <c r="W113" s="563"/>
      <c r="X113" s="563"/>
      <c r="Y113" s="563"/>
      <c r="Z113" s="563"/>
      <c r="AA113" s="816"/>
      <c r="AB113" s="794">
        <f t="shared" si="41"/>
        <v>0</v>
      </c>
      <c r="AC113" s="792">
        <f t="shared" si="42"/>
        <v>0</v>
      </c>
      <c r="AE113" s="1175">
        <v>329</v>
      </c>
      <c r="AF113" s="1176" t="s">
        <v>255</v>
      </c>
      <c r="AG113" s="1505" t="s">
        <v>188</v>
      </c>
      <c r="AH113" s="1498">
        <f t="shared" si="43"/>
        <v>0</v>
      </c>
      <c r="AI113" s="1177">
        <v>170048947</v>
      </c>
      <c r="AJ113" s="1179">
        <f t="shared" si="44"/>
        <v>170048947</v>
      </c>
      <c r="AK113" s="1168"/>
    </row>
    <row r="114" spans="1:37" s="786" customFormat="1">
      <c r="A114" s="823" t="s">
        <v>183</v>
      </c>
      <c r="B114" s="570">
        <f t="shared" si="45"/>
        <v>35640000</v>
      </c>
      <c r="C114" s="301" t="s">
        <v>44</v>
      </c>
      <c r="D114" s="302" t="s">
        <v>909</v>
      </c>
      <c r="E114" s="302" t="s">
        <v>194</v>
      </c>
      <c r="F114" s="302" t="s">
        <v>912</v>
      </c>
      <c r="G114" s="303" t="s">
        <v>86</v>
      </c>
      <c r="H114" s="1409">
        <v>330</v>
      </c>
      <c r="I114" s="575">
        <v>2</v>
      </c>
      <c r="J114" s="1101"/>
      <c r="K114" s="801">
        <v>197</v>
      </c>
      <c r="L114" s="222">
        <v>35640000</v>
      </c>
      <c r="M114" s="318">
        <v>199</v>
      </c>
      <c r="N114" s="793">
        <v>35640000</v>
      </c>
      <c r="O114" s="1471">
        <v>199</v>
      </c>
      <c r="P114" s="791"/>
      <c r="Q114" s="563"/>
      <c r="R114" s="563">
        <f>VLOOKUP(M114,[5]Hoja2!N$2:T$77,7,0)</f>
        <v>3240000</v>
      </c>
      <c r="S114" s="563"/>
      <c r="T114" s="563"/>
      <c r="U114" s="563"/>
      <c r="V114" s="563"/>
      <c r="W114" s="563"/>
      <c r="X114" s="563"/>
      <c r="Y114" s="563"/>
      <c r="Z114" s="563"/>
      <c r="AA114" s="816"/>
      <c r="AB114" s="794">
        <f t="shared" si="41"/>
        <v>3240000</v>
      </c>
      <c r="AC114" s="792">
        <f t="shared" si="42"/>
        <v>32400000</v>
      </c>
      <c r="AE114" s="1175">
        <v>330</v>
      </c>
      <c r="AF114" s="1176" t="s">
        <v>256</v>
      </c>
      <c r="AG114" s="1504" t="s">
        <v>557</v>
      </c>
      <c r="AH114" s="1498">
        <f t="shared" si="43"/>
        <v>199</v>
      </c>
      <c r="AI114" s="1177">
        <v>35640000</v>
      </c>
      <c r="AJ114" s="1179">
        <f t="shared" si="44"/>
        <v>0</v>
      </c>
      <c r="AK114" s="1168"/>
    </row>
    <row r="115" spans="1:37" s="786" customFormat="1">
      <c r="A115" s="823" t="s">
        <v>183</v>
      </c>
      <c r="B115" s="570">
        <f t="shared" si="45"/>
        <v>32120000</v>
      </c>
      <c r="C115" s="301" t="s">
        <v>44</v>
      </c>
      <c r="D115" s="302" t="s">
        <v>909</v>
      </c>
      <c r="E115" s="302" t="s">
        <v>198</v>
      </c>
      <c r="F115" s="302" t="s">
        <v>912</v>
      </c>
      <c r="G115" s="303" t="s">
        <v>86</v>
      </c>
      <c r="H115" s="1409">
        <v>331</v>
      </c>
      <c r="I115" s="575">
        <v>3</v>
      </c>
      <c r="J115" s="1101"/>
      <c r="K115" s="801">
        <v>134</v>
      </c>
      <c r="L115" s="222">
        <v>32120000</v>
      </c>
      <c r="M115" s="318">
        <v>143</v>
      </c>
      <c r="N115" s="793">
        <v>32120000</v>
      </c>
      <c r="O115" s="1471">
        <v>118</v>
      </c>
      <c r="P115" s="791"/>
      <c r="Q115" s="563">
        <v>778667</v>
      </c>
      <c r="R115" s="563">
        <f>VLOOKUP(M115,[5]Hoja2!N$2:T$77,7,0)</f>
        <v>2920000</v>
      </c>
      <c r="S115" s="563"/>
      <c r="T115" s="563"/>
      <c r="U115" s="563"/>
      <c r="V115" s="563"/>
      <c r="W115" s="563"/>
      <c r="X115" s="563"/>
      <c r="Y115" s="563"/>
      <c r="Z115" s="563"/>
      <c r="AA115" s="816"/>
      <c r="AB115" s="794">
        <f t="shared" si="41"/>
        <v>3698667</v>
      </c>
      <c r="AC115" s="792">
        <f t="shared" si="42"/>
        <v>28421333</v>
      </c>
      <c r="AE115" s="1175">
        <v>331</v>
      </c>
      <c r="AF115" s="1176" t="s">
        <v>257</v>
      </c>
      <c r="AG115" s="1504" t="s">
        <v>558</v>
      </c>
      <c r="AH115" s="1498">
        <f t="shared" si="43"/>
        <v>118</v>
      </c>
      <c r="AI115" s="1177">
        <v>32120000</v>
      </c>
      <c r="AJ115" s="1179">
        <f t="shared" si="44"/>
        <v>0</v>
      </c>
      <c r="AK115" s="1168"/>
    </row>
    <row r="116" spans="1:37" s="786" customFormat="1">
      <c r="A116" s="823" t="s">
        <v>183</v>
      </c>
      <c r="B116" s="570">
        <f t="shared" si="45"/>
        <v>28930000</v>
      </c>
      <c r="C116" s="301" t="s">
        <v>44</v>
      </c>
      <c r="D116" s="302" t="s">
        <v>909</v>
      </c>
      <c r="E116" s="302" t="s">
        <v>199</v>
      </c>
      <c r="F116" s="302" t="s">
        <v>912</v>
      </c>
      <c r="G116" s="303" t="s">
        <v>86</v>
      </c>
      <c r="H116" s="1409">
        <v>332</v>
      </c>
      <c r="I116" s="575">
        <v>4</v>
      </c>
      <c r="J116" s="1101"/>
      <c r="K116" s="801">
        <v>198</v>
      </c>
      <c r="L116" s="222">
        <v>28930000</v>
      </c>
      <c r="M116" s="318">
        <v>197</v>
      </c>
      <c r="N116" s="793">
        <v>28930000</v>
      </c>
      <c r="O116" s="1471">
        <v>191</v>
      </c>
      <c r="P116" s="791"/>
      <c r="Q116" s="563"/>
      <c r="R116" s="563">
        <f>VLOOKUP(M116,[5]Hoja2!N$2:T$77,7,0)</f>
        <v>2630000</v>
      </c>
      <c r="S116" s="563"/>
      <c r="T116" s="563"/>
      <c r="U116" s="563"/>
      <c r="V116" s="563"/>
      <c r="W116" s="563"/>
      <c r="X116" s="563"/>
      <c r="Y116" s="563"/>
      <c r="Z116" s="563"/>
      <c r="AA116" s="816"/>
      <c r="AB116" s="794">
        <f t="shared" si="41"/>
        <v>2630000</v>
      </c>
      <c r="AC116" s="792">
        <f t="shared" si="42"/>
        <v>26300000</v>
      </c>
      <c r="AE116" s="1175">
        <v>332</v>
      </c>
      <c r="AF116" s="1176" t="s">
        <v>258</v>
      </c>
      <c r="AG116" s="1504" t="s">
        <v>559</v>
      </c>
      <c r="AH116" s="1498">
        <f t="shared" si="43"/>
        <v>191</v>
      </c>
      <c r="AI116" s="1177">
        <v>28930000</v>
      </c>
      <c r="AJ116" s="1179">
        <f t="shared" si="44"/>
        <v>0</v>
      </c>
      <c r="AK116" s="1168"/>
    </row>
    <row r="117" spans="1:37" s="786" customFormat="1">
      <c r="A117" s="823" t="s">
        <v>183</v>
      </c>
      <c r="B117" s="570">
        <f t="shared" si="45"/>
        <v>28930000</v>
      </c>
      <c r="C117" s="301" t="s">
        <v>44</v>
      </c>
      <c r="D117" s="302" t="s">
        <v>909</v>
      </c>
      <c r="E117" s="302" t="s">
        <v>200</v>
      </c>
      <c r="F117" s="302" t="s">
        <v>912</v>
      </c>
      <c r="G117" s="303" t="s">
        <v>86</v>
      </c>
      <c r="H117" s="1409">
        <v>333</v>
      </c>
      <c r="I117" s="575">
        <v>5</v>
      </c>
      <c r="J117" s="1101"/>
      <c r="K117" s="801">
        <v>199</v>
      </c>
      <c r="L117" s="222">
        <v>28930000</v>
      </c>
      <c r="M117" s="318">
        <v>214</v>
      </c>
      <c r="N117" s="793">
        <v>28930000</v>
      </c>
      <c r="O117" s="1471">
        <v>197</v>
      </c>
      <c r="P117" s="791"/>
      <c r="Q117" s="563"/>
      <c r="R117" s="563">
        <f>VLOOKUP(M117,[5]Hoja2!N$2:T$77,7,0)</f>
        <v>2630000</v>
      </c>
      <c r="S117" s="563"/>
      <c r="T117" s="563"/>
      <c r="U117" s="563"/>
      <c r="V117" s="563"/>
      <c r="W117" s="563"/>
      <c r="X117" s="563"/>
      <c r="Y117" s="563"/>
      <c r="Z117" s="563"/>
      <c r="AA117" s="816"/>
      <c r="AB117" s="794">
        <f t="shared" si="41"/>
        <v>2630000</v>
      </c>
      <c r="AC117" s="792">
        <f t="shared" si="42"/>
        <v>26300000</v>
      </c>
      <c r="AE117" s="1175">
        <v>333</v>
      </c>
      <c r="AF117" s="1176" t="s">
        <v>258</v>
      </c>
      <c r="AG117" s="1504" t="s">
        <v>797</v>
      </c>
      <c r="AH117" s="1498">
        <f t="shared" si="43"/>
        <v>197</v>
      </c>
      <c r="AI117" s="1177">
        <v>28930000</v>
      </c>
      <c r="AJ117" s="1179">
        <f t="shared" si="44"/>
        <v>0</v>
      </c>
      <c r="AK117" s="1168"/>
    </row>
    <row r="118" spans="1:37" s="786" customFormat="1">
      <c r="A118" s="823" t="s">
        <v>183</v>
      </c>
      <c r="B118" s="570">
        <f t="shared" si="45"/>
        <v>21670000</v>
      </c>
      <c r="C118" s="301" t="s">
        <v>44</v>
      </c>
      <c r="D118" s="302" t="s">
        <v>909</v>
      </c>
      <c r="E118" s="302" t="s">
        <v>201</v>
      </c>
      <c r="F118" s="302" t="s">
        <v>912</v>
      </c>
      <c r="G118" s="303" t="s">
        <v>86</v>
      </c>
      <c r="H118" s="1409">
        <v>334</v>
      </c>
      <c r="I118" s="575">
        <v>6</v>
      </c>
      <c r="J118" s="1101"/>
      <c r="K118" s="801">
        <v>200</v>
      </c>
      <c r="L118" s="222">
        <v>21670000</v>
      </c>
      <c r="M118" s="318">
        <v>209</v>
      </c>
      <c r="N118" s="793">
        <v>21670000</v>
      </c>
      <c r="O118" s="1471">
        <v>202</v>
      </c>
      <c r="P118" s="791"/>
      <c r="Q118" s="563"/>
      <c r="R118" s="563">
        <f>VLOOKUP(M118,[5]Hoja2!N$2:T$77,7,0)</f>
        <v>1773000</v>
      </c>
      <c r="S118" s="563"/>
      <c r="T118" s="563"/>
      <c r="U118" s="563"/>
      <c r="V118" s="563"/>
      <c r="W118" s="563"/>
      <c r="X118" s="563"/>
      <c r="Y118" s="563"/>
      <c r="Z118" s="563"/>
      <c r="AA118" s="816"/>
      <c r="AB118" s="794">
        <f t="shared" si="41"/>
        <v>1773000</v>
      </c>
      <c r="AC118" s="792">
        <f t="shared" si="42"/>
        <v>19897000</v>
      </c>
      <c r="AE118" s="1175">
        <v>334</v>
      </c>
      <c r="AF118" s="1176" t="s">
        <v>259</v>
      </c>
      <c r="AG118" s="1504" t="s">
        <v>560</v>
      </c>
      <c r="AH118" s="1498">
        <f t="shared" si="43"/>
        <v>202</v>
      </c>
      <c r="AI118" s="1177">
        <v>21670000</v>
      </c>
      <c r="AJ118" s="1179">
        <f t="shared" si="44"/>
        <v>0</v>
      </c>
      <c r="AK118" s="1168"/>
    </row>
    <row r="119" spans="1:37" s="786" customFormat="1">
      <c r="A119" s="823" t="s">
        <v>183</v>
      </c>
      <c r="B119" s="570">
        <f t="shared" si="45"/>
        <v>21670000</v>
      </c>
      <c r="C119" s="301" t="s">
        <v>44</v>
      </c>
      <c r="D119" s="302" t="s">
        <v>909</v>
      </c>
      <c r="E119" s="302" t="s">
        <v>202</v>
      </c>
      <c r="F119" s="302" t="s">
        <v>912</v>
      </c>
      <c r="G119" s="303" t="s">
        <v>86</v>
      </c>
      <c r="H119" s="1409">
        <v>335</v>
      </c>
      <c r="I119" s="575">
        <v>7</v>
      </c>
      <c r="J119" s="1101"/>
      <c r="K119" s="801">
        <v>201</v>
      </c>
      <c r="L119" s="222">
        <v>21670000</v>
      </c>
      <c r="M119" s="318">
        <v>210</v>
      </c>
      <c r="N119" s="793">
        <v>21670000</v>
      </c>
      <c r="O119" s="1471">
        <v>206</v>
      </c>
      <c r="P119" s="791"/>
      <c r="Q119" s="563"/>
      <c r="R119" s="563">
        <f>VLOOKUP(M119,[5]Hoja2!N$2:T$77,7,0)</f>
        <v>1970000</v>
      </c>
      <c r="S119" s="563"/>
      <c r="T119" s="563"/>
      <c r="U119" s="563"/>
      <c r="V119" s="563"/>
      <c r="W119" s="563"/>
      <c r="X119" s="563"/>
      <c r="Y119" s="563"/>
      <c r="Z119" s="563"/>
      <c r="AA119" s="816"/>
      <c r="AB119" s="794">
        <f t="shared" si="41"/>
        <v>1970000</v>
      </c>
      <c r="AC119" s="792">
        <f t="shared" si="42"/>
        <v>19700000</v>
      </c>
      <c r="AE119" s="1175">
        <v>335</v>
      </c>
      <c r="AF119" s="1176" t="s">
        <v>259</v>
      </c>
      <c r="AG119" s="1504" t="s">
        <v>561</v>
      </c>
      <c r="AH119" s="1498">
        <f t="shared" si="43"/>
        <v>206</v>
      </c>
      <c r="AI119" s="1177">
        <v>21670000</v>
      </c>
      <c r="AJ119" s="1179">
        <f t="shared" si="44"/>
        <v>0</v>
      </c>
      <c r="AK119" s="1168"/>
    </row>
    <row r="120" spans="1:37" s="786" customFormat="1">
      <c r="A120" s="823" t="s">
        <v>183</v>
      </c>
      <c r="B120" s="570">
        <f t="shared" si="45"/>
        <v>21670000</v>
      </c>
      <c r="C120" s="301" t="s">
        <v>44</v>
      </c>
      <c r="D120" s="302" t="s">
        <v>909</v>
      </c>
      <c r="E120" s="302" t="s">
        <v>203</v>
      </c>
      <c r="F120" s="302" t="s">
        <v>912</v>
      </c>
      <c r="G120" s="303" t="s">
        <v>86</v>
      </c>
      <c r="H120" s="1409">
        <v>336</v>
      </c>
      <c r="I120" s="575">
        <v>8</v>
      </c>
      <c r="J120" s="1101"/>
      <c r="K120" s="801">
        <v>202</v>
      </c>
      <c r="L120" s="222">
        <v>21670000</v>
      </c>
      <c r="M120" s="318">
        <v>201</v>
      </c>
      <c r="N120" s="793">
        <v>21670000</v>
      </c>
      <c r="O120" s="1471">
        <v>207</v>
      </c>
      <c r="P120" s="791"/>
      <c r="Q120" s="563"/>
      <c r="R120" s="563">
        <f>VLOOKUP(M120,[5]Hoja2!N$2:T$77,7,0)</f>
        <v>1970000</v>
      </c>
      <c r="S120" s="563"/>
      <c r="T120" s="563"/>
      <c r="U120" s="563"/>
      <c r="V120" s="563"/>
      <c r="W120" s="563"/>
      <c r="X120" s="563"/>
      <c r="Y120" s="563"/>
      <c r="Z120" s="563"/>
      <c r="AA120" s="816"/>
      <c r="AB120" s="794">
        <f t="shared" si="41"/>
        <v>1970000</v>
      </c>
      <c r="AC120" s="792">
        <f t="shared" si="42"/>
        <v>19700000</v>
      </c>
      <c r="AE120" s="1175">
        <v>336</v>
      </c>
      <c r="AF120" s="1176" t="s">
        <v>259</v>
      </c>
      <c r="AG120" s="1504" t="s">
        <v>562</v>
      </c>
      <c r="AH120" s="1498">
        <f t="shared" si="43"/>
        <v>207</v>
      </c>
      <c r="AI120" s="1177">
        <v>21670000</v>
      </c>
      <c r="AJ120" s="1179">
        <f t="shared" si="44"/>
        <v>0</v>
      </c>
      <c r="AK120" s="1168"/>
    </row>
    <row r="121" spans="1:37" s="786" customFormat="1">
      <c r="A121" s="823" t="s">
        <v>183</v>
      </c>
      <c r="B121" s="570">
        <f t="shared" si="45"/>
        <v>21670000</v>
      </c>
      <c r="C121" s="301" t="s">
        <v>44</v>
      </c>
      <c r="D121" s="302" t="s">
        <v>909</v>
      </c>
      <c r="E121" s="302" t="s">
        <v>204</v>
      </c>
      <c r="F121" s="302" t="s">
        <v>912</v>
      </c>
      <c r="G121" s="303" t="s">
        <v>86</v>
      </c>
      <c r="H121" s="1409">
        <v>337</v>
      </c>
      <c r="I121" s="575">
        <v>9</v>
      </c>
      <c r="J121" s="1101"/>
      <c r="K121" s="801">
        <v>203</v>
      </c>
      <c r="L121" s="222">
        <v>21670000</v>
      </c>
      <c r="M121" s="318">
        <v>200</v>
      </c>
      <c r="N121" s="793">
        <v>21670000</v>
      </c>
      <c r="O121" s="1471">
        <v>201</v>
      </c>
      <c r="P121" s="791"/>
      <c r="Q121" s="563"/>
      <c r="R121" s="563">
        <f>VLOOKUP(M121,[5]Hoja2!N$2:T$77,7,0)</f>
        <v>1970000</v>
      </c>
      <c r="S121" s="563"/>
      <c r="T121" s="563"/>
      <c r="U121" s="563"/>
      <c r="V121" s="563"/>
      <c r="W121" s="563"/>
      <c r="X121" s="563"/>
      <c r="Y121" s="563"/>
      <c r="Z121" s="563"/>
      <c r="AA121" s="816"/>
      <c r="AB121" s="794">
        <f t="shared" si="41"/>
        <v>1970000</v>
      </c>
      <c r="AC121" s="792">
        <f t="shared" si="42"/>
        <v>19700000</v>
      </c>
      <c r="AE121" s="1175">
        <v>337</v>
      </c>
      <c r="AF121" s="1176" t="s">
        <v>259</v>
      </c>
      <c r="AG121" s="1504" t="s">
        <v>563</v>
      </c>
      <c r="AH121" s="1498">
        <f t="shared" si="43"/>
        <v>201</v>
      </c>
      <c r="AI121" s="1177">
        <v>21670000</v>
      </c>
      <c r="AJ121" s="1179">
        <f t="shared" si="44"/>
        <v>0</v>
      </c>
      <c r="AK121" s="1168"/>
    </row>
    <row r="122" spans="1:37" s="786" customFormat="1">
      <c r="A122" s="823" t="s">
        <v>183</v>
      </c>
      <c r="B122" s="570">
        <f t="shared" si="45"/>
        <v>21670000</v>
      </c>
      <c r="C122" s="301" t="s">
        <v>44</v>
      </c>
      <c r="D122" s="302" t="s">
        <v>909</v>
      </c>
      <c r="E122" s="302" t="s">
        <v>205</v>
      </c>
      <c r="F122" s="302" t="s">
        <v>912</v>
      </c>
      <c r="G122" s="303" t="s">
        <v>86</v>
      </c>
      <c r="H122" s="1409">
        <v>338</v>
      </c>
      <c r="I122" s="575">
        <v>10</v>
      </c>
      <c r="J122" s="1101"/>
      <c r="K122" s="801">
        <v>204</v>
      </c>
      <c r="L122" s="222">
        <v>21670000</v>
      </c>
      <c r="M122" s="318">
        <v>208</v>
      </c>
      <c r="N122" s="793">
        <v>21670000</v>
      </c>
      <c r="O122" s="1471">
        <v>204</v>
      </c>
      <c r="P122" s="791"/>
      <c r="Q122" s="563"/>
      <c r="R122" s="563">
        <f>VLOOKUP(M122,[5]Hoja2!N$2:T$77,7,0)</f>
        <v>1773000</v>
      </c>
      <c r="S122" s="563"/>
      <c r="T122" s="563"/>
      <c r="U122" s="563"/>
      <c r="V122" s="563"/>
      <c r="W122" s="563"/>
      <c r="X122" s="563"/>
      <c r="Y122" s="563"/>
      <c r="Z122" s="563"/>
      <c r="AA122" s="816"/>
      <c r="AB122" s="794">
        <f t="shared" si="41"/>
        <v>1773000</v>
      </c>
      <c r="AC122" s="792">
        <f t="shared" si="42"/>
        <v>19897000</v>
      </c>
      <c r="AE122" s="1175">
        <v>338</v>
      </c>
      <c r="AF122" s="1176" t="s">
        <v>259</v>
      </c>
      <c r="AG122" s="1504" t="s">
        <v>564</v>
      </c>
      <c r="AH122" s="1498">
        <f t="shared" si="43"/>
        <v>204</v>
      </c>
      <c r="AI122" s="1177">
        <v>21670000</v>
      </c>
      <c r="AJ122" s="1179">
        <f t="shared" si="44"/>
        <v>0</v>
      </c>
      <c r="AK122" s="1168"/>
    </row>
    <row r="123" spans="1:37" s="786" customFormat="1">
      <c r="A123" s="823" t="s">
        <v>183</v>
      </c>
      <c r="B123" s="570">
        <f t="shared" si="45"/>
        <v>21670000</v>
      </c>
      <c r="C123" s="301" t="s">
        <v>44</v>
      </c>
      <c r="D123" s="302" t="s">
        <v>909</v>
      </c>
      <c r="E123" s="302" t="s">
        <v>206</v>
      </c>
      <c r="F123" s="302" t="s">
        <v>912</v>
      </c>
      <c r="G123" s="303" t="s">
        <v>86</v>
      </c>
      <c r="H123" s="1409">
        <v>339</v>
      </c>
      <c r="I123" s="575">
        <v>11</v>
      </c>
      <c r="J123" s="1101"/>
      <c r="K123" s="801">
        <v>205</v>
      </c>
      <c r="L123" s="222">
        <v>21670000</v>
      </c>
      <c r="M123" s="318">
        <v>206</v>
      </c>
      <c r="N123" s="793">
        <v>21670000</v>
      </c>
      <c r="O123" s="1471">
        <v>198</v>
      </c>
      <c r="P123" s="791"/>
      <c r="Q123" s="563"/>
      <c r="R123" s="563">
        <f>VLOOKUP(M123,[5]Hoja2!N$2:T$77,7,0)</f>
        <v>1970000</v>
      </c>
      <c r="S123" s="563"/>
      <c r="T123" s="563"/>
      <c r="U123" s="563"/>
      <c r="V123" s="563"/>
      <c r="W123" s="563"/>
      <c r="X123" s="563"/>
      <c r="Y123" s="563"/>
      <c r="Z123" s="563"/>
      <c r="AA123" s="816"/>
      <c r="AB123" s="794">
        <f t="shared" si="41"/>
        <v>1970000</v>
      </c>
      <c r="AC123" s="792">
        <f t="shared" si="42"/>
        <v>19700000</v>
      </c>
      <c r="AE123" s="1175">
        <v>339</v>
      </c>
      <c r="AF123" s="1176" t="s">
        <v>259</v>
      </c>
      <c r="AG123" s="1504" t="s">
        <v>565</v>
      </c>
      <c r="AH123" s="1498">
        <f t="shared" si="43"/>
        <v>198</v>
      </c>
      <c r="AI123" s="1177">
        <v>21670000</v>
      </c>
      <c r="AJ123" s="1179">
        <f t="shared" si="44"/>
        <v>0</v>
      </c>
      <c r="AK123" s="1168"/>
    </row>
    <row r="124" spans="1:37" s="786" customFormat="1">
      <c r="A124" s="823" t="s">
        <v>183</v>
      </c>
      <c r="B124" s="570">
        <f t="shared" si="45"/>
        <v>18715000</v>
      </c>
      <c r="C124" s="301" t="s">
        <v>44</v>
      </c>
      <c r="D124" s="302" t="s">
        <v>909</v>
      </c>
      <c r="E124" s="302" t="s">
        <v>207</v>
      </c>
      <c r="F124" s="302" t="s">
        <v>912</v>
      </c>
      <c r="G124" s="303" t="s">
        <v>86</v>
      </c>
      <c r="H124" s="1409">
        <v>340</v>
      </c>
      <c r="I124" s="575">
        <v>12</v>
      </c>
      <c r="J124" s="1101"/>
      <c r="K124" s="801">
        <v>354</v>
      </c>
      <c r="L124" s="222">
        <v>18715000</v>
      </c>
      <c r="M124" s="117">
        <v>371</v>
      </c>
      <c r="N124" s="793">
        <v>18715000</v>
      </c>
      <c r="O124" s="1697">
        <v>292</v>
      </c>
      <c r="P124" s="791"/>
      <c r="Q124" s="563"/>
      <c r="R124" s="563"/>
      <c r="S124" s="563"/>
      <c r="T124" s="563"/>
      <c r="U124" s="563"/>
      <c r="V124" s="563"/>
      <c r="W124" s="563"/>
      <c r="X124" s="563"/>
      <c r="Y124" s="563"/>
      <c r="Z124" s="563"/>
      <c r="AA124" s="816"/>
      <c r="AB124" s="794">
        <f t="shared" si="41"/>
        <v>0</v>
      </c>
      <c r="AC124" s="792">
        <f t="shared" si="42"/>
        <v>18715000</v>
      </c>
      <c r="AE124" s="1175">
        <v>340</v>
      </c>
      <c r="AF124" s="1176" t="s">
        <v>259</v>
      </c>
      <c r="AG124" s="1504" t="s">
        <v>883</v>
      </c>
      <c r="AH124" s="1498">
        <f t="shared" si="43"/>
        <v>292</v>
      </c>
      <c r="AI124" s="1177">
        <v>21670000</v>
      </c>
      <c r="AJ124" s="1179">
        <f t="shared" si="44"/>
        <v>2955000</v>
      </c>
      <c r="AK124" s="1168"/>
    </row>
    <row r="125" spans="1:37" s="786" customFormat="1">
      <c r="A125" s="823" t="s">
        <v>183</v>
      </c>
      <c r="B125" s="570">
        <f t="shared" si="45"/>
        <v>48200000</v>
      </c>
      <c r="C125" s="301" t="s">
        <v>44</v>
      </c>
      <c r="D125" s="302" t="s">
        <v>909</v>
      </c>
      <c r="E125" s="302" t="s">
        <v>208</v>
      </c>
      <c r="F125" s="302" t="s">
        <v>912</v>
      </c>
      <c r="G125" s="303" t="s">
        <v>86</v>
      </c>
      <c r="H125" s="1409">
        <v>341</v>
      </c>
      <c r="I125" s="575">
        <v>13</v>
      </c>
      <c r="J125" s="1101"/>
      <c r="K125" s="801">
        <v>321</v>
      </c>
      <c r="L125" s="222">
        <v>48200000</v>
      </c>
      <c r="M125" s="318">
        <v>331</v>
      </c>
      <c r="N125" s="793">
        <v>48200000</v>
      </c>
      <c r="O125" s="1471">
        <v>280</v>
      </c>
      <c r="P125" s="791"/>
      <c r="Q125" s="563"/>
      <c r="R125" s="563"/>
      <c r="S125" s="563"/>
      <c r="T125" s="563"/>
      <c r="U125" s="563"/>
      <c r="V125" s="563"/>
      <c r="W125" s="563"/>
      <c r="X125" s="563"/>
      <c r="Y125" s="563"/>
      <c r="Z125" s="563"/>
      <c r="AA125" s="816"/>
      <c r="AB125" s="794">
        <f t="shared" si="41"/>
        <v>0</v>
      </c>
      <c r="AC125" s="792">
        <f t="shared" si="42"/>
        <v>48200000</v>
      </c>
      <c r="AE125" s="1175">
        <v>341</v>
      </c>
      <c r="AF125" s="1176" t="s">
        <v>260</v>
      </c>
      <c r="AG125" s="1504" t="s">
        <v>864</v>
      </c>
      <c r="AH125" s="1498">
        <f t="shared" si="43"/>
        <v>280</v>
      </c>
      <c r="AI125" s="1177">
        <v>53020000</v>
      </c>
      <c r="AJ125" s="1179">
        <f t="shared" si="44"/>
        <v>4820000</v>
      </c>
      <c r="AK125" s="1168"/>
    </row>
    <row r="126" spans="1:37" s="786" customFormat="1">
      <c r="A126" s="823" t="s">
        <v>183</v>
      </c>
      <c r="B126" s="570">
        <f t="shared" si="45"/>
        <v>59180000</v>
      </c>
      <c r="C126" s="301" t="s">
        <v>44</v>
      </c>
      <c r="D126" s="302" t="s">
        <v>909</v>
      </c>
      <c r="E126" s="302" t="s">
        <v>209</v>
      </c>
      <c r="F126" s="302" t="s">
        <v>912</v>
      </c>
      <c r="G126" s="303" t="s">
        <v>86</v>
      </c>
      <c r="H126" s="1409">
        <v>342</v>
      </c>
      <c r="I126" s="575">
        <v>14</v>
      </c>
      <c r="J126" s="1101"/>
      <c r="K126" s="801">
        <v>119</v>
      </c>
      <c r="L126" s="222">
        <v>59180000</v>
      </c>
      <c r="M126" s="318">
        <v>89</v>
      </c>
      <c r="N126" s="793">
        <v>59180000</v>
      </c>
      <c r="O126" s="1471">
        <v>99</v>
      </c>
      <c r="P126" s="791"/>
      <c r="Q126" s="563">
        <v>1434667</v>
      </c>
      <c r="R126" s="563">
        <f>VLOOKUP(M126,[5]Hoja2!N$2:T$77,7,0)</f>
        <v>5380000</v>
      </c>
      <c r="S126" s="563"/>
      <c r="T126" s="563"/>
      <c r="U126" s="563"/>
      <c r="V126" s="563"/>
      <c r="W126" s="563"/>
      <c r="X126" s="563"/>
      <c r="Y126" s="563"/>
      <c r="Z126" s="563"/>
      <c r="AA126" s="816"/>
      <c r="AB126" s="794">
        <f t="shared" si="41"/>
        <v>6814667</v>
      </c>
      <c r="AC126" s="792">
        <f t="shared" si="42"/>
        <v>52365333</v>
      </c>
      <c r="AE126" s="1175">
        <v>342</v>
      </c>
      <c r="AF126" s="1176" t="s">
        <v>261</v>
      </c>
      <c r="AG126" s="1504" t="s">
        <v>566</v>
      </c>
      <c r="AH126" s="1498">
        <f t="shared" si="43"/>
        <v>99</v>
      </c>
      <c r="AI126" s="1177">
        <v>59180000</v>
      </c>
      <c r="AJ126" s="1179">
        <f t="shared" si="44"/>
        <v>0</v>
      </c>
      <c r="AK126" s="1168"/>
    </row>
    <row r="127" spans="1:37" s="786" customFormat="1">
      <c r="A127" s="823" t="s">
        <v>183</v>
      </c>
      <c r="B127" s="570">
        <f t="shared" si="45"/>
        <v>52800000</v>
      </c>
      <c r="C127" s="301" t="s">
        <v>44</v>
      </c>
      <c r="D127" s="302" t="s">
        <v>909</v>
      </c>
      <c r="E127" s="302" t="s">
        <v>210</v>
      </c>
      <c r="F127" s="302" t="s">
        <v>912</v>
      </c>
      <c r="G127" s="303" t="s">
        <v>86</v>
      </c>
      <c r="H127" s="1409">
        <v>343</v>
      </c>
      <c r="I127" s="575">
        <v>15</v>
      </c>
      <c r="J127" s="1101"/>
      <c r="K127" s="801">
        <v>135</v>
      </c>
      <c r="L127" s="222">
        <v>52800000</v>
      </c>
      <c r="M127" s="318">
        <v>124</v>
      </c>
      <c r="N127" s="793">
        <v>52800000</v>
      </c>
      <c r="O127" s="1471">
        <v>110</v>
      </c>
      <c r="P127" s="791"/>
      <c r="Q127" s="563">
        <v>1280000</v>
      </c>
      <c r="R127" s="563">
        <f>VLOOKUP(M127,[5]Hoja2!N$2:T$77,7,0)</f>
        <v>4800000</v>
      </c>
      <c r="S127" s="563"/>
      <c r="T127" s="563"/>
      <c r="U127" s="563"/>
      <c r="V127" s="563"/>
      <c r="W127" s="563"/>
      <c r="X127" s="563"/>
      <c r="Y127" s="563"/>
      <c r="Z127" s="563"/>
      <c r="AA127" s="816"/>
      <c r="AB127" s="794">
        <f t="shared" si="41"/>
        <v>6080000</v>
      </c>
      <c r="AC127" s="792">
        <f t="shared" si="42"/>
        <v>46720000</v>
      </c>
      <c r="AE127" s="1175">
        <v>343</v>
      </c>
      <c r="AF127" s="1176" t="s">
        <v>262</v>
      </c>
      <c r="AG127" s="1504" t="s">
        <v>567</v>
      </c>
      <c r="AH127" s="1498">
        <f t="shared" si="43"/>
        <v>110</v>
      </c>
      <c r="AI127" s="1177">
        <v>52800000</v>
      </c>
      <c r="AJ127" s="1179">
        <f t="shared" si="44"/>
        <v>0</v>
      </c>
      <c r="AK127" s="1168"/>
    </row>
    <row r="128" spans="1:37" s="786" customFormat="1">
      <c r="A128" s="823" t="s">
        <v>183</v>
      </c>
      <c r="B128" s="570">
        <f t="shared" si="45"/>
        <v>49830000</v>
      </c>
      <c r="C128" s="301" t="s">
        <v>44</v>
      </c>
      <c r="D128" s="302" t="s">
        <v>909</v>
      </c>
      <c r="E128" s="302" t="s">
        <v>211</v>
      </c>
      <c r="F128" s="302" t="s">
        <v>912</v>
      </c>
      <c r="G128" s="303" t="s">
        <v>86</v>
      </c>
      <c r="H128" s="1409">
        <v>344</v>
      </c>
      <c r="I128" s="575">
        <v>16</v>
      </c>
      <c r="J128" s="1101"/>
      <c r="K128" s="801">
        <v>206</v>
      </c>
      <c r="L128" s="222">
        <v>49830000</v>
      </c>
      <c r="M128" s="318">
        <v>196</v>
      </c>
      <c r="N128" s="793">
        <v>49500000</v>
      </c>
      <c r="O128" s="1471">
        <v>208</v>
      </c>
      <c r="P128" s="791"/>
      <c r="Q128" s="563"/>
      <c r="R128" s="563">
        <f>VLOOKUP(M128,[5]Hoja2!N$2:T$77,7,0)</f>
        <v>4500000</v>
      </c>
      <c r="S128" s="563"/>
      <c r="T128" s="563"/>
      <c r="U128" s="563"/>
      <c r="V128" s="563"/>
      <c r="W128" s="563"/>
      <c r="X128" s="563"/>
      <c r="Y128" s="563"/>
      <c r="Z128" s="563"/>
      <c r="AA128" s="816"/>
      <c r="AB128" s="794">
        <f t="shared" si="41"/>
        <v>4500000</v>
      </c>
      <c r="AC128" s="792">
        <f t="shared" si="42"/>
        <v>45000000</v>
      </c>
      <c r="AE128" s="1175">
        <v>344</v>
      </c>
      <c r="AF128" s="1176" t="s">
        <v>263</v>
      </c>
      <c r="AG128" s="1504" t="s">
        <v>568</v>
      </c>
      <c r="AH128" s="1498">
        <f t="shared" si="43"/>
        <v>208</v>
      </c>
      <c r="AI128" s="1177">
        <v>49830000</v>
      </c>
      <c r="AJ128" s="1179">
        <f t="shared" si="44"/>
        <v>330000</v>
      </c>
      <c r="AK128" s="1168"/>
    </row>
    <row r="129" spans="1:37" s="786" customFormat="1">
      <c r="A129" s="823" t="s">
        <v>183</v>
      </c>
      <c r="B129" s="570">
        <f t="shared" si="45"/>
        <v>49830000</v>
      </c>
      <c r="C129" s="301" t="s">
        <v>44</v>
      </c>
      <c r="D129" s="302" t="s">
        <v>909</v>
      </c>
      <c r="E129" s="302" t="s">
        <v>212</v>
      </c>
      <c r="F129" s="302" t="s">
        <v>912</v>
      </c>
      <c r="G129" s="303" t="s">
        <v>86</v>
      </c>
      <c r="H129" s="1409">
        <v>345</v>
      </c>
      <c r="I129" s="575">
        <v>17</v>
      </c>
      <c r="J129" s="1101"/>
      <c r="K129" s="801">
        <v>215</v>
      </c>
      <c r="L129" s="222">
        <v>49830000</v>
      </c>
      <c r="M129" s="318">
        <v>198</v>
      </c>
      <c r="N129" s="793">
        <v>49500000</v>
      </c>
      <c r="O129" s="1471">
        <v>200</v>
      </c>
      <c r="P129" s="791"/>
      <c r="Q129" s="563"/>
      <c r="R129" s="563">
        <f>VLOOKUP(M129,[5]Hoja2!N$2:T$77,7,0)</f>
        <v>4500000</v>
      </c>
      <c r="S129" s="563"/>
      <c r="T129" s="563"/>
      <c r="U129" s="563"/>
      <c r="V129" s="563"/>
      <c r="W129" s="563"/>
      <c r="X129" s="563"/>
      <c r="Y129" s="563"/>
      <c r="Z129" s="563"/>
      <c r="AA129" s="816"/>
      <c r="AB129" s="794">
        <f t="shared" si="41"/>
        <v>4500000</v>
      </c>
      <c r="AC129" s="792">
        <f t="shared" si="42"/>
        <v>45000000</v>
      </c>
      <c r="AE129" s="1175">
        <v>345</v>
      </c>
      <c r="AF129" s="1176" t="s">
        <v>264</v>
      </c>
      <c r="AG129" s="1504" t="s">
        <v>569</v>
      </c>
      <c r="AH129" s="1498">
        <f t="shared" si="43"/>
        <v>200</v>
      </c>
      <c r="AI129" s="1177">
        <v>49830000</v>
      </c>
      <c r="AJ129" s="1179">
        <f t="shared" si="44"/>
        <v>330000</v>
      </c>
      <c r="AK129" s="1168"/>
    </row>
    <row r="130" spans="1:37" s="786" customFormat="1">
      <c r="A130" s="823" t="s">
        <v>183</v>
      </c>
      <c r="B130" s="570">
        <f t="shared" si="45"/>
        <v>72600000</v>
      </c>
      <c r="C130" s="301" t="s">
        <v>44</v>
      </c>
      <c r="D130" s="302" t="s">
        <v>909</v>
      </c>
      <c r="E130" s="302" t="s">
        <v>213</v>
      </c>
      <c r="F130" s="302" t="s">
        <v>912</v>
      </c>
      <c r="G130" s="303" t="s">
        <v>86</v>
      </c>
      <c r="H130" s="1409">
        <v>346</v>
      </c>
      <c r="I130" s="575">
        <v>18</v>
      </c>
      <c r="J130" s="1101"/>
      <c r="K130" s="801">
        <v>120</v>
      </c>
      <c r="L130" s="222">
        <v>72600000</v>
      </c>
      <c r="M130" s="318">
        <v>88</v>
      </c>
      <c r="N130" s="793">
        <v>72600000</v>
      </c>
      <c r="O130" s="1471">
        <v>98</v>
      </c>
      <c r="P130" s="791"/>
      <c r="Q130" s="563">
        <v>1100000</v>
      </c>
      <c r="R130" s="563">
        <f>VLOOKUP(M130,[5]Hoja2!N$2:T$77,7,0)</f>
        <v>6600000</v>
      </c>
      <c r="S130" s="563"/>
      <c r="T130" s="563"/>
      <c r="U130" s="563"/>
      <c r="V130" s="563"/>
      <c r="W130" s="563"/>
      <c r="X130" s="563"/>
      <c r="Y130" s="563"/>
      <c r="Z130" s="563"/>
      <c r="AA130" s="816"/>
      <c r="AB130" s="794">
        <f t="shared" si="41"/>
        <v>7700000</v>
      </c>
      <c r="AC130" s="792">
        <f t="shared" si="42"/>
        <v>64900000</v>
      </c>
      <c r="AE130" s="1175">
        <v>346</v>
      </c>
      <c r="AF130" s="1176" t="s">
        <v>265</v>
      </c>
      <c r="AG130" s="1504" t="s">
        <v>570</v>
      </c>
      <c r="AH130" s="1498">
        <f t="shared" si="43"/>
        <v>98</v>
      </c>
      <c r="AI130" s="1177">
        <v>72600000</v>
      </c>
      <c r="AJ130" s="1179">
        <f t="shared" si="44"/>
        <v>0</v>
      </c>
      <c r="AK130" s="1168"/>
    </row>
    <row r="131" spans="1:37" s="786" customFormat="1">
      <c r="A131" s="823" t="s">
        <v>183</v>
      </c>
      <c r="B131" s="570">
        <f t="shared" si="45"/>
        <v>44550000</v>
      </c>
      <c r="C131" s="301" t="s">
        <v>44</v>
      </c>
      <c r="D131" s="302" t="s">
        <v>909</v>
      </c>
      <c r="E131" s="302" t="s">
        <v>214</v>
      </c>
      <c r="F131" s="302" t="s">
        <v>912</v>
      </c>
      <c r="G131" s="303" t="s">
        <v>86</v>
      </c>
      <c r="H131" s="1409">
        <v>347</v>
      </c>
      <c r="I131" s="575">
        <v>19</v>
      </c>
      <c r="J131" s="1101"/>
      <c r="K131" s="801">
        <v>98</v>
      </c>
      <c r="L131" s="222">
        <v>44550000</v>
      </c>
      <c r="M131" s="318">
        <v>108</v>
      </c>
      <c r="N131" s="793">
        <v>44550000</v>
      </c>
      <c r="O131" s="1471">
        <v>77</v>
      </c>
      <c r="P131" s="791"/>
      <c r="Q131" s="563">
        <v>945000</v>
      </c>
      <c r="R131" s="563">
        <f>VLOOKUP(M131,[5]Hoja2!N$2:T$77,7,0)</f>
        <v>4050000</v>
      </c>
      <c r="S131" s="563"/>
      <c r="T131" s="563"/>
      <c r="U131" s="563"/>
      <c r="V131" s="563"/>
      <c r="W131" s="563"/>
      <c r="X131" s="563"/>
      <c r="Y131" s="563"/>
      <c r="Z131" s="563"/>
      <c r="AA131" s="816"/>
      <c r="AB131" s="794">
        <f t="shared" si="41"/>
        <v>4995000</v>
      </c>
      <c r="AC131" s="792">
        <f t="shared" si="42"/>
        <v>39555000</v>
      </c>
      <c r="AE131" s="1175">
        <v>347</v>
      </c>
      <c r="AF131" s="1176" t="s">
        <v>266</v>
      </c>
      <c r="AG131" s="1504" t="s">
        <v>571</v>
      </c>
      <c r="AH131" s="1498">
        <f t="shared" si="43"/>
        <v>77</v>
      </c>
      <c r="AI131" s="1177">
        <v>44550000</v>
      </c>
      <c r="AJ131" s="1179">
        <f t="shared" si="44"/>
        <v>0</v>
      </c>
      <c r="AK131" s="1168"/>
    </row>
    <row r="132" spans="1:37" s="786" customFormat="1">
      <c r="A132" s="823" t="s">
        <v>183</v>
      </c>
      <c r="B132" s="570">
        <f t="shared" si="45"/>
        <v>44550000</v>
      </c>
      <c r="C132" s="301" t="s">
        <v>44</v>
      </c>
      <c r="D132" s="302" t="s">
        <v>909</v>
      </c>
      <c r="E132" s="302" t="s">
        <v>215</v>
      </c>
      <c r="F132" s="302" t="s">
        <v>912</v>
      </c>
      <c r="G132" s="303" t="s">
        <v>86</v>
      </c>
      <c r="H132" s="1409">
        <v>348</v>
      </c>
      <c r="I132" s="575">
        <v>20</v>
      </c>
      <c r="J132" s="1101"/>
      <c r="K132" s="801">
        <v>233</v>
      </c>
      <c r="L132" s="222">
        <v>44550000</v>
      </c>
      <c r="M132" s="318">
        <v>221</v>
      </c>
      <c r="N132" s="793">
        <v>44550000</v>
      </c>
      <c r="O132" s="1471">
        <v>203</v>
      </c>
      <c r="P132" s="791"/>
      <c r="Q132" s="563"/>
      <c r="R132" s="563">
        <f>VLOOKUP(M132,[5]Hoja2!N$2:T$77,7,0)</f>
        <v>3645000</v>
      </c>
      <c r="S132" s="563"/>
      <c r="T132" s="563"/>
      <c r="U132" s="563"/>
      <c r="V132" s="563"/>
      <c r="W132" s="563"/>
      <c r="X132" s="563"/>
      <c r="Y132" s="563"/>
      <c r="Z132" s="563"/>
      <c r="AA132" s="816"/>
      <c r="AB132" s="794">
        <f t="shared" si="41"/>
        <v>3645000</v>
      </c>
      <c r="AC132" s="792">
        <f t="shared" si="42"/>
        <v>40905000</v>
      </c>
      <c r="AE132" s="1175">
        <v>348</v>
      </c>
      <c r="AF132" s="1176" t="s">
        <v>266</v>
      </c>
      <c r="AG132" s="1504" t="s">
        <v>804</v>
      </c>
      <c r="AH132" s="1498">
        <f t="shared" si="43"/>
        <v>203</v>
      </c>
      <c r="AI132" s="1177">
        <v>44550000</v>
      </c>
      <c r="AJ132" s="1179">
        <f t="shared" si="44"/>
        <v>0</v>
      </c>
      <c r="AK132" s="1168"/>
    </row>
    <row r="133" spans="1:37" s="786" customFormat="1" ht="15">
      <c r="A133" s="823" t="s">
        <v>183</v>
      </c>
      <c r="B133" s="570">
        <f t="shared" si="45"/>
        <v>2267400</v>
      </c>
      <c r="C133" s="301" t="s">
        <v>44</v>
      </c>
      <c r="D133" s="302" t="s">
        <v>909</v>
      </c>
      <c r="E133" s="302" t="s">
        <v>216</v>
      </c>
      <c r="F133" s="302" t="s">
        <v>912</v>
      </c>
      <c r="G133" s="303" t="s">
        <v>86</v>
      </c>
      <c r="H133" s="1409" t="s">
        <v>156</v>
      </c>
      <c r="I133" s="575">
        <v>21</v>
      </c>
      <c r="J133" s="1101"/>
      <c r="K133" s="790" t="s">
        <v>873</v>
      </c>
      <c r="L133" s="222">
        <f>670800+1596600</f>
        <v>2267400</v>
      </c>
      <c r="M133" s="318" t="s">
        <v>874</v>
      </c>
      <c r="N133" s="222">
        <f>670800+1596600</f>
        <v>2267400</v>
      </c>
      <c r="O133" s="1471" t="s">
        <v>808</v>
      </c>
      <c r="P133" s="791"/>
      <c r="Q133" s="222">
        <v>670800</v>
      </c>
      <c r="R133" s="563">
        <v>1596600</v>
      </c>
      <c r="S133" s="563"/>
      <c r="T133" s="563"/>
      <c r="U133" s="563"/>
      <c r="V133" s="563"/>
      <c r="W133" s="563"/>
      <c r="X133" s="563"/>
      <c r="Y133" s="563"/>
      <c r="Z133" s="563"/>
      <c r="AA133" s="816"/>
      <c r="AB133" s="794">
        <f t="shared" si="41"/>
        <v>2267400</v>
      </c>
      <c r="AC133" s="792">
        <f t="shared" si="42"/>
        <v>0</v>
      </c>
      <c r="AE133" s="1175" t="s">
        <v>156</v>
      </c>
      <c r="AF133" s="1176" t="s">
        <v>197</v>
      </c>
      <c r="AG133" s="1505" t="s">
        <v>188</v>
      </c>
      <c r="AH133" s="1498" t="str">
        <f t="shared" si="43"/>
        <v>ARL</v>
      </c>
      <c r="AI133" s="1177">
        <v>8281053</v>
      </c>
      <c r="AJ133" s="1179">
        <f t="shared" si="44"/>
        <v>6013653</v>
      </c>
      <c r="AK133" s="1168"/>
    </row>
    <row r="134" spans="1:37" s="786" customFormat="1" ht="15">
      <c r="A134" s="823" t="s">
        <v>183</v>
      </c>
      <c r="B134" s="570">
        <f t="shared" si="45"/>
        <v>0</v>
      </c>
      <c r="C134" s="301" t="s">
        <v>44</v>
      </c>
      <c r="D134" s="302" t="s">
        <v>909</v>
      </c>
      <c r="E134" s="302" t="s">
        <v>217</v>
      </c>
      <c r="F134" s="302" t="s">
        <v>912</v>
      </c>
      <c r="G134" s="303" t="s">
        <v>86</v>
      </c>
      <c r="H134" s="1410" t="s">
        <v>188</v>
      </c>
      <c r="I134" s="575">
        <v>22</v>
      </c>
      <c r="J134" s="789"/>
      <c r="K134" s="801"/>
      <c r="L134" s="222"/>
      <c r="M134" s="318"/>
      <c r="N134" s="793"/>
      <c r="O134" s="1471"/>
      <c r="P134" s="791"/>
      <c r="Q134" s="563"/>
      <c r="R134" s="563"/>
      <c r="S134" s="563"/>
      <c r="T134" s="563"/>
      <c r="U134" s="563"/>
      <c r="V134" s="563"/>
      <c r="W134" s="563"/>
      <c r="X134" s="563"/>
      <c r="Y134" s="563"/>
      <c r="Z134" s="563"/>
      <c r="AA134" s="816"/>
      <c r="AB134" s="794">
        <f t="shared" si="41"/>
        <v>0</v>
      </c>
      <c r="AC134" s="792">
        <f t="shared" si="42"/>
        <v>0</v>
      </c>
      <c r="AE134" s="1175"/>
      <c r="AF134" s="1176"/>
      <c r="AG134" s="1505"/>
      <c r="AH134" s="1498">
        <f t="shared" si="43"/>
        <v>0</v>
      </c>
      <c r="AI134" s="1177"/>
      <c r="AJ134" s="1179">
        <f t="shared" si="44"/>
        <v>0</v>
      </c>
      <c r="AK134" s="1168"/>
    </row>
    <row r="135" spans="1:37" s="735" customFormat="1" ht="12">
      <c r="A135" s="795" t="s">
        <v>87</v>
      </c>
      <c r="B135" s="796">
        <f>B111-SUM(B112:B134)</f>
        <v>213837600</v>
      </c>
      <c r="C135" s="797"/>
      <c r="D135" s="802"/>
      <c r="E135" s="802"/>
      <c r="F135" s="802"/>
      <c r="G135" s="803"/>
      <c r="H135" s="1413"/>
      <c r="I135" s="812"/>
      <c r="J135" s="813"/>
      <c r="K135" s="814"/>
      <c r="L135" s="769">
        <f>SUM(L112:L134)</f>
        <v>698162400</v>
      </c>
      <c r="M135" s="119"/>
      <c r="N135" s="769">
        <f>SUM(N112:N134)</f>
        <v>697502400</v>
      </c>
      <c r="O135" s="1477"/>
      <c r="P135" s="769">
        <f>SUM(P112:P134)</f>
        <v>0</v>
      </c>
      <c r="Q135" s="769">
        <f>SUM(Q112:Q134)</f>
        <v>6209134</v>
      </c>
      <c r="R135" s="769">
        <f t="shared" ref="R135:AC135" si="46">SUM(R112:R134)</f>
        <v>57917600</v>
      </c>
      <c r="S135" s="769">
        <f t="shared" si="46"/>
        <v>0</v>
      </c>
      <c r="T135" s="769">
        <f t="shared" si="46"/>
        <v>0</v>
      </c>
      <c r="U135" s="769">
        <f t="shared" si="46"/>
        <v>0</v>
      </c>
      <c r="V135" s="769">
        <f t="shared" si="46"/>
        <v>0</v>
      </c>
      <c r="W135" s="769">
        <f t="shared" si="46"/>
        <v>0</v>
      </c>
      <c r="X135" s="769">
        <f t="shared" si="46"/>
        <v>0</v>
      </c>
      <c r="Y135" s="769">
        <f t="shared" si="46"/>
        <v>0</v>
      </c>
      <c r="Z135" s="769">
        <f t="shared" si="46"/>
        <v>0</v>
      </c>
      <c r="AA135" s="769">
        <f t="shared" si="46"/>
        <v>0</v>
      </c>
      <c r="AB135" s="769">
        <f t="shared" si="46"/>
        <v>64126734</v>
      </c>
      <c r="AC135" s="769">
        <f t="shared" si="46"/>
        <v>633375666</v>
      </c>
      <c r="AE135" s="1180"/>
      <c r="AF135" s="15"/>
      <c r="AG135" s="15"/>
      <c r="AH135" s="1496"/>
      <c r="AI135" s="15">
        <f>SUM(AI112:AI134)</f>
        <v>912000000</v>
      </c>
      <c r="AJ135" s="206">
        <f>SUM(AJ112:AJ134)</f>
        <v>214497600</v>
      </c>
      <c r="AK135" s="1168">
        <f>B111-AI135</f>
        <v>0</v>
      </c>
    </row>
    <row r="136" spans="1:37" s="786" customFormat="1" ht="57.75" customHeight="1">
      <c r="A136" s="1038" t="s">
        <v>184</v>
      </c>
      <c r="B136" s="1069">
        <v>760000000</v>
      </c>
      <c r="C136" s="1039" t="s">
        <v>44</v>
      </c>
      <c r="D136" s="1040" t="s">
        <v>909</v>
      </c>
      <c r="E136" s="1040" t="s">
        <v>153</v>
      </c>
      <c r="F136" s="1040" t="s">
        <v>912</v>
      </c>
      <c r="G136" s="1041" t="s">
        <v>86</v>
      </c>
      <c r="H136" s="1415"/>
      <c r="I136" s="817"/>
      <c r="J136" s="818"/>
      <c r="K136" s="510"/>
      <c r="L136" s="511"/>
      <c r="M136" s="510"/>
      <c r="N136" s="819"/>
      <c r="O136" s="1476"/>
      <c r="P136" s="820"/>
      <c r="Q136" s="821"/>
      <c r="R136" s="821"/>
      <c r="S136" s="821"/>
      <c r="T136" s="821"/>
      <c r="U136" s="821"/>
      <c r="V136" s="821"/>
      <c r="W136" s="821"/>
      <c r="X136" s="821"/>
      <c r="Y136" s="821"/>
      <c r="Z136" s="821"/>
      <c r="AA136" s="822"/>
      <c r="AB136" s="820"/>
      <c r="AC136" s="822"/>
      <c r="AE136" s="1642"/>
      <c r="AF136" s="821"/>
      <c r="AG136" s="821"/>
      <c r="AH136" s="821"/>
      <c r="AI136" s="821"/>
      <c r="AJ136" s="822"/>
      <c r="AK136" s="1168"/>
    </row>
    <row r="137" spans="1:37" s="786" customFormat="1" ht="15">
      <c r="A137" s="823" t="s">
        <v>184</v>
      </c>
      <c r="B137" s="570">
        <f>L137</f>
        <v>0</v>
      </c>
      <c r="C137" s="301" t="s">
        <v>44</v>
      </c>
      <c r="D137" s="302" t="s">
        <v>909</v>
      </c>
      <c r="E137" s="302" t="s">
        <v>153</v>
      </c>
      <c r="F137" s="302" t="s">
        <v>912</v>
      </c>
      <c r="G137" s="303" t="s">
        <v>86</v>
      </c>
      <c r="H137" s="1409">
        <v>326</v>
      </c>
      <c r="I137" s="788">
        <v>0</v>
      </c>
      <c r="J137" s="1101"/>
      <c r="K137" s="317"/>
      <c r="L137" s="75"/>
      <c r="M137" s="317"/>
      <c r="N137" s="1096"/>
      <c r="O137" s="1471"/>
      <c r="P137" s="791"/>
      <c r="Q137" s="563"/>
      <c r="R137" s="563"/>
      <c r="S137" s="563"/>
      <c r="T137" s="563"/>
      <c r="U137" s="563"/>
      <c r="V137" s="563"/>
      <c r="W137" s="563"/>
      <c r="X137" s="563"/>
      <c r="Y137" s="563"/>
      <c r="Z137" s="563"/>
      <c r="AA137" s="816"/>
      <c r="AB137" s="794">
        <f>SUM(P137:AA137)</f>
        <v>0</v>
      </c>
      <c r="AC137" s="792">
        <f>N137-AB137</f>
        <v>0</v>
      </c>
      <c r="AE137" s="1175">
        <v>326</v>
      </c>
      <c r="AF137" s="1176" t="s">
        <v>535</v>
      </c>
      <c r="AG137" s="1505" t="s">
        <v>188</v>
      </c>
      <c r="AH137" s="1498">
        <f>O137</f>
        <v>0</v>
      </c>
      <c r="AI137" s="1177">
        <v>600000000</v>
      </c>
      <c r="AJ137" s="1179">
        <f>AI137-N137</f>
        <v>600000000</v>
      </c>
      <c r="AK137" s="1168"/>
    </row>
    <row r="138" spans="1:37" s="786" customFormat="1" ht="15">
      <c r="A138" s="823" t="s">
        <v>184</v>
      </c>
      <c r="B138" s="570">
        <f>L138</f>
        <v>0</v>
      </c>
      <c r="C138" s="301" t="s">
        <v>44</v>
      </c>
      <c r="D138" s="302" t="s">
        <v>909</v>
      </c>
      <c r="E138" s="302" t="s">
        <v>153</v>
      </c>
      <c r="F138" s="302" t="s">
        <v>912</v>
      </c>
      <c r="G138" s="303" t="s">
        <v>86</v>
      </c>
      <c r="H138" s="1409">
        <v>327</v>
      </c>
      <c r="I138" s="788">
        <v>0</v>
      </c>
      <c r="J138" s="789"/>
      <c r="K138" s="318"/>
      <c r="L138" s="222"/>
      <c r="M138" s="318"/>
      <c r="N138" s="793"/>
      <c r="O138" s="1471"/>
      <c r="P138" s="791"/>
      <c r="Q138" s="563"/>
      <c r="R138" s="563"/>
      <c r="S138" s="563"/>
      <c r="T138" s="563"/>
      <c r="U138" s="563"/>
      <c r="V138" s="563"/>
      <c r="W138" s="563"/>
      <c r="X138" s="563"/>
      <c r="Y138" s="563"/>
      <c r="Z138" s="563"/>
      <c r="AA138" s="816"/>
      <c r="AB138" s="794">
        <f>SUM(P138:AA138)</f>
        <v>0</v>
      </c>
      <c r="AC138" s="792">
        <f>N138-AB138</f>
        <v>0</v>
      </c>
      <c r="AE138" s="1175">
        <v>327</v>
      </c>
      <c r="AF138" s="1176" t="s">
        <v>536</v>
      </c>
      <c r="AG138" s="1505" t="s">
        <v>188</v>
      </c>
      <c r="AH138" s="1498">
        <f>O138</f>
        <v>0</v>
      </c>
      <c r="AI138" s="1177">
        <v>160000000</v>
      </c>
      <c r="AJ138" s="1179">
        <f>AI138-N138</f>
        <v>160000000</v>
      </c>
      <c r="AK138" s="1168"/>
    </row>
    <row r="139" spans="1:37" s="735" customFormat="1" ht="12">
      <c r="A139" s="795" t="s">
        <v>87</v>
      </c>
      <c r="B139" s="796">
        <f>B136-SUM(B137:B138)</f>
        <v>760000000</v>
      </c>
      <c r="C139" s="797"/>
      <c r="D139" s="802"/>
      <c r="E139" s="802"/>
      <c r="F139" s="802"/>
      <c r="G139" s="803"/>
      <c r="H139" s="1413"/>
      <c r="I139" s="812"/>
      <c r="J139" s="813"/>
      <c r="K139" s="814"/>
      <c r="L139" s="769">
        <f>SUM(L137:L138)</f>
        <v>0</v>
      </c>
      <c r="M139" s="119"/>
      <c r="N139" s="769">
        <f>SUM(N137:N138)</f>
        <v>0</v>
      </c>
      <c r="O139" s="1477"/>
      <c r="P139" s="769">
        <f>SUM(P137:P138)</f>
        <v>0</v>
      </c>
      <c r="Q139" s="769">
        <f t="shared" ref="Q139:AJ139" si="47">SUM(Q137:Q138)</f>
        <v>0</v>
      </c>
      <c r="R139" s="769">
        <f t="shared" si="47"/>
        <v>0</v>
      </c>
      <c r="S139" s="769">
        <f t="shared" si="47"/>
        <v>0</v>
      </c>
      <c r="T139" s="769">
        <f t="shared" si="47"/>
        <v>0</v>
      </c>
      <c r="U139" s="769">
        <f t="shared" si="47"/>
        <v>0</v>
      </c>
      <c r="V139" s="769">
        <f t="shared" si="47"/>
        <v>0</v>
      </c>
      <c r="W139" s="769">
        <f t="shared" si="47"/>
        <v>0</v>
      </c>
      <c r="X139" s="769">
        <f t="shared" si="47"/>
        <v>0</v>
      </c>
      <c r="Y139" s="769">
        <f t="shared" si="47"/>
        <v>0</v>
      </c>
      <c r="Z139" s="769">
        <f t="shared" si="47"/>
        <v>0</v>
      </c>
      <c r="AA139" s="769">
        <f t="shared" si="47"/>
        <v>0</v>
      </c>
      <c r="AB139" s="769">
        <f t="shared" si="47"/>
        <v>0</v>
      </c>
      <c r="AC139" s="769">
        <f t="shared" si="47"/>
        <v>0</v>
      </c>
      <c r="AE139" s="1180"/>
      <c r="AF139" s="15"/>
      <c r="AG139" s="15"/>
      <c r="AH139" s="1496"/>
      <c r="AI139" s="15">
        <f t="shared" si="47"/>
        <v>760000000</v>
      </c>
      <c r="AJ139" s="206">
        <f t="shared" si="47"/>
        <v>760000000</v>
      </c>
      <c r="AK139" s="1168">
        <f>B136-AI139</f>
        <v>0</v>
      </c>
    </row>
    <row r="140" spans="1:37" s="735" customFormat="1" ht="24.75" customHeight="1">
      <c r="A140" s="1045" t="s">
        <v>173</v>
      </c>
      <c r="B140" s="774">
        <f>B141+B144+B168+B171+B174</f>
        <v>3343000000</v>
      </c>
      <c r="C140" s="1042"/>
      <c r="D140" s="1043"/>
      <c r="E140" s="1043"/>
      <c r="F140" s="1043"/>
      <c r="G140" s="1044"/>
      <c r="H140" s="1416"/>
      <c r="I140" s="824"/>
      <c r="J140" s="825"/>
      <c r="K140" s="826"/>
      <c r="L140" s="827"/>
      <c r="M140" s="1431"/>
      <c r="N140" s="828"/>
      <c r="O140" s="1478"/>
      <c r="P140" s="829"/>
      <c r="Q140" s="830"/>
      <c r="R140" s="830"/>
      <c r="S140" s="830"/>
      <c r="T140" s="830"/>
      <c r="U140" s="830"/>
      <c r="V140" s="830"/>
      <c r="W140" s="830"/>
      <c r="X140" s="830"/>
      <c r="Y140" s="830"/>
      <c r="Z140" s="830"/>
      <c r="AA140" s="831"/>
      <c r="AB140" s="829"/>
      <c r="AC140" s="831"/>
      <c r="AE140" s="1643"/>
      <c r="AF140" s="830"/>
      <c r="AG140" s="830"/>
      <c r="AH140" s="830"/>
      <c r="AI140" s="830"/>
      <c r="AJ140" s="831"/>
      <c r="AK140" s="1168"/>
    </row>
    <row r="141" spans="1:37" s="735" customFormat="1" ht="61.5" customHeight="1">
      <c r="A141" s="1045" t="s">
        <v>178</v>
      </c>
      <c r="B141" s="1069">
        <v>100000000</v>
      </c>
      <c r="C141" s="1042" t="s">
        <v>44</v>
      </c>
      <c r="D141" s="1043" t="s">
        <v>910</v>
      </c>
      <c r="E141" s="1043" t="s">
        <v>153</v>
      </c>
      <c r="F141" s="1043" t="s">
        <v>913</v>
      </c>
      <c r="G141" s="1044" t="s">
        <v>86</v>
      </c>
      <c r="H141" s="1416"/>
      <c r="I141" s="824"/>
      <c r="J141" s="825"/>
      <c r="K141" s="1073"/>
      <c r="L141" s="827"/>
      <c r="M141" s="1432"/>
      <c r="N141" s="828"/>
      <c r="O141" s="1478"/>
      <c r="P141" s="829"/>
      <c r="Q141" s="830"/>
      <c r="R141" s="830"/>
      <c r="S141" s="830"/>
      <c r="T141" s="830"/>
      <c r="U141" s="830"/>
      <c r="V141" s="830"/>
      <c r="W141" s="830"/>
      <c r="X141" s="830"/>
      <c r="Y141" s="830"/>
      <c r="Z141" s="830"/>
      <c r="AA141" s="831"/>
      <c r="AB141" s="829"/>
      <c r="AC141" s="831"/>
      <c r="AE141" s="1643"/>
      <c r="AF141" s="830"/>
      <c r="AG141" s="830"/>
      <c r="AH141" s="830"/>
      <c r="AI141" s="830"/>
      <c r="AJ141" s="831"/>
      <c r="AK141" s="1168"/>
    </row>
    <row r="142" spans="1:37" s="786" customFormat="1" ht="15">
      <c r="A142" s="832" t="s">
        <v>174</v>
      </c>
      <c r="B142" s="808">
        <f>L142</f>
        <v>100000000</v>
      </c>
      <c r="C142" s="304" t="s">
        <v>44</v>
      </c>
      <c r="D142" s="305" t="s">
        <v>910</v>
      </c>
      <c r="E142" s="305" t="s">
        <v>153</v>
      </c>
      <c r="F142" s="305" t="s">
        <v>912</v>
      </c>
      <c r="G142" s="306" t="s">
        <v>86</v>
      </c>
      <c r="H142" s="1409">
        <v>324</v>
      </c>
      <c r="I142" s="788">
        <v>0</v>
      </c>
      <c r="J142" s="789"/>
      <c r="K142" s="790">
        <v>405</v>
      </c>
      <c r="L142" s="222">
        <v>100000000</v>
      </c>
      <c r="M142" s="790"/>
      <c r="N142" s="793"/>
      <c r="O142" s="1471"/>
      <c r="P142" s="791"/>
      <c r="Q142" s="563"/>
      <c r="R142" s="563"/>
      <c r="S142" s="563"/>
      <c r="T142" s="563"/>
      <c r="U142" s="563"/>
      <c r="V142" s="563"/>
      <c r="W142" s="563"/>
      <c r="X142" s="563"/>
      <c r="Y142" s="563"/>
      <c r="Z142" s="563"/>
      <c r="AA142" s="816"/>
      <c r="AB142" s="794">
        <f>SUM(P142:AA142)</f>
        <v>0</v>
      </c>
      <c r="AC142" s="792">
        <f>N142-AB142</f>
        <v>0</v>
      </c>
      <c r="AE142" s="1175">
        <v>324</v>
      </c>
      <c r="AF142" s="1176" t="s">
        <v>521</v>
      </c>
      <c r="AG142" s="1505" t="s">
        <v>188</v>
      </c>
      <c r="AH142" s="1498">
        <f>O142</f>
        <v>0</v>
      </c>
      <c r="AI142" s="1403">
        <v>100000000</v>
      </c>
      <c r="AJ142" s="1179">
        <f>AI142-N142</f>
        <v>100000000</v>
      </c>
      <c r="AK142" s="1168"/>
    </row>
    <row r="143" spans="1:37" s="735" customFormat="1" ht="12">
      <c r="A143" s="795" t="s">
        <v>87</v>
      </c>
      <c r="B143" s="796">
        <f>B141-SUM(B142:B142)</f>
        <v>0</v>
      </c>
      <c r="C143" s="797"/>
      <c r="D143" s="802"/>
      <c r="E143" s="802"/>
      <c r="F143" s="802"/>
      <c r="G143" s="803"/>
      <c r="H143" s="1413"/>
      <c r="I143" s="812"/>
      <c r="J143" s="813"/>
      <c r="K143" s="814"/>
      <c r="L143" s="769">
        <f>SUM(L142:L142)</f>
        <v>100000000</v>
      </c>
      <c r="M143" s="119"/>
      <c r="N143" s="769">
        <f>SUM(N142:N142)</f>
        <v>0</v>
      </c>
      <c r="O143" s="1472"/>
      <c r="P143" s="813">
        <f t="shared" ref="P143:AC143" si="48">SUM(P142:P142)</f>
        <v>0</v>
      </c>
      <c r="Q143" s="769">
        <f t="shared" si="48"/>
        <v>0</v>
      </c>
      <c r="R143" s="769">
        <f t="shared" si="48"/>
        <v>0</v>
      </c>
      <c r="S143" s="769">
        <f t="shared" si="48"/>
        <v>0</v>
      </c>
      <c r="T143" s="769">
        <f t="shared" si="48"/>
        <v>0</v>
      </c>
      <c r="U143" s="769">
        <f t="shared" si="48"/>
        <v>0</v>
      </c>
      <c r="V143" s="769">
        <f t="shared" si="48"/>
        <v>0</v>
      </c>
      <c r="W143" s="769">
        <f t="shared" si="48"/>
        <v>0</v>
      </c>
      <c r="X143" s="769">
        <f t="shared" si="48"/>
        <v>0</v>
      </c>
      <c r="Y143" s="769">
        <f t="shared" si="48"/>
        <v>0</v>
      </c>
      <c r="Z143" s="769">
        <f>SUM(Z142:Z142)</f>
        <v>0</v>
      </c>
      <c r="AA143" s="815">
        <f t="shared" si="48"/>
        <v>0</v>
      </c>
      <c r="AB143" s="813">
        <f t="shared" si="48"/>
        <v>0</v>
      </c>
      <c r="AC143" s="815">
        <f t="shared" si="48"/>
        <v>0</v>
      </c>
      <c r="AE143" s="1180">
        <f t="shared" ref="AE143:AJ143" si="49">SUM(AE142:AE142)</f>
        <v>324</v>
      </c>
      <c r="AF143" s="15">
        <f t="shared" si="49"/>
        <v>0</v>
      </c>
      <c r="AG143" s="15">
        <f t="shared" si="49"/>
        <v>0</v>
      </c>
      <c r="AH143" s="1496">
        <f t="shared" si="49"/>
        <v>0</v>
      </c>
      <c r="AI143" s="15">
        <f t="shared" si="49"/>
        <v>100000000</v>
      </c>
      <c r="AJ143" s="206">
        <f t="shared" si="49"/>
        <v>100000000</v>
      </c>
      <c r="AK143" s="1168">
        <f>B141-AI143</f>
        <v>0</v>
      </c>
    </row>
    <row r="144" spans="1:37" s="735" customFormat="1" ht="84">
      <c r="A144" s="1045" t="s">
        <v>179</v>
      </c>
      <c r="B144" s="1069">
        <v>1003000000</v>
      </c>
      <c r="C144" s="1042" t="s">
        <v>44</v>
      </c>
      <c r="D144" s="1043" t="s">
        <v>910</v>
      </c>
      <c r="E144" s="1043" t="s">
        <v>153</v>
      </c>
      <c r="F144" s="1043" t="s">
        <v>913</v>
      </c>
      <c r="G144" s="1044" t="s">
        <v>86</v>
      </c>
      <c r="H144" s="1416"/>
      <c r="I144" s="824"/>
      <c r="J144" s="825"/>
      <c r="K144" s="1073"/>
      <c r="L144" s="827"/>
      <c r="M144" s="1432"/>
      <c r="N144" s="828"/>
      <c r="O144" s="1478"/>
      <c r="P144" s="829"/>
      <c r="Q144" s="830"/>
      <c r="R144" s="830"/>
      <c r="S144" s="830"/>
      <c r="T144" s="830"/>
      <c r="U144" s="830"/>
      <c r="V144" s="830"/>
      <c r="W144" s="830"/>
      <c r="X144" s="830"/>
      <c r="Y144" s="830"/>
      <c r="Z144" s="830"/>
      <c r="AA144" s="831"/>
      <c r="AB144" s="829"/>
      <c r="AC144" s="831"/>
      <c r="AE144" s="1643"/>
      <c r="AF144" s="830"/>
      <c r="AG144" s="830"/>
      <c r="AH144" s="830"/>
      <c r="AI144" s="830"/>
      <c r="AJ144" s="831"/>
      <c r="AK144" s="1168"/>
    </row>
    <row r="145" spans="1:37" s="735" customFormat="1">
      <c r="A145" s="832" t="s">
        <v>175</v>
      </c>
      <c r="B145" s="808">
        <f t="shared" ref="B145:B166" si="50">L145</f>
        <v>0</v>
      </c>
      <c r="C145" s="304" t="s">
        <v>44</v>
      </c>
      <c r="D145" s="305" t="s">
        <v>910</v>
      </c>
      <c r="E145" s="305" t="s">
        <v>153</v>
      </c>
      <c r="F145" s="305" t="s">
        <v>912</v>
      </c>
      <c r="G145" s="306" t="s">
        <v>86</v>
      </c>
      <c r="H145" s="1409">
        <v>328</v>
      </c>
      <c r="I145" s="1172">
        <v>0</v>
      </c>
      <c r="J145" s="845"/>
      <c r="K145" s="801"/>
      <c r="L145" s="846"/>
      <c r="M145" s="1433"/>
      <c r="N145" s="793"/>
      <c r="O145" s="1471"/>
      <c r="P145" s="791"/>
      <c r="Q145" s="563"/>
      <c r="R145" s="563"/>
      <c r="S145" s="563"/>
      <c r="T145" s="563"/>
      <c r="U145" s="563"/>
      <c r="V145" s="563"/>
      <c r="W145" s="563"/>
      <c r="X145" s="563"/>
      <c r="Y145" s="563"/>
      <c r="Z145" s="563"/>
      <c r="AA145" s="816"/>
      <c r="AB145" s="794">
        <f t="shared" ref="AB145:AB165" si="51">SUM(P145:AA145)</f>
        <v>0</v>
      </c>
      <c r="AC145" s="792">
        <f t="shared" ref="AC145:AC166" si="52">N145-AB145</f>
        <v>0</v>
      </c>
      <c r="AE145" s="1175">
        <v>328</v>
      </c>
      <c r="AF145" s="1176" t="s">
        <v>254</v>
      </c>
      <c r="AG145" s="1504" t="s">
        <v>188</v>
      </c>
      <c r="AH145" s="1498">
        <f t="shared" ref="AH145:AH166" si="53">O145</f>
        <v>0</v>
      </c>
      <c r="AI145" s="1177">
        <v>83309800</v>
      </c>
      <c r="AJ145" s="1179">
        <f t="shared" ref="AJ145:AJ166" si="54">AI145-N145</f>
        <v>83309800</v>
      </c>
      <c r="AK145" s="1168"/>
    </row>
    <row r="146" spans="1:37" s="735" customFormat="1">
      <c r="A146" s="832" t="s">
        <v>175</v>
      </c>
      <c r="B146" s="808">
        <f t="shared" si="50"/>
        <v>0</v>
      </c>
      <c r="C146" s="304" t="s">
        <v>44</v>
      </c>
      <c r="D146" s="305" t="s">
        <v>910</v>
      </c>
      <c r="E146" s="305" t="s">
        <v>153</v>
      </c>
      <c r="F146" s="305" t="s">
        <v>912</v>
      </c>
      <c r="G146" s="306" t="s">
        <v>86</v>
      </c>
      <c r="H146" s="1409">
        <v>329</v>
      </c>
      <c r="I146" s="1172">
        <v>0</v>
      </c>
      <c r="J146" s="845"/>
      <c r="K146" s="801"/>
      <c r="L146" s="846"/>
      <c r="M146" s="1433"/>
      <c r="N146" s="793"/>
      <c r="O146" s="1471"/>
      <c r="P146" s="791"/>
      <c r="Q146" s="563"/>
      <c r="R146" s="563"/>
      <c r="S146" s="563"/>
      <c r="T146" s="563"/>
      <c r="U146" s="563"/>
      <c r="V146" s="563"/>
      <c r="W146" s="563"/>
      <c r="X146" s="563"/>
      <c r="Y146" s="563"/>
      <c r="Z146" s="563"/>
      <c r="AA146" s="816"/>
      <c r="AB146" s="794">
        <f t="shared" si="51"/>
        <v>0</v>
      </c>
      <c r="AC146" s="792">
        <f t="shared" si="52"/>
        <v>0</v>
      </c>
      <c r="AE146" s="1175">
        <v>329</v>
      </c>
      <c r="AF146" s="1176" t="s">
        <v>255</v>
      </c>
      <c r="AG146" s="1504" t="s">
        <v>188</v>
      </c>
      <c r="AH146" s="1498">
        <f t="shared" si="53"/>
        <v>0</v>
      </c>
      <c r="AI146" s="1177">
        <v>211081567</v>
      </c>
      <c r="AJ146" s="1179">
        <f t="shared" si="54"/>
        <v>211081567</v>
      </c>
      <c r="AK146" s="1168"/>
    </row>
    <row r="147" spans="1:37" s="735" customFormat="1">
      <c r="A147" s="832" t="s">
        <v>175</v>
      </c>
      <c r="B147" s="808">
        <f t="shared" si="50"/>
        <v>26300000</v>
      </c>
      <c r="C147" s="304" t="s">
        <v>44</v>
      </c>
      <c r="D147" s="305" t="s">
        <v>910</v>
      </c>
      <c r="E147" s="305" t="s">
        <v>153</v>
      </c>
      <c r="F147" s="305" t="s">
        <v>912</v>
      </c>
      <c r="G147" s="306" t="s">
        <v>86</v>
      </c>
      <c r="H147" s="1409">
        <v>349</v>
      </c>
      <c r="I147" s="1172">
        <v>0</v>
      </c>
      <c r="J147" s="845"/>
      <c r="K147" s="801">
        <v>207</v>
      </c>
      <c r="L147" s="222">
        <v>26300000</v>
      </c>
      <c r="M147" s="318">
        <v>237</v>
      </c>
      <c r="N147" s="793">
        <v>26300000</v>
      </c>
      <c r="O147" s="1471">
        <v>221</v>
      </c>
      <c r="P147" s="791"/>
      <c r="Q147" s="563"/>
      <c r="R147" s="563">
        <f>VLOOKUP(M147,[5]Hoja2!N$2:T$77,7,0)</f>
        <v>2104000</v>
      </c>
      <c r="S147" s="563"/>
      <c r="T147" s="563"/>
      <c r="U147" s="563"/>
      <c r="V147" s="563"/>
      <c r="W147" s="563"/>
      <c r="X147" s="563"/>
      <c r="Y147" s="563"/>
      <c r="Z147" s="563"/>
      <c r="AA147" s="816"/>
      <c r="AB147" s="794">
        <f t="shared" si="51"/>
        <v>2104000</v>
      </c>
      <c r="AC147" s="792">
        <f t="shared" si="52"/>
        <v>24196000</v>
      </c>
      <c r="AE147" s="1175">
        <v>349</v>
      </c>
      <c r="AF147" s="1176" t="s">
        <v>525</v>
      </c>
      <c r="AG147" s="1504" t="s">
        <v>798</v>
      </c>
      <c r="AH147" s="1498">
        <f t="shared" si="53"/>
        <v>221</v>
      </c>
      <c r="AI147" s="1177">
        <v>26300000</v>
      </c>
      <c r="AJ147" s="1179">
        <f t="shared" si="54"/>
        <v>0</v>
      </c>
      <c r="AK147" s="1168"/>
    </row>
    <row r="148" spans="1:37" s="735" customFormat="1">
      <c r="A148" s="832" t="s">
        <v>175</v>
      </c>
      <c r="B148" s="808">
        <f t="shared" si="50"/>
        <v>26300000</v>
      </c>
      <c r="C148" s="304" t="s">
        <v>44</v>
      </c>
      <c r="D148" s="305" t="s">
        <v>910</v>
      </c>
      <c r="E148" s="305" t="s">
        <v>153</v>
      </c>
      <c r="F148" s="305" t="s">
        <v>912</v>
      </c>
      <c r="G148" s="306" t="s">
        <v>86</v>
      </c>
      <c r="H148" s="1409">
        <v>350</v>
      </c>
      <c r="I148" s="1172">
        <v>0</v>
      </c>
      <c r="J148" s="845"/>
      <c r="K148" s="801">
        <v>46</v>
      </c>
      <c r="L148" s="222">
        <v>26300000</v>
      </c>
      <c r="M148" s="318">
        <v>48</v>
      </c>
      <c r="N148" s="793">
        <v>26300000</v>
      </c>
      <c r="O148" s="1471">
        <v>65</v>
      </c>
      <c r="P148" s="791"/>
      <c r="Q148" s="563">
        <v>1139667</v>
      </c>
      <c r="R148" s="563">
        <f>VLOOKUP(M148,[5]Hoja2!N$2:T$77,7,0)</f>
        <v>2630000</v>
      </c>
      <c r="S148" s="563"/>
      <c r="T148" s="563"/>
      <c r="U148" s="563"/>
      <c r="V148" s="563"/>
      <c r="W148" s="563"/>
      <c r="X148" s="563"/>
      <c r="Y148" s="563"/>
      <c r="Z148" s="563"/>
      <c r="AA148" s="816"/>
      <c r="AB148" s="794">
        <f t="shared" si="51"/>
        <v>3769667</v>
      </c>
      <c r="AC148" s="792">
        <f t="shared" si="52"/>
        <v>22530333</v>
      </c>
      <c r="AE148" s="1175">
        <v>350</v>
      </c>
      <c r="AF148" s="1176" t="s">
        <v>526</v>
      </c>
      <c r="AG148" s="1504" t="s">
        <v>572</v>
      </c>
      <c r="AH148" s="1498">
        <f t="shared" si="53"/>
        <v>65</v>
      </c>
      <c r="AI148" s="1177">
        <v>26300000</v>
      </c>
      <c r="AJ148" s="1179">
        <f t="shared" si="54"/>
        <v>0</v>
      </c>
      <c r="AK148" s="1168"/>
    </row>
    <row r="149" spans="1:37" s="735" customFormat="1">
      <c r="A149" s="832" t="s">
        <v>175</v>
      </c>
      <c r="B149" s="808">
        <f t="shared" si="50"/>
        <v>26300000</v>
      </c>
      <c r="C149" s="304" t="s">
        <v>44</v>
      </c>
      <c r="D149" s="305" t="s">
        <v>910</v>
      </c>
      <c r="E149" s="305" t="s">
        <v>153</v>
      </c>
      <c r="F149" s="305" t="s">
        <v>912</v>
      </c>
      <c r="G149" s="306" t="s">
        <v>86</v>
      </c>
      <c r="H149" s="1409">
        <v>351</v>
      </c>
      <c r="I149" s="1172">
        <v>0</v>
      </c>
      <c r="J149" s="845"/>
      <c r="K149" s="801">
        <v>44</v>
      </c>
      <c r="L149" s="222">
        <v>26300000</v>
      </c>
      <c r="M149" s="318">
        <v>62</v>
      </c>
      <c r="N149" s="793">
        <v>26300000</v>
      </c>
      <c r="O149" s="1471">
        <v>66</v>
      </c>
      <c r="P149" s="791"/>
      <c r="Q149" s="563">
        <v>876667</v>
      </c>
      <c r="R149" s="563">
        <f>VLOOKUP(M149,[5]Hoja2!N$2:T$77,7,0)</f>
        <v>2630000</v>
      </c>
      <c r="S149" s="563"/>
      <c r="T149" s="563"/>
      <c r="U149" s="563"/>
      <c r="V149" s="563"/>
      <c r="W149" s="563"/>
      <c r="X149" s="563"/>
      <c r="Y149" s="563"/>
      <c r="Z149" s="563"/>
      <c r="AA149" s="816"/>
      <c r="AB149" s="794">
        <f t="shared" si="51"/>
        <v>3506667</v>
      </c>
      <c r="AC149" s="792">
        <f t="shared" si="52"/>
        <v>22793333</v>
      </c>
      <c r="AE149" s="1175">
        <v>351</v>
      </c>
      <c r="AF149" s="1176" t="s">
        <v>526</v>
      </c>
      <c r="AG149" s="1504" t="s">
        <v>573</v>
      </c>
      <c r="AH149" s="1498">
        <f t="shared" si="53"/>
        <v>66</v>
      </c>
      <c r="AI149" s="1177">
        <v>26300000</v>
      </c>
      <c r="AJ149" s="1179">
        <f t="shared" si="54"/>
        <v>0</v>
      </c>
      <c r="AK149" s="1168"/>
    </row>
    <row r="150" spans="1:37" s="735" customFormat="1">
      <c r="A150" s="832" t="s">
        <v>175</v>
      </c>
      <c r="B150" s="808">
        <f t="shared" si="50"/>
        <v>26300000</v>
      </c>
      <c r="C150" s="304" t="s">
        <v>44</v>
      </c>
      <c r="D150" s="305" t="s">
        <v>910</v>
      </c>
      <c r="E150" s="305" t="s">
        <v>153</v>
      </c>
      <c r="F150" s="305" t="s">
        <v>912</v>
      </c>
      <c r="G150" s="306" t="s">
        <v>86</v>
      </c>
      <c r="H150" s="1409">
        <v>352</v>
      </c>
      <c r="I150" s="1172">
        <v>0</v>
      </c>
      <c r="J150" s="845"/>
      <c r="K150" s="801">
        <v>43</v>
      </c>
      <c r="L150" s="222">
        <v>26300000</v>
      </c>
      <c r="M150" s="318">
        <v>50</v>
      </c>
      <c r="N150" s="793">
        <v>26300000</v>
      </c>
      <c r="O150" s="1471">
        <v>30</v>
      </c>
      <c r="P150" s="791"/>
      <c r="Q150" s="563">
        <v>526000</v>
      </c>
      <c r="R150" s="563">
        <f>VLOOKUP(M150,[5]Hoja2!N$2:T$77,7,0)</f>
        <v>2630000</v>
      </c>
      <c r="S150" s="563"/>
      <c r="T150" s="563"/>
      <c r="U150" s="563"/>
      <c r="V150" s="563"/>
      <c r="W150" s="563"/>
      <c r="X150" s="563"/>
      <c r="Y150" s="563"/>
      <c r="Z150" s="563"/>
      <c r="AA150" s="816"/>
      <c r="AB150" s="794">
        <f t="shared" si="51"/>
        <v>3156000</v>
      </c>
      <c r="AC150" s="792">
        <f t="shared" si="52"/>
        <v>23144000</v>
      </c>
      <c r="AE150" s="1175">
        <v>352</v>
      </c>
      <c r="AF150" s="1176" t="s">
        <v>526</v>
      </c>
      <c r="AG150" s="1504" t="s">
        <v>574</v>
      </c>
      <c r="AH150" s="1498">
        <f t="shared" si="53"/>
        <v>30</v>
      </c>
      <c r="AI150" s="1177">
        <v>26300000</v>
      </c>
      <c r="AJ150" s="1179">
        <f t="shared" si="54"/>
        <v>0</v>
      </c>
      <c r="AK150" s="1168"/>
    </row>
    <row r="151" spans="1:37" s="735" customFormat="1">
      <c r="A151" s="832" t="s">
        <v>175</v>
      </c>
      <c r="B151" s="808">
        <f t="shared" si="50"/>
        <v>26300000</v>
      </c>
      <c r="C151" s="304" t="s">
        <v>44</v>
      </c>
      <c r="D151" s="305" t="s">
        <v>910</v>
      </c>
      <c r="E151" s="305" t="s">
        <v>153</v>
      </c>
      <c r="F151" s="305" t="s">
        <v>912</v>
      </c>
      <c r="G151" s="306" t="s">
        <v>86</v>
      </c>
      <c r="H151" s="1409">
        <v>353</v>
      </c>
      <c r="I151" s="1172">
        <v>0</v>
      </c>
      <c r="J151" s="845"/>
      <c r="K151" s="801">
        <v>48</v>
      </c>
      <c r="L151" s="222">
        <v>26300000</v>
      </c>
      <c r="M151" s="318">
        <v>64</v>
      </c>
      <c r="N151" s="793">
        <v>26300000</v>
      </c>
      <c r="O151" s="1471">
        <v>71</v>
      </c>
      <c r="P151" s="791"/>
      <c r="Q151" s="563">
        <v>876667</v>
      </c>
      <c r="R151" s="563">
        <f>VLOOKUP(M151,[5]Hoja2!N$2:T$77,7,0)</f>
        <v>2630000</v>
      </c>
      <c r="S151" s="563"/>
      <c r="T151" s="563"/>
      <c r="U151" s="563"/>
      <c r="V151" s="563"/>
      <c r="W151" s="563"/>
      <c r="X151" s="563"/>
      <c r="Y151" s="563"/>
      <c r="Z151" s="563"/>
      <c r="AA151" s="816"/>
      <c r="AB151" s="794">
        <f t="shared" si="51"/>
        <v>3506667</v>
      </c>
      <c r="AC151" s="792">
        <f t="shared" si="52"/>
        <v>22793333</v>
      </c>
      <c r="AE151" s="1175">
        <v>353</v>
      </c>
      <c r="AF151" s="1176" t="s">
        <v>526</v>
      </c>
      <c r="AG151" s="1504" t="s">
        <v>575</v>
      </c>
      <c r="AH151" s="1498">
        <f t="shared" si="53"/>
        <v>71</v>
      </c>
      <c r="AI151" s="1177">
        <v>26300000</v>
      </c>
      <c r="AJ151" s="1179">
        <f t="shared" si="54"/>
        <v>0</v>
      </c>
      <c r="AK151" s="1168"/>
    </row>
    <row r="152" spans="1:37" s="735" customFormat="1">
      <c r="A152" s="832" t="s">
        <v>175</v>
      </c>
      <c r="B152" s="808">
        <f t="shared" si="50"/>
        <v>26300000</v>
      </c>
      <c r="C152" s="304" t="s">
        <v>44</v>
      </c>
      <c r="D152" s="305" t="s">
        <v>910</v>
      </c>
      <c r="E152" s="305" t="s">
        <v>153</v>
      </c>
      <c r="F152" s="305" t="s">
        <v>912</v>
      </c>
      <c r="G152" s="306" t="s">
        <v>86</v>
      </c>
      <c r="H152" s="1409">
        <v>354</v>
      </c>
      <c r="I152" s="1172">
        <v>0</v>
      </c>
      <c r="J152" s="845"/>
      <c r="K152" s="801">
        <v>99</v>
      </c>
      <c r="L152" s="222">
        <v>26300000</v>
      </c>
      <c r="M152" s="318">
        <v>109</v>
      </c>
      <c r="N152" s="793">
        <v>26300000</v>
      </c>
      <c r="O152" s="1471">
        <v>78</v>
      </c>
      <c r="P152" s="791"/>
      <c r="Q152" s="563">
        <v>789000</v>
      </c>
      <c r="R152" s="563">
        <f>VLOOKUP(M152,[5]Hoja2!N$2:T$77,7,0)</f>
        <v>2630000</v>
      </c>
      <c r="S152" s="563"/>
      <c r="T152" s="563"/>
      <c r="U152" s="563"/>
      <c r="V152" s="563"/>
      <c r="W152" s="563"/>
      <c r="X152" s="563"/>
      <c r="Y152" s="563"/>
      <c r="Z152" s="563"/>
      <c r="AA152" s="816"/>
      <c r="AB152" s="794">
        <f t="shared" si="51"/>
        <v>3419000</v>
      </c>
      <c r="AC152" s="792">
        <f t="shared" si="52"/>
        <v>22881000</v>
      </c>
      <c r="AE152" s="1175">
        <v>354</v>
      </c>
      <c r="AF152" s="1176" t="s">
        <v>526</v>
      </c>
      <c r="AG152" s="1504" t="s">
        <v>576</v>
      </c>
      <c r="AH152" s="1498">
        <f t="shared" si="53"/>
        <v>78</v>
      </c>
      <c r="AI152" s="1177">
        <v>26300000</v>
      </c>
      <c r="AJ152" s="1179">
        <f t="shared" si="54"/>
        <v>0</v>
      </c>
      <c r="AK152" s="1168"/>
    </row>
    <row r="153" spans="1:37" s="735" customFormat="1">
      <c r="A153" s="832" t="s">
        <v>175</v>
      </c>
      <c r="B153" s="808">
        <f t="shared" si="50"/>
        <v>63800000</v>
      </c>
      <c r="C153" s="304" t="s">
        <v>44</v>
      </c>
      <c r="D153" s="305" t="s">
        <v>910</v>
      </c>
      <c r="E153" s="305" t="s">
        <v>153</v>
      </c>
      <c r="F153" s="305" t="s">
        <v>912</v>
      </c>
      <c r="G153" s="306" t="s">
        <v>86</v>
      </c>
      <c r="H153" s="1409">
        <v>355</v>
      </c>
      <c r="I153" s="1172">
        <v>0</v>
      </c>
      <c r="J153" s="845"/>
      <c r="K153" s="801">
        <v>340</v>
      </c>
      <c r="L153" s="222">
        <v>63800000</v>
      </c>
      <c r="M153" s="1608">
        <v>348</v>
      </c>
      <c r="N153" s="793">
        <v>63800000</v>
      </c>
      <c r="O153" s="1471">
        <v>282</v>
      </c>
      <c r="P153" s="791"/>
      <c r="Q153" s="563"/>
      <c r="R153" s="563"/>
      <c r="S153" s="563"/>
      <c r="T153" s="563"/>
      <c r="U153" s="563"/>
      <c r="V153" s="563"/>
      <c r="W153" s="563"/>
      <c r="X153" s="563"/>
      <c r="Y153" s="563"/>
      <c r="Z153" s="563"/>
      <c r="AA153" s="816"/>
      <c r="AB153" s="794">
        <f t="shared" si="51"/>
        <v>0</v>
      </c>
      <c r="AC153" s="792">
        <f t="shared" si="52"/>
        <v>63800000</v>
      </c>
      <c r="AE153" s="1175">
        <v>355</v>
      </c>
      <c r="AF153" s="1176" t="s">
        <v>527</v>
      </c>
      <c r="AG153" s="1504" t="s">
        <v>867</v>
      </c>
      <c r="AH153" s="1498">
        <f t="shared" si="53"/>
        <v>282</v>
      </c>
      <c r="AI153" s="1177">
        <f>48200000+17800000</f>
        <v>66000000</v>
      </c>
      <c r="AJ153" s="1179">
        <f t="shared" si="54"/>
        <v>2200000</v>
      </c>
      <c r="AK153" s="1168"/>
    </row>
    <row r="154" spans="1:37" s="735" customFormat="1">
      <c r="A154" s="832" t="s">
        <v>175</v>
      </c>
      <c r="B154" s="808">
        <f t="shared" si="50"/>
        <v>48200000</v>
      </c>
      <c r="C154" s="304" t="s">
        <v>44</v>
      </c>
      <c r="D154" s="305" t="s">
        <v>910</v>
      </c>
      <c r="E154" s="305" t="s">
        <v>153</v>
      </c>
      <c r="F154" s="305" t="s">
        <v>912</v>
      </c>
      <c r="G154" s="306" t="s">
        <v>86</v>
      </c>
      <c r="H154" s="1409">
        <v>356</v>
      </c>
      <c r="I154" s="1172">
        <v>0</v>
      </c>
      <c r="J154" s="845"/>
      <c r="K154" s="801">
        <v>208</v>
      </c>
      <c r="L154" s="222">
        <v>48200000</v>
      </c>
      <c r="M154" s="318">
        <v>257</v>
      </c>
      <c r="N154" s="793">
        <v>48200000</v>
      </c>
      <c r="O154" s="1471">
        <v>220</v>
      </c>
      <c r="P154" s="791"/>
      <c r="Q154" s="563"/>
      <c r="R154" s="563">
        <f>VLOOKUP(M154,[5]Hoja2!N$2:T$77,7,0)</f>
        <v>3534667</v>
      </c>
      <c r="S154" s="563"/>
      <c r="T154" s="563"/>
      <c r="U154" s="563"/>
      <c r="V154" s="563"/>
      <c r="W154" s="563"/>
      <c r="X154" s="563"/>
      <c r="Y154" s="563"/>
      <c r="Z154" s="563"/>
      <c r="AA154" s="816"/>
      <c r="AB154" s="794">
        <f t="shared" si="51"/>
        <v>3534667</v>
      </c>
      <c r="AC154" s="792">
        <f t="shared" si="52"/>
        <v>44665333</v>
      </c>
      <c r="AE154" s="1175">
        <v>356</v>
      </c>
      <c r="AF154" s="1176" t="s">
        <v>528</v>
      </c>
      <c r="AG154" s="1504" t="s">
        <v>799</v>
      </c>
      <c r="AH154" s="1498">
        <f t="shared" si="53"/>
        <v>220</v>
      </c>
      <c r="AI154" s="1177">
        <v>48200000</v>
      </c>
      <c r="AJ154" s="1179">
        <f t="shared" si="54"/>
        <v>0</v>
      </c>
      <c r="AK154" s="1168"/>
    </row>
    <row r="155" spans="1:37" s="735" customFormat="1">
      <c r="A155" s="832" t="s">
        <v>175</v>
      </c>
      <c r="B155" s="808">
        <f t="shared" si="50"/>
        <v>48200000</v>
      </c>
      <c r="C155" s="304" t="s">
        <v>44</v>
      </c>
      <c r="D155" s="305" t="s">
        <v>910</v>
      </c>
      <c r="E155" s="305" t="s">
        <v>153</v>
      </c>
      <c r="F155" s="305" t="s">
        <v>912</v>
      </c>
      <c r="G155" s="306" t="s">
        <v>86</v>
      </c>
      <c r="H155" s="1409">
        <v>357</v>
      </c>
      <c r="I155" s="1172">
        <v>0</v>
      </c>
      <c r="J155" s="845"/>
      <c r="K155" s="801">
        <v>47</v>
      </c>
      <c r="L155" s="222">
        <v>48200000</v>
      </c>
      <c r="M155" s="318">
        <v>49</v>
      </c>
      <c r="N155" s="793">
        <v>48200000</v>
      </c>
      <c r="O155" s="1471">
        <v>70</v>
      </c>
      <c r="P155" s="791"/>
      <c r="Q155" s="563">
        <v>964000</v>
      </c>
      <c r="R155" s="563">
        <f>VLOOKUP(M155,[5]Hoja2!N$2:T$77,7,0)</f>
        <v>4820000</v>
      </c>
      <c r="S155" s="563"/>
      <c r="T155" s="563"/>
      <c r="U155" s="563"/>
      <c r="V155" s="563"/>
      <c r="W155" s="563"/>
      <c r="X155" s="563"/>
      <c r="Y155" s="563"/>
      <c r="Z155" s="563"/>
      <c r="AA155" s="816"/>
      <c r="AB155" s="794">
        <f t="shared" si="51"/>
        <v>5784000</v>
      </c>
      <c r="AC155" s="792">
        <f t="shared" si="52"/>
        <v>42416000</v>
      </c>
      <c r="AE155" s="1175">
        <v>357</v>
      </c>
      <c r="AF155" s="1176" t="s">
        <v>528</v>
      </c>
      <c r="AG155" s="1504" t="s">
        <v>577</v>
      </c>
      <c r="AH155" s="1498">
        <f t="shared" si="53"/>
        <v>70</v>
      </c>
      <c r="AI155" s="1177">
        <v>48200000</v>
      </c>
      <c r="AJ155" s="1179">
        <f t="shared" si="54"/>
        <v>0</v>
      </c>
      <c r="AK155" s="1168"/>
    </row>
    <row r="156" spans="1:37" s="735" customFormat="1">
      <c r="A156" s="832" t="s">
        <v>175</v>
      </c>
      <c r="B156" s="808">
        <f t="shared" si="50"/>
        <v>0</v>
      </c>
      <c r="C156" s="304" t="s">
        <v>44</v>
      </c>
      <c r="D156" s="305" t="s">
        <v>910</v>
      </c>
      <c r="E156" s="305" t="s">
        <v>153</v>
      </c>
      <c r="F156" s="305" t="s">
        <v>912</v>
      </c>
      <c r="G156" s="306" t="s">
        <v>86</v>
      </c>
      <c r="H156" s="1409">
        <v>358</v>
      </c>
      <c r="I156" s="1172">
        <v>0</v>
      </c>
      <c r="J156" s="845"/>
      <c r="K156" s="801"/>
      <c r="L156" s="222"/>
      <c r="M156" s="1433"/>
      <c r="N156" s="793"/>
      <c r="O156" s="1471"/>
      <c r="P156" s="791"/>
      <c r="Q156" s="563"/>
      <c r="R156" s="563"/>
      <c r="S156" s="563"/>
      <c r="T156" s="563"/>
      <c r="U156" s="563"/>
      <c r="V156" s="563"/>
      <c r="W156" s="563"/>
      <c r="X156" s="563"/>
      <c r="Y156" s="563"/>
      <c r="Z156" s="563"/>
      <c r="AA156" s="816"/>
      <c r="AB156" s="794">
        <f t="shared" si="51"/>
        <v>0</v>
      </c>
      <c r="AC156" s="792">
        <f t="shared" si="52"/>
        <v>0</v>
      </c>
      <c r="AE156" s="1266">
        <v>358</v>
      </c>
      <c r="AF156" s="1176" t="s">
        <v>829</v>
      </c>
      <c r="AG156" s="1504" t="s">
        <v>188</v>
      </c>
      <c r="AH156" s="1498">
        <f t="shared" si="53"/>
        <v>0</v>
      </c>
      <c r="AI156" s="1267">
        <f>38560000-6250000</f>
        <v>32310000</v>
      </c>
      <c r="AJ156" s="1179">
        <f t="shared" si="54"/>
        <v>32310000</v>
      </c>
      <c r="AK156" s="1168"/>
    </row>
    <row r="157" spans="1:37" s="735" customFormat="1">
      <c r="A157" s="832" t="s">
        <v>175</v>
      </c>
      <c r="B157" s="808">
        <f t="shared" si="50"/>
        <v>48000000</v>
      </c>
      <c r="C157" s="304" t="s">
        <v>44</v>
      </c>
      <c r="D157" s="305" t="s">
        <v>910</v>
      </c>
      <c r="E157" s="305" t="s">
        <v>153</v>
      </c>
      <c r="F157" s="305" t="s">
        <v>912</v>
      </c>
      <c r="G157" s="306" t="s">
        <v>86</v>
      </c>
      <c r="H157" s="1409">
        <v>359</v>
      </c>
      <c r="I157" s="1172">
        <v>0</v>
      </c>
      <c r="J157" s="845"/>
      <c r="K157" s="801">
        <v>45</v>
      </c>
      <c r="L157" s="222">
        <v>48000000</v>
      </c>
      <c r="M157" s="318">
        <v>54</v>
      </c>
      <c r="N157" s="793">
        <v>48000000</v>
      </c>
      <c r="O157" s="1471">
        <v>31</v>
      </c>
      <c r="P157" s="791"/>
      <c r="Q157" s="563">
        <v>2080000</v>
      </c>
      <c r="R157" s="563">
        <f>VLOOKUP(M157,[5]Hoja2!N$2:T$77,7,0)</f>
        <v>4800000</v>
      </c>
      <c r="S157" s="563"/>
      <c r="T157" s="563"/>
      <c r="U157" s="563"/>
      <c r="V157" s="563"/>
      <c r="W157" s="563"/>
      <c r="X157" s="563"/>
      <c r="Y157" s="563"/>
      <c r="Z157" s="563"/>
      <c r="AA157" s="816"/>
      <c r="AB157" s="794">
        <f t="shared" si="51"/>
        <v>6880000</v>
      </c>
      <c r="AC157" s="792">
        <f t="shared" si="52"/>
        <v>41120000</v>
      </c>
      <c r="AE157" s="1175">
        <v>359</v>
      </c>
      <c r="AF157" s="1176" t="s">
        <v>529</v>
      </c>
      <c r="AG157" s="1504" t="s">
        <v>578</v>
      </c>
      <c r="AH157" s="1498">
        <f t="shared" si="53"/>
        <v>31</v>
      </c>
      <c r="AI157" s="1177">
        <v>48000000</v>
      </c>
      <c r="AJ157" s="1179">
        <f t="shared" si="54"/>
        <v>0</v>
      </c>
      <c r="AK157" s="1168"/>
    </row>
    <row r="158" spans="1:37" s="735" customFormat="1">
      <c r="A158" s="832" t="s">
        <v>175</v>
      </c>
      <c r="B158" s="808">
        <f t="shared" si="50"/>
        <v>32960000</v>
      </c>
      <c r="C158" s="304" t="s">
        <v>44</v>
      </c>
      <c r="D158" s="305" t="s">
        <v>910</v>
      </c>
      <c r="E158" s="305" t="s">
        <v>153</v>
      </c>
      <c r="F158" s="305" t="s">
        <v>912</v>
      </c>
      <c r="G158" s="306" t="s">
        <v>86</v>
      </c>
      <c r="H158" s="1409">
        <v>360</v>
      </c>
      <c r="I158" s="1172">
        <v>0</v>
      </c>
      <c r="J158" s="845"/>
      <c r="K158" s="801">
        <v>355</v>
      </c>
      <c r="L158" s="222">
        <v>32960000</v>
      </c>
      <c r="M158" s="1608">
        <v>351</v>
      </c>
      <c r="N158" s="793">
        <v>32960000</v>
      </c>
      <c r="O158" s="1471">
        <v>285</v>
      </c>
      <c r="P158" s="791"/>
      <c r="Q158" s="563"/>
      <c r="R158" s="563"/>
      <c r="S158" s="563"/>
      <c r="T158" s="563"/>
      <c r="U158" s="563"/>
      <c r="V158" s="563"/>
      <c r="W158" s="563"/>
      <c r="X158" s="563"/>
      <c r="Y158" s="563"/>
      <c r="Z158" s="563"/>
      <c r="AA158" s="816"/>
      <c r="AB158" s="794">
        <f t="shared" si="51"/>
        <v>0</v>
      </c>
      <c r="AC158" s="792">
        <f t="shared" si="52"/>
        <v>32960000</v>
      </c>
      <c r="AE158" s="1175">
        <v>360</v>
      </c>
      <c r="AF158" s="1176" t="s">
        <v>530</v>
      </c>
      <c r="AG158" s="1504" t="s">
        <v>869</v>
      </c>
      <c r="AH158" s="1498">
        <f t="shared" si="53"/>
        <v>285</v>
      </c>
      <c r="AI158" s="1177">
        <v>32960000</v>
      </c>
      <c r="AJ158" s="1179">
        <f t="shared" si="54"/>
        <v>0</v>
      </c>
      <c r="AK158" s="1168"/>
    </row>
    <row r="159" spans="1:37" s="735" customFormat="1">
      <c r="A159" s="832" t="s">
        <v>175</v>
      </c>
      <c r="B159" s="808">
        <f t="shared" si="50"/>
        <v>96250000</v>
      </c>
      <c r="C159" s="304" t="s">
        <v>44</v>
      </c>
      <c r="D159" s="305" t="s">
        <v>910</v>
      </c>
      <c r="E159" s="305" t="s">
        <v>153</v>
      </c>
      <c r="F159" s="305" t="s">
        <v>912</v>
      </c>
      <c r="G159" s="306" t="s">
        <v>86</v>
      </c>
      <c r="H159" s="1409">
        <v>361</v>
      </c>
      <c r="I159" s="1172">
        <v>0</v>
      </c>
      <c r="J159" s="845"/>
      <c r="K159" s="801">
        <v>209</v>
      </c>
      <c r="L159" s="222">
        <v>96250000</v>
      </c>
      <c r="M159" s="318">
        <v>203</v>
      </c>
      <c r="N159" s="793">
        <v>84700000</v>
      </c>
      <c r="O159" s="1471">
        <v>205</v>
      </c>
      <c r="P159" s="791"/>
      <c r="Q159" s="563"/>
      <c r="R159" s="563">
        <f>VLOOKUP(M159,[5]Hoja2!N$2:T$77,7,0)</f>
        <v>7700000</v>
      </c>
      <c r="S159" s="563"/>
      <c r="T159" s="563"/>
      <c r="U159" s="563"/>
      <c r="V159" s="563"/>
      <c r="W159" s="563"/>
      <c r="X159" s="563"/>
      <c r="Y159" s="563"/>
      <c r="Z159" s="563"/>
      <c r="AA159" s="816"/>
      <c r="AB159" s="794">
        <f t="shared" si="51"/>
        <v>7700000</v>
      </c>
      <c r="AC159" s="792">
        <f t="shared" si="52"/>
        <v>77000000</v>
      </c>
      <c r="AE159" s="1175">
        <v>361</v>
      </c>
      <c r="AF159" s="1176" t="s">
        <v>531</v>
      </c>
      <c r="AG159" s="1504" t="s">
        <v>579</v>
      </c>
      <c r="AH159" s="1498">
        <f t="shared" si="53"/>
        <v>205</v>
      </c>
      <c r="AI159" s="1177">
        <f>96250000-11550000</f>
        <v>84700000</v>
      </c>
      <c r="AJ159" s="1179">
        <f t="shared" si="54"/>
        <v>0</v>
      </c>
      <c r="AK159" s="1168"/>
    </row>
    <row r="160" spans="1:37" s="735" customFormat="1">
      <c r="A160" s="832" t="s">
        <v>175</v>
      </c>
      <c r="B160" s="808">
        <f t="shared" si="50"/>
        <v>51500000</v>
      </c>
      <c r="C160" s="304" t="s">
        <v>44</v>
      </c>
      <c r="D160" s="305" t="s">
        <v>910</v>
      </c>
      <c r="E160" s="305" t="s">
        <v>153</v>
      </c>
      <c r="F160" s="305" t="s">
        <v>912</v>
      </c>
      <c r="G160" s="306" t="s">
        <v>86</v>
      </c>
      <c r="H160" s="1409">
        <v>362</v>
      </c>
      <c r="I160" s="1172">
        <v>0</v>
      </c>
      <c r="J160" s="845"/>
      <c r="K160" s="801">
        <v>52</v>
      </c>
      <c r="L160" s="222">
        <v>51500000</v>
      </c>
      <c r="M160" s="318">
        <v>97</v>
      </c>
      <c r="N160" s="793">
        <v>51500000</v>
      </c>
      <c r="O160" s="1471">
        <v>67</v>
      </c>
      <c r="P160" s="791"/>
      <c r="Q160" s="563">
        <v>1545000</v>
      </c>
      <c r="R160" s="563">
        <f>VLOOKUP(M160,[5]Hoja2!N$2:T$77,7,0)</f>
        <v>5150000</v>
      </c>
      <c r="S160" s="563"/>
      <c r="T160" s="563"/>
      <c r="U160" s="563"/>
      <c r="V160" s="563"/>
      <c r="W160" s="563"/>
      <c r="X160" s="563"/>
      <c r="Y160" s="563"/>
      <c r="Z160" s="563"/>
      <c r="AA160" s="816"/>
      <c r="AB160" s="794">
        <f t="shared" si="51"/>
        <v>6695000</v>
      </c>
      <c r="AC160" s="792">
        <f t="shared" si="52"/>
        <v>44805000</v>
      </c>
      <c r="AE160" s="1175">
        <v>362</v>
      </c>
      <c r="AF160" s="1176" t="s">
        <v>532</v>
      </c>
      <c r="AG160" s="1504" t="s">
        <v>580</v>
      </c>
      <c r="AH160" s="1498">
        <f t="shared" si="53"/>
        <v>67</v>
      </c>
      <c r="AI160" s="1177">
        <v>51500000</v>
      </c>
      <c r="AJ160" s="1179">
        <f t="shared" si="54"/>
        <v>0</v>
      </c>
      <c r="AK160" s="1168"/>
    </row>
    <row r="161" spans="1:37" s="735" customFormat="1">
      <c r="A161" s="832" t="s">
        <v>175</v>
      </c>
      <c r="B161" s="808">
        <f t="shared" si="50"/>
        <v>66000000</v>
      </c>
      <c r="C161" s="304" t="s">
        <v>44</v>
      </c>
      <c r="D161" s="305" t="s">
        <v>910</v>
      </c>
      <c r="E161" s="305" t="s">
        <v>153</v>
      </c>
      <c r="F161" s="305" t="s">
        <v>912</v>
      </c>
      <c r="G161" s="306" t="s">
        <v>86</v>
      </c>
      <c r="H161" s="1409">
        <v>363</v>
      </c>
      <c r="I161" s="1172">
        <v>0</v>
      </c>
      <c r="J161" s="845"/>
      <c r="K161" s="801">
        <v>210</v>
      </c>
      <c r="L161" s="222">
        <v>66000000</v>
      </c>
      <c r="M161" s="318">
        <v>238</v>
      </c>
      <c r="N161" s="793">
        <v>66000000</v>
      </c>
      <c r="O161" s="1471">
        <v>224</v>
      </c>
      <c r="P161" s="791"/>
      <c r="Q161" s="563"/>
      <c r="R161" s="563">
        <f>VLOOKUP(M161,[5]Hoja2!N$2:T$77,7,0)</f>
        <v>5500000</v>
      </c>
      <c r="S161" s="563"/>
      <c r="T161" s="563"/>
      <c r="U161" s="563"/>
      <c r="V161" s="563"/>
      <c r="W161" s="563"/>
      <c r="X161" s="563"/>
      <c r="Y161" s="563"/>
      <c r="Z161" s="563"/>
      <c r="AA161" s="816"/>
      <c r="AB161" s="794">
        <f t="shared" si="51"/>
        <v>5500000</v>
      </c>
      <c r="AC161" s="792">
        <f t="shared" si="52"/>
        <v>60500000</v>
      </c>
      <c r="AE161" s="1175">
        <v>363</v>
      </c>
      <c r="AF161" s="1176" t="s">
        <v>533</v>
      </c>
      <c r="AG161" s="1504" t="s">
        <v>800</v>
      </c>
      <c r="AH161" s="1498">
        <f t="shared" si="53"/>
        <v>224</v>
      </c>
      <c r="AI161" s="1177">
        <v>66000000</v>
      </c>
      <c r="AJ161" s="1179">
        <f t="shared" si="54"/>
        <v>0</v>
      </c>
      <c r="AK161" s="1168"/>
    </row>
    <row r="162" spans="1:37" s="735" customFormat="1">
      <c r="A162" s="832" t="s">
        <v>175</v>
      </c>
      <c r="B162" s="808">
        <f t="shared" si="50"/>
        <v>0</v>
      </c>
      <c r="C162" s="304" t="s">
        <v>44</v>
      </c>
      <c r="D162" s="305" t="s">
        <v>910</v>
      </c>
      <c r="E162" s="305" t="s">
        <v>153</v>
      </c>
      <c r="F162" s="305" t="s">
        <v>912</v>
      </c>
      <c r="G162" s="306" t="s">
        <v>86</v>
      </c>
      <c r="H162" s="1409">
        <v>364</v>
      </c>
      <c r="I162" s="1172">
        <v>0</v>
      </c>
      <c r="J162" s="845"/>
      <c r="K162" s="801"/>
      <c r="L162" s="846"/>
      <c r="M162" s="1433"/>
      <c r="N162" s="793"/>
      <c r="O162" s="1471"/>
      <c r="P162" s="791"/>
      <c r="Q162" s="563"/>
      <c r="R162" s="563"/>
      <c r="S162" s="563"/>
      <c r="T162" s="563"/>
      <c r="U162" s="563"/>
      <c r="V162" s="563"/>
      <c r="W162" s="563"/>
      <c r="X162" s="563"/>
      <c r="Y162" s="563"/>
      <c r="Z162" s="563"/>
      <c r="AA162" s="816"/>
      <c r="AB162" s="794">
        <f t="shared" si="51"/>
        <v>0</v>
      </c>
      <c r="AC162" s="792">
        <f t="shared" si="52"/>
        <v>0</v>
      </c>
      <c r="AE162" s="1175">
        <v>364</v>
      </c>
      <c r="AF162" s="1176" t="s">
        <v>534</v>
      </c>
      <c r="AG162" s="1504" t="s">
        <v>188</v>
      </c>
      <c r="AH162" s="1498">
        <f t="shared" si="53"/>
        <v>0</v>
      </c>
      <c r="AI162" s="1177">
        <v>60636970</v>
      </c>
      <c r="AJ162" s="1179">
        <f t="shared" si="54"/>
        <v>60636970</v>
      </c>
      <c r="AK162" s="1168"/>
    </row>
    <row r="163" spans="1:37" s="735" customFormat="1">
      <c r="A163" s="832" t="s">
        <v>175</v>
      </c>
      <c r="B163" s="808">
        <f t="shared" si="50"/>
        <v>1710800</v>
      </c>
      <c r="C163" s="304" t="s">
        <v>44</v>
      </c>
      <c r="D163" s="305" t="s">
        <v>910</v>
      </c>
      <c r="E163" s="305" t="s">
        <v>153</v>
      </c>
      <c r="F163" s="305" t="s">
        <v>912</v>
      </c>
      <c r="G163" s="306" t="s">
        <v>86</v>
      </c>
      <c r="H163" s="1409" t="s">
        <v>156</v>
      </c>
      <c r="I163" s="1172">
        <v>0</v>
      </c>
      <c r="J163" s="845"/>
      <c r="K163" s="790" t="s">
        <v>873</v>
      </c>
      <c r="L163" s="1609">
        <f>409200+1301600</f>
        <v>1710800</v>
      </c>
      <c r="M163" s="318" t="s">
        <v>874</v>
      </c>
      <c r="N163" s="1609">
        <f>409200+1301600</f>
        <v>1710800</v>
      </c>
      <c r="O163" s="1471" t="s">
        <v>808</v>
      </c>
      <c r="P163" s="791"/>
      <c r="Q163" s="1609">
        <v>409200</v>
      </c>
      <c r="R163" s="563">
        <v>1301600</v>
      </c>
      <c r="S163" s="563"/>
      <c r="T163" s="563"/>
      <c r="U163" s="563"/>
      <c r="V163" s="563"/>
      <c r="W163" s="563"/>
      <c r="X163" s="563"/>
      <c r="Y163" s="563"/>
      <c r="Z163" s="563"/>
      <c r="AA163" s="816"/>
      <c r="AB163" s="794">
        <f t="shared" si="51"/>
        <v>1710800</v>
      </c>
      <c r="AC163" s="792">
        <f t="shared" si="52"/>
        <v>0</v>
      </c>
      <c r="AE163" s="1175" t="s">
        <v>156</v>
      </c>
      <c r="AF163" s="1176" t="s">
        <v>197</v>
      </c>
      <c r="AG163" s="1504" t="s">
        <v>188</v>
      </c>
      <c r="AH163" s="1498" t="str">
        <f t="shared" si="53"/>
        <v>ARL</v>
      </c>
      <c r="AI163" s="1177">
        <v>12301663</v>
      </c>
      <c r="AJ163" s="1179">
        <f t="shared" si="54"/>
        <v>10590863</v>
      </c>
      <c r="AK163" s="1168"/>
    </row>
    <row r="164" spans="1:37" s="735" customFormat="1">
      <c r="A164" s="832" t="s">
        <v>175</v>
      </c>
      <c r="B164" s="808">
        <f t="shared" si="50"/>
        <v>0</v>
      </c>
      <c r="C164" s="304" t="s">
        <v>44</v>
      </c>
      <c r="D164" s="305" t="s">
        <v>910</v>
      </c>
      <c r="E164" s="305" t="s">
        <v>153</v>
      </c>
      <c r="F164" s="305" t="s">
        <v>912</v>
      </c>
      <c r="G164" s="306" t="s">
        <v>86</v>
      </c>
      <c r="H164" s="1410" t="s">
        <v>188</v>
      </c>
      <c r="I164" s="1172">
        <v>0</v>
      </c>
      <c r="J164" s="845"/>
      <c r="K164" s="1171"/>
      <c r="L164" s="846"/>
      <c r="M164" s="1433"/>
      <c r="N164" s="793"/>
      <c r="O164" s="1471"/>
      <c r="P164" s="791"/>
      <c r="Q164" s="563"/>
      <c r="R164" s="563"/>
      <c r="S164" s="563"/>
      <c r="T164" s="563"/>
      <c r="U164" s="563"/>
      <c r="V164" s="563"/>
      <c r="W164" s="563"/>
      <c r="X164" s="563"/>
      <c r="Y164" s="563"/>
      <c r="Z164" s="563"/>
      <c r="AA164" s="816"/>
      <c r="AB164" s="794">
        <f t="shared" si="51"/>
        <v>0</v>
      </c>
      <c r="AC164" s="792">
        <f t="shared" si="52"/>
        <v>0</v>
      </c>
      <c r="AE164" s="1175"/>
      <c r="AF164" s="1176"/>
      <c r="AG164" s="1504" t="s">
        <v>188</v>
      </c>
      <c r="AH164" s="1498">
        <f t="shared" si="53"/>
        <v>0</v>
      </c>
      <c r="AI164" s="1177"/>
      <c r="AJ164" s="1179">
        <f t="shared" si="54"/>
        <v>0</v>
      </c>
      <c r="AK164" s="1168"/>
    </row>
    <row r="165" spans="1:37" s="735" customFormat="1">
      <c r="A165" s="832" t="s">
        <v>175</v>
      </c>
      <c r="B165" s="808">
        <f t="shared" si="50"/>
        <v>0</v>
      </c>
      <c r="C165" s="304" t="s">
        <v>44</v>
      </c>
      <c r="D165" s="305" t="s">
        <v>910</v>
      </c>
      <c r="E165" s="305" t="s">
        <v>153</v>
      </c>
      <c r="F165" s="305" t="s">
        <v>912</v>
      </c>
      <c r="G165" s="306" t="s">
        <v>86</v>
      </c>
      <c r="H165" s="1410" t="s">
        <v>188</v>
      </c>
      <c r="I165" s="1172">
        <v>0</v>
      </c>
      <c r="J165" s="845"/>
      <c r="K165" s="1171"/>
      <c r="L165" s="846"/>
      <c r="M165" s="1433"/>
      <c r="N165" s="793"/>
      <c r="O165" s="1471"/>
      <c r="P165" s="791"/>
      <c r="Q165" s="563"/>
      <c r="R165" s="563"/>
      <c r="S165" s="563"/>
      <c r="T165" s="563"/>
      <c r="U165" s="563"/>
      <c r="V165" s="563"/>
      <c r="W165" s="563"/>
      <c r="X165" s="563"/>
      <c r="Y165" s="563"/>
      <c r="Z165" s="563"/>
      <c r="AA165" s="816"/>
      <c r="AB165" s="794">
        <f t="shared" si="51"/>
        <v>0</v>
      </c>
      <c r="AC165" s="792">
        <f t="shared" si="52"/>
        <v>0</v>
      </c>
      <c r="AE165" s="1175"/>
      <c r="AF165" s="1176"/>
      <c r="AG165" s="1504" t="s">
        <v>188</v>
      </c>
      <c r="AH165" s="1498">
        <f t="shared" si="53"/>
        <v>0</v>
      </c>
      <c r="AI165" s="1177"/>
      <c r="AJ165" s="1179">
        <f t="shared" si="54"/>
        <v>0</v>
      </c>
      <c r="AK165" s="1168"/>
    </row>
    <row r="166" spans="1:37" s="786" customFormat="1">
      <c r="A166" s="832" t="s">
        <v>175</v>
      </c>
      <c r="B166" s="808">
        <f t="shared" si="50"/>
        <v>0</v>
      </c>
      <c r="C166" s="304" t="s">
        <v>44</v>
      </c>
      <c r="D166" s="305" t="s">
        <v>910</v>
      </c>
      <c r="E166" s="305" t="s">
        <v>153</v>
      </c>
      <c r="F166" s="305" t="s">
        <v>912</v>
      </c>
      <c r="G166" s="306" t="s">
        <v>86</v>
      </c>
      <c r="H166" s="1410" t="s">
        <v>188</v>
      </c>
      <c r="I166" s="788">
        <v>0</v>
      </c>
      <c r="J166" s="789"/>
      <c r="K166" s="790"/>
      <c r="L166" s="222"/>
      <c r="M166" s="790"/>
      <c r="N166" s="793"/>
      <c r="O166" s="1471"/>
      <c r="P166" s="791"/>
      <c r="Q166" s="563"/>
      <c r="R166" s="563"/>
      <c r="S166" s="563"/>
      <c r="T166" s="563"/>
      <c r="U166" s="563"/>
      <c r="V166" s="563"/>
      <c r="W166" s="563"/>
      <c r="X166" s="563"/>
      <c r="Y166" s="563"/>
      <c r="Z166" s="563"/>
      <c r="AA166" s="816"/>
      <c r="AB166" s="794">
        <f>SUM(P166:AA166)</f>
        <v>0</v>
      </c>
      <c r="AC166" s="792">
        <f t="shared" si="52"/>
        <v>0</v>
      </c>
      <c r="AE166" s="1175"/>
      <c r="AF166" s="1176"/>
      <c r="AG166" s="1504" t="s">
        <v>188</v>
      </c>
      <c r="AH166" s="1498">
        <f t="shared" si="53"/>
        <v>0</v>
      </c>
      <c r="AI166" s="1177"/>
      <c r="AJ166" s="1179">
        <f t="shared" si="54"/>
        <v>0</v>
      </c>
      <c r="AK166" s="1168"/>
    </row>
    <row r="167" spans="1:37" s="735" customFormat="1" ht="12">
      <c r="A167" s="795" t="s">
        <v>87</v>
      </c>
      <c r="B167" s="796">
        <f>B144-SUM(B145:B166)</f>
        <v>388579200</v>
      </c>
      <c r="C167" s="797"/>
      <c r="D167" s="802"/>
      <c r="E167" s="802"/>
      <c r="F167" s="802"/>
      <c r="G167" s="803"/>
      <c r="H167" s="1413"/>
      <c r="I167" s="812"/>
      <c r="J167" s="813"/>
      <c r="K167" s="814"/>
      <c r="L167" s="769">
        <f>SUM(L145:L166)</f>
        <v>614420800</v>
      </c>
      <c r="M167" s="119"/>
      <c r="N167" s="769">
        <f>SUM(N145:N166)</f>
        <v>602870800</v>
      </c>
      <c r="O167" s="1472"/>
      <c r="P167" s="769">
        <f>SUM(P145:P166)</f>
        <v>0</v>
      </c>
      <c r="Q167" s="769">
        <f>SUM(Q145:Q166)</f>
        <v>9206201</v>
      </c>
      <c r="R167" s="769">
        <f t="shared" ref="R167:AC167" si="55">SUM(R145:R166)</f>
        <v>48060267</v>
      </c>
      <c r="S167" s="769">
        <f t="shared" si="55"/>
        <v>0</v>
      </c>
      <c r="T167" s="769">
        <f t="shared" si="55"/>
        <v>0</v>
      </c>
      <c r="U167" s="769">
        <f t="shared" si="55"/>
        <v>0</v>
      </c>
      <c r="V167" s="769">
        <f t="shared" si="55"/>
        <v>0</v>
      </c>
      <c r="W167" s="769">
        <f t="shared" si="55"/>
        <v>0</v>
      </c>
      <c r="X167" s="769">
        <f t="shared" si="55"/>
        <v>0</v>
      </c>
      <c r="Y167" s="769">
        <f t="shared" si="55"/>
        <v>0</v>
      </c>
      <c r="Z167" s="769">
        <f t="shared" si="55"/>
        <v>0</v>
      </c>
      <c r="AA167" s="769">
        <f t="shared" si="55"/>
        <v>0</v>
      </c>
      <c r="AB167" s="769">
        <f t="shared" si="55"/>
        <v>57266468</v>
      </c>
      <c r="AC167" s="769">
        <f t="shared" si="55"/>
        <v>545604332</v>
      </c>
      <c r="AE167" s="1180">
        <f t="shared" ref="AE167:AJ167" si="56">SUM(AE145:AE166)</f>
        <v>6361</v>
      </c>
      <c r="AF167" s="15">
        <f t="shared" si="56"/>
        <v>0</v>
      </c>
      <c r="AG167" s="15">
        <f t="shared" si="56"/>
        <v>0</v>
      </c>
      <c r="AH167" s="1496">
        <f t="shared" si="56"/>
        <v>1915</v>
      </c>
      <c r="AI167" s="15">
        <f t="shared" si="56"/>
        <v>1003000000</v>
      </c>
      <c r="AJ167" s="206">
        <f t="shared" si="56"/>
        <v>400129200</v>
      </c>
      <c r="AK167" s="1168">
        <f>B144-AI167</f>
        <v>0</v>
      </c>
    </row>
    <row r="168" spans="1:37" s="735" customFormat="1" ht="84">
      <c r="A168" s="1045" t="s">
        <v>180</v>
      </c>
      <c r="B168" s="1069">
        <v>140000000</v>
      </c>
      <c r="C168" s="1042" t="s">
        <v>44</v>
      </c>
      <c r="D168" s="1043" t="s">
        <v>910</v>
      </c>
      <c r="E168" s="1043" t="s">
        <v>153</v>
      </c>
      <c r="F168" s="1043" t="s">
        <v>913</v>
      </c>
      <c r="G168" s="1044" t="s">
        <v>86</v>
      </c>
      <c r="H168" s="1416"/>
      <c r="I168" s="824"/>
      <c r="J168" s="825"/>
      <c r="K168" s="1073"/>
      <c r="L168" s="827"/>
      <c r="M168" s="1432"/>
      <c r="N168" s="828"/>
      <c r="O168" s="1478"/>
      <c r="P168" s="829"/>
      <c r="Q168" s="830"/>
      <c r="R168" s="830"/>
      <c r="S168" s="830"/>
      <c r="T168" s="830"/>
      <c r="U168" s="830"/>
      <c r="V168" s="830"/>
      <c r="W168" s="830"/>
      <c r="X168" s="830"/>
      <c r="Y168" s="830"/>
      <c r="Z168" s="830"/>
      <c r="AA168" s="831"/>
      <c r="AB168" s="829"/>
      <c r="AC168" s="831"/>
      <c r="AE168" s="1643"/>
      <c r="AF168" s="829"/>
      <c r="AG168" s="829"/>
      <c r="AH168" s="829"/>
      <c r="AI168" s="829"/>
      <c r="AJ168" s="1644"/>
      <c r="AK168" s="1168"/>
    </row>
    <row r="169" spans="1:37" s="786" customFormat="1" ht="15">
      <c r="A169" s="832" t="s">
        <v>176</v>
      </c>
      <c r="B169" s="808">
        <f>L169</f>
        <v>0</v>
      </c>
      <c r="C169" s="304" t="s">
        <v>44</v>
      </c>
      <c r="D169" s="305" t="s">
        <v>910</v>
      </c>
      <c r="E169" s="305" t="s">
        <v>153</v>
      </c>
      <c r="F169" s="305" t="s">
        <v>912</v>
      </c>
      <c r="G169" s="306" t="s">
        <v>86</v>
      </c>
      <c r="H169" s="1409">
        <v>365</v>
      </c>
      <c r="I169" s="788">
        <v>0</v>
      </c>
      <c r="J169" s="789"/>
      <c r="K169" s="790"/>
      <c r="L169" s="222"/>
      <c r="M169" s="790"/>
      <c r="N169" s="793"/>
      <c r="O169" s="1471"/>
      <c r="P169" s="791"/>
      <c r="Q169" s="563"/>
      <c r="R169" s="563"/>
      <c r="S169" s="563"/>
      <c r="T169" s="563"/>
      <c r="U169" s="563"/>
      <c r="V169" s="563"/>
      <c r="W169" s="563"/>
      <c r="X169" s="563"/>
      <c r="Y169" s="563"/>
      <c r="Z169" s="563"/>
      <c r="AA169" s="816"/>
      <c r="AB169" s="794">
        <f>SUM(P169:AA169)</f>
        <v>0</v>
      </c>
      <c r="AC169" s="792">
        <f>N169-AB169</f>
        <v>0</v>
      </c>
      <c r="AE169" s="1175">
        <v>365</v>
      </c>
      <c r="AF169" s="1176" t="s">
        <v>524</v>
      </c>
      <c r="AG169" s="1505" t="s">
        <v>188</v>
      </c>
      <c r="AH169" s="1498">
        <f>O169</f>
        <v>0</v>
      </c>
      <c r="AI169" s="1177">
        <v>140000000</v>
      </c>
      <c r="AJ169" s="1179">
        <f>AI169-N169</f>
        <v>140000000</v>
      </c>
      <c r="AK169" s="1168"/>
    </row>
    <row r="170" spans="1:37" s="735" customFormat="1" ht="12">
      <c r="A170" s="795" t="s">
        <v>87</v>
      </c>
      <c r="B170" s="796">
        <f>B168-SUM(B169:B169)</f>
        <v>140000000</v>
      </c>
      <c r="C170" s="797"/>
      <c r="D170" s="802"/>
      <c r="E170" s="802"/>
      <c r="F170" s="802"/>
      <c r="G170" s="803"/>
      <c r="H170" s="1413"/>
      <c r="I170" s="812"/>
      <c r="J170" s="813"/>
      <c r="K170" s="814"/>
      <c r="L170" s="769">
        <f>SUM(L169:L169)</f>
        <v>0</v>
      </c>
      <c r="M170" s="119"/>
      <c r="N170" s="769">
        <f>SUM(N169:N169)</f>
        <v>0</v>
      </c>
      <c r="O170" s="1472"/>
      <c r="P170" s="813">
        <f t="shared" ref="P170:AC170" si="57">SUM(P169:P169)</f>
        <v>0</v>
      </c>
      <c r="Q170" s="769">
        <f t="shared" si="57"/>
        <v>0</v>
      </c>
      <c r="R170" s="769">
        <f t="shared" si="57"/>
        <v>0</v>
      </c>
      <c r="S170" s="769">
        <f t="shared" si="57"/>
        <v>0</v>
      </c>
      <c r="T170" s="769">
        <f t="shared" si="57"/>
        <v>0</v>
      </c>
      <c r="U170" s="769">
        <f t="shared" si="57"/>
        <v>0</v>
      </c>
      <c r="V170" s="769">
        <f t="shared" si="57"/>
        <v>0</v>
      </c>
      <c r="W170" s="769">
        <f t="shared" si="57"/>
        <v>0</v>
      </c>
      <c r="X170" s="769">
        <f t="shared" si="57"/>
        <v>0</v>
      </c>
      <c r="Y170" s="769">
        <f t="shared" si="57"/>
        <v>0</v>
      </c>
      <c r="Z170" s="769">
        <f t="shared" si="57"/>
        <v>0</v>
      </c>
      <c r="AA170" s="815">
        <f t="shared" si="57"/>
        <v>0</v>
      </c>
      <c r="AB170" s="813">
        <f t="shared" si="57"/>
        <v>0</v>
      </c>
      <c r="AC170" s="815">
        <f t="shared" si="57"/>
        <v>0</v>
      </c>
      <c r="AE170" s="1180">
        <f t="shared" ref="AE170:AJ170" si="58">SUM(AE169:AE169)</f>
        <v>365</v>
      </c>
      <c r="AF170" s="15">
        <f t="shared" si="58"/>
        <v>0</v>
      </c>
      <c r="AG170" s="15">
        <f t="shared" si="58"/>
        <v>0</v>
      </c>
      <c r="AH170" s="1496">
        <f t="shared" si="58"/>
        <v>0</v>
      </c>
      <c r="AI170" s="15">
        <f t="shared" si="58"/>
        <v>140000000</v>
      </c>
      <c r="AJ170" s="206">
        <f t="shared" si="58"/>
        <v>140000000</v>
      </c>
      <c r="AK170" s="1168">
        <f>B168-AI170</f>
        <v>0</v>
      </c>
    </row>
    <row r="171" spans="1:37" s="735" customFormat="1" ht="84">
      <c r="A171" s="1045" t="s">
        <v>181</v>
      </c>
      <c r="B171" s="1069">
        <v>2000000000</v>
      </c>
      <c r="C171" s="1042" t="s">
        <v>44</v>
      </c>
      <c r="D171" s="1043" t="s">
        <v>910</v>
      </c>
      <c r="E171" s="1043" t="s">
        <v>153</v>
      </c>
      <c r="F171" s="1043" t="s">
        <v>913</v>
      </c>
      <c r="G171" s="1044" t="s">
        <v>86</v>
      </c>
      <c r="H171" s="1416"/>
      <c r="I171" s="824"/>
      <c r="J171" s="825"/>
      <c r="K171" s="1073"/>
      <c r="L171" s="827"/>
      <c r="M171" s="1432"/>
      <c r="N171" s="828"/>
      <c r="O171" s="1478"/>
      <c r="P171" s="829"/>
      <c r="Q171" s="830"/>
      <c r="R171" s="830"/>
      <c r="S171" s="830"/>
      <c r="T171" s="830"/>
      <c r="U171" s="830"/>
      <c r="V171" s="830"/>
      <c r="W171" s="830"/>
      <c r="X171" s="830"/>
      <c r="Y171" s="830"/>
      <c r="Z171" s="830"/>
      <c r="AA171" s="831"/>
      <c r="AB171" s="829"/>
      <c r="AC171" s="831"/>
      <c r="AE171" s="1643"/>
      <c r="AF171" s="830"/>
      <c r="AG171" s="830"/>
      <c r="AH171" s="830"/>
      <c r="AI171" s="830"/>
      <c r="AJ171" s="831"/>
      <c r="AK171" s="1168"/>
    </row>
    <row r="172" spans="1:37" s="786" customFormat="1" ht="15">
      <c r="A172" s="832" t="s">
        <v>177</v>
      </c>
      <c r="B172" s="808">
        <f>L172</f>
        <v>0</v>
      </c>
      <c r="C172" s="304" t="s">
        <v>44</v>
      </c>
      <c r="D172" s="305" t="s">
        <v>910</v>
      </c>
      <c r="E172" s="305" t="s">
        <v>153</v>
      </c>
      <c r="F172" s="305" t="s">
        <v>912</v>
      </c>
      <c r="G172" s="306" t="s">
        <v>86</v>
      </c>
      <c r="H172" s="1409">
        <v>366</v>
      </c>
      <c r="I172" s="788">
        <v>0</v>
      </c>
      <c r="J172" s="789"/>
      <c r="K172" s="790"/>
      <c r="L172" s="222"/>
      <c r="M172" s="790"/>
      <c r="N172" s="793"/>
      <c r="O172" s="1471"/>
      <c r="P172" s="791"/>
      <c r="Q172" s="563"/>
      <c r="R172" s="563"/>
      <c r="S172" s="563"/>
      <c r="T172" s="563"/>
      <c r="U172" s="563"/>
      <c r="V172" s="563"/>
      <c r="W172" s="563"/>
      <c r="X172" s="563"/>
      <c r="Y172" s="563"/>
      <c r="Z172" s="563"/>
      <c r="AA172" s="816"/>
      <c r="AB172" s="794">
        <f>SUM(P172:AA172)</f>
        <v>0</v>
      </c>
      <c r="AC172" s="792">
        <f>N172-AB172</f>
        <v>0</v>
      </c>
      <c r="AE172" s="1175">
        <v>366</v>
      </c>
      <c r="AF172" s="1176" t="s">
        <v>522</v>
      </c>
      <c r="AG172" s="1505" t="s">
        <v>188</v>
      </c>
      <c r="AH172" s="1498">
        <f>O172</f>
        <v>0</v>
      </c>
      <c r="AI172" s="1177">
        <v>2000000000</v>
      </c>
      <c r="AJ172" s="1179">
        <f>AI172-N172</f>
        <v>2000000000</v>
      </c>
      <c r="AK172" s="1168"/>
    </row>
    <row r="173" spans="1:37" s="735" customFormat="1" ht="12">
      <c r="A173" s="795" t="s">
        <v>87</v>
      </c>
      <c r="B173" s="796">
        <f>B171-SUM(B172:B172)</f>
        <v>2000000000</v>
      </c>
      <c r="C173" s="797"/>
      <c r="D173" s="802"/>
      <c r="E173" s="802"/>
      <c r="F173" s="802"/>
      <c r="G173" s="803"/>
      <c r="H173" s="1413"/>
      <c r="I173" s="812"/>
      <c r="J173" s="813"/>
      <c r="K173" s="814"/>
      <c r="L173" s="769">
        <f>SUM(L172:L172)</f>
        <v>0</v>
      </c>
      <c r="M173" s="119"/>
      <c r="N173" s="769">
        <f>SUM(N172:N172)</f>
        <v>0</v>
      </c>
      <c r="O173" s="1472"/>
      <c r="P173" s="813">
        <f t="shared" ref="P173:AC173" si="59">SUM(P172:P172)</f>
        <v>0</v>
      </c>
      <c r="Q173" s="769">
        <f t="shared" si="59"/>
        <v>0</v>
      </c>
      <c r="R173" s="769">
        <f t="shared" si="59"/>
        <v>0</v>
      </c>
      <c r="S173" s="769">
        <f t="shared" si="59"/>
        <v>0</v>
      </c>
      <c r="T173" s="769">
        <f t="shared" si="59"/>
        <v>0</v>
      </c>
      <c r="U173" s="769">
        <f t="shared" si="59"/>
        <v>0</v>
      </c>
      <c r="V173" s="769">
        <f t="shared" si="59"/>
        <v>0</v>
      </c>
      <c r="W173" s="769">
        <f t="shared" si="59"/>
        <v>0</v>
      </c>
      <c r="X173" s="769">
        <f t="shared" si="59"/>
        <v>0</v>
      </c>
      <c r="Y173" s="769">
        <f t="shared" si="59"/>
        <v>0</v>
      </c>
      <c r="Z173" s="769">
        <f t="shared" si="59"/>
        <v>0</v>
      </c>
      <c r="AA173" s="815">
        <f t="shared" si="59"/>
        <v>0</v>
      </c>
      <c r="AB173" s="813">
        <f t="shared" si="59"/>
        <v>0</v>
      </c>
      <c r="AC173" s="815">
        <f t="shared" si="59"/>
        <v>0</v>
      </c>
      <c r="AE173" s="1180">
        <f t="shared" ref="AE173:AJ173" si="60">SUM(AE172:AE172)</f>
        <v>366</v>
      </c>
      <c r="AF173" s="15">
        <f t="shared" si="60"/>
        <v>0</v>
      </c>
      <c r="AG173" s="15">
        <f t="shared" si="60"/>
        <v>0</v>
      </c>
      <c r="AH173" s="1496">
        <f t="shared" si="60"/>
        <v>0</v>
      </c>
      <c r="AI173" s="15">
        <f t="shared" si="60"/>
        <v>2000000000</v>
      </c>
      <c r="AJ173" s="206">
        <f t="shared" si="60"/>
        <v>2000000000</v>
      </c>
      <c r="AK173" s="1168">
        <f>B171-AI173</f>
        <v>0</v>
      </c>
    </row>
    <row r="174" spans="1:37" s="735" customFormat="1" ht="84">
      <c r="A174" s="1045" t="s">
        <v>182</v>
      </c>
      <c r="B174" s="1069">
        <v>100000000</v>
      </c>
      <c r="C174" s="1042" t="s">
        <v>44</v>
      </c>
      <c r="D174" s="1043" t="s">
        <v>910</v>
      </c>
      <c r="E174" s="1043" t="s">
        <v>153</v>
      </c>
      <c r="F174" s="1043" t="s">
        <v>913</v>
      </c>
      <c r="G174" s="1044" t="s">
        <v>86</v>
      </c>
      <c r="H174" s="1416"/>
      <c r="I174" s="824"/>
      <c r="J174" s="825"/>
      <c r="K174" s="1073"/>
      <c r="L174" s="827"/>
      <c r="M174" s="1432"/>
      <c r="N174" s="828"/>
      <c r="O174" s="1478"/>
      <c r="P174" s="829"/>
      <c r="Q174" s="830"/>
      <c r="R174" s="830"/>
      <c r="S174" s="830"/>
      <c r="T174" s="830"/>
      <c r="U174" s="830"/>
      <c r="V174" s="830"/>
      <c r="W174" s="830"/>
      <c r="X174" s="830"/>
      <c r="Y174" s="830"/>
      <c r="Z174" s="830"/>
      <c r="AA174" s="831"/>
      <c r="AB174" s="829"/>
      <c r="AC174" s="831"/>
      <c r="AE174" s="1643"/>
      <c r="AF174" s="830"/>
      <c r="AG174" s="830"/>
      <c r="AH174" s="830"/>
      <c r="AI174" s="830"/>
      <c r="AJ174" s="831"/>
      <c r="AK174" s="1168"/>
    </row>
    <row r="175" spans="1:37" s="786" customFormat="1" ht="15">
      <c r="A175" s="832" t="s">
        <v>177</v>
      </c>
      <c r="B175" s="808">
        <f>L175</f>
        <v>0</v>
      </c>
      <c r="C175" s="304" t="s">
        <v>44</v>
      </c>
      <c r="D175" s="305" t="s">
        <v>910</v>
      </c>
      <c r="E175" s="305" t="s">
        <v>153</v>
      </c>
      <c r="F175" s="305" t="s">
        <v>912</v>
      </c>
      <c r="G175" s="306" t="s">
        <v>86</v>
      </c>
      <c r="H175" s="1409">
        <v>367</v>
      </c>
      <c r="I175" s="788">
        <v>0</v>
      </c>
      <c r="J175" s="789"/>
      <c r="K175" s="790"/>
      <c r="L175" s="222"/>
      <c r="M175" s="790"/>
      <c r="N175" s="793"/>
      <c r="O175" s="1471"/>
      <c r="P175" s="791"/>
      <c r="Q175" s="563"/>
      <c r="R175" s="563"/>
      <c r="S175" s="563"/>
      <c r="T175" s="563"/>
      <c r="U175" s="563"/>
      <c r="V175" s="563"/>
      <c r="W175" s="563"/>
      <c r="X175" s="563"/>
      <c r="Y175" s="563"/>
      <c r="Z175" s="563"/>
      <c r="AA175" s="816"/>
      <c r="AB175" s="794">
        <f>SUM(P175:AA175)</f>
        <v>0</v>
      </c>
      <c r="AC175" s="792">
        <f>N175-AB175</f>
        <v>0</v>
      </c>
      <c r="AE175" s="1175">
        <v>367</v>
      </c>
      <c r="AF175" s="1176" t="s">
        <v>523</v>
      </c>
      <c r="AG175" s="1505" t="s">
        <v>188</v>
      </c>
      <c r="AH175" s="1498">
        <f>O175</f>
        <v>0</v>
      </c>
      <c r="AI175" s="1177">
        <v>100000000</v>
      </c>
      <c r="AJ175" s="1179">
        <f>AI175-N175</f>
        <v>100000000</v>
      </c>
      <c r="AK175" s="1168"/>
    </row>
    <row r="176" spans="1:37" s="735" customFormat="1" ht="12">
      <c r="A176" s="795" t="s">
        <v>87</v>
      </c>
      <c r="B176" s="796">
        <f>B174-SUM(B175:B175)</f>
        <v>100000000</v>
      </c>
      <c r="C176" s="797"/>
      <c r="D176" s="802"/>
      <c r="E176" s="802"/>
      <c r="F176" s="802"/>
      <c r="G176" s="803"/>
      <c r="H176" s="1413"/>
      <c r="I176" s="812"/>
      <c r="J176" s="813"/>
      <c r="K176" s="814"/>
      <c r="L176" s="769">
        <f>SUM(L175:L175)</f>
        <v>0</v>
      </c>
      <c r="M176" s="119"/>
      <c r="N176" s="769">
        <f>SUM(N175:N175)</f>
        <v>0</v>
      </c>
      <c r="O176" s="1472"/>
      <c r="P176" s="813">
        <f t="shared" ref="P176:AC176" si="61">SUM(P175:P175)</f>
        <v>0</v>
      </c>
      <c r="Q176" s="769">
        <f t="shared" si="61"/>
        <v>0</v>
      </c>
      <c r="R176" s="769">
        <f t="shared" si="61"/>
        <v>0</v>
      </c>
      <c r="S176" s="769">
        <f t="shared" si="61"/>
        <v>0</v>
      </c>
      <c r="T176" s="769">
        <f t="shared" si="61"/>
        <v>0</v>
      </c>
      <c r="U176" s="769">
        <f t="shared" si="61"/>
        <v>0</v>
      </c>
      <c r="V176" s="769">
        <f t="shared" si="61"/>
        <v>0</v>
      </c>
      <c r="W176" s="769">
        <f t="shared" si="61"/>
        <v>0</v>
      </c>
      <c r="X176" s="769">
        <f t="shared" si="61"/>
        <v>0</v>
      </c>
      <c r="Y176" s="769">
        <f t="shared" si="61"/>
        <v>0</v>
      </c>
      <c r="Z176" s="769">
        <f t="shared" si="61"/>
        <v>0</v>
      </c>
      <c r="AA176" s="815">
        <f t="shared" si="61"/>
        <v>0</v>
      </c>
      <c r="AB176" s="813">
        <f t="shared" si="61"/>
        <v>0</v>
      </c>
      <c r="AC176" s="815">
        <f t="shared" si="61"/>
        <v>0</v>
      </c>
      <c r="AE176" s="1180">
        <f t="shared" ref="AE176:AJ176" si="62">SUM(AE175:AE175)</f>
        <v>367</v>
      </c>
      <c r="AF176" s="15">
        <f t="shared" si="62"/>
        <v>0</v>
      </c>
      <c r="AG176" s="15">
        <f t="shared" si="62"/>
        <v>0</v>
      </c>
      <c r="AH176" s="1496">
        <f t="shared" si="62"/>
        <v>0</v>
      </c>
      <c r="AI176" s="15">
        <f t="shared" si="62"/>
        <v>100000000</v>
      </c>
      <c r="AJ176" s="206">
        <f t="shared" si="62"/>
        <v>100000000</v>
      </c>
      <c r="AK176" s="1168">
        <f>B174-AI176</f>
        <v>0</v>
      </c>
    </row>
    <row r="177" spans="1:37" s="735" customFormat="1" ht="12">
      <c r="A177" s="833" t="s">
        <v>187</v>
      </c>
      <c r="B177" s="1070">
        <f>B178+B221</f>
        <v>1954000000</v>
      </c>
      <c r="C177" s="1054"/>
      <c r="D177" s="1054"/>
      <c r="E177" s="1054"/>
      <c r="F177" s="1054"/>
      <c r="G177" s="1083"/>
      <c r="H177" s="1417"/>
      <c r="I177" s="1081"/>
      <c r="J177" s="1077"/>
      <c r="K177" s="1428"/>
      <c r="L177" s="1077"/>
      <c r="M177" s="1428"/>
      <c r="N177" s="1077"/>
      <c r="O177" s="1479"/>
      <c r="P177" s="1081"/>
      <c r="Q177" s="1077"/>
      <c r="R177" s="1077"/>
      <c r="S177" s="1077"/>
      <c r="T177" s="1077"/>
      <c r="U177" s="1077"/>
      <c r="V177" s="1077"/>
      <c r="W177" s="1077"/>
      <c r="X177" s="1077"/>
      <c r="Y177" s="1077"/>
      <c r="Z177" s="1077"/>
      <c r="AA177" s="1079"/>
      <c r="AB177" s="1081"/>
      <c r="AC177" s="1079"/>
      <c r="AE177" s="1645"/>
      <c r="AF177" s="1077"/>
      <c r="AG177" s="1077"/>
      <c r="AH177" s="1077"/>
      <c r="AI177" s="1077"/>
      <c r="AJ177" s="1079"/>
      <c r="AK177" s="1168"/>
    </row>
    <row r="178" spans="1:37" s="786" customFormat="1" ht="57" customHeight="1">
      <c r="A178" s="833" t="s">
        <v>93</v>
      </c>
      <c r="B178" s="1069">
        <v>1828000000</v>
      </c>
      <c r="C178" s="1054" t="s">
        <v>44</v>
      </c>
      <c r="D178" s="1054" t="s">
        <v>911</v>
      </c>
      <c r="E178" s="1054" t="s">
        <v>153</v>
      </c>
      <c r="F178" s="1054" t="s">
        <v>94</v>
      </c>
      <c r="G178" s="1083" t="s">
        <v>86</v>
      </c>
      <c r="H178" s="1417"/>
      <c r="I178" s="1082">
        <v>0</v>
      </c>
      <c r="J178" s="1078"/>
      <c r="K178" s="1429"/>
      <c r="L178" s="1078"/>
      <c r="M178" s="1429"/>
      <c r="N178" s="1078"/>
      <c r="O178" s="1480"/>
      <c r="P178" s="1082"/>
      <c r="Q178" s="1078"/>
      <c r="R178" s="1078"/>
      <c r="S178" s="1078"/>
      <c r="T178" s="1078"/>
      <c r="U178" s="1078"/>
      <c r="V178" s="1078"/>
      <c r="W178" s="1078"/>
      <c r="X178" s="1078"/>
      <c r="Y178" s="1078"/>
      <c r="Z178" s="1078"/>
      <c r="AA178" s="1080"/>
      <c r="AB178" s="1082"/>
      <c r="AC178" s="1080"/>
      <c r="AE178" s="1646"/>
      <c r="AF178" s="1078"/>
      <c r="AG178" s="1078"/>
      <c r="AH178" s="1078"/>
      <c r="AI178" s="1078"/>
      <c r="AJ178" s="1080"/>
      <c r="AK178" s="1168"/>
    </row>
    <row r="179" spans="1:37" s="786" customFormat="1">
      <c r="A179" s="834" t="s">
        <v>93</v>
      </c>
      <c r="B179" s="570">
        <f>L179</f>
        <v>32450000</v>
      </c>
      <c r="C179" s="835" t="s">
        <v>44</v>
      </c>
      <c r="D179" s="835" t="s">
        <v>911</v>
      </c>
      <c r="E179" s="835" t="s">
        <v>153</v>
      </c>
      <c r="F179" s="835" t="s">
        <v>94</v>
      </c>
      <c r="G179" s="1084" t="s">
        <v>86</v>
      </c>
      <c r="H179" s="1409">
        <v>272</v>
      </c>
      <c r="I179" s="788">
        <v>0</v>
      </c>
      <c r="J179" s="789"/>
      <c r="K179" s="801">
        <v>93</v>
      </c>
      <c r="L179" s="222">
        <v>32450000</v>
      </c>
      <c r="M179" s="318">
        <v>104</v>
      </c>
      <c r="N179" s="793">
        <v>32450000</v>
      </c>
      <c r="O179" s="1471">
        <v>64</v>
      </c>
      <c r="P179" s="791"/>
      <c r="Q179" s="563">
        <v>885000</v>
      </c>
      <c r="R179" s="563">
        <f>VLOOKUP(M179,[5]Hoja2!N$2:T$77,7,0)</f>
        <v>2950000</v>
      </c>
      <c r="S179" s="563"/>
      <c r="T179" s="563"/>
      <c r="U179" s="563"/>
      <c r="V179" s="563"/>
      <c r="W179" s="563"/>
      <c r="X179" s="563"/>
      <c r="Y179" s="563"/>
      <c r="Z179" s="563"/>
      <c r="AA179" s="816"/>
      <c r="AB179" s="794">
        <f t="shared" ref="AB179:AB218" si="63">SUM(P179:AA179)</f>
        <v>3835000</v>
      </c>
      <c r="AC179" s="792">
        <f t="shared" ref="AC179:AC218" si="64">N179-AB179</f>
        <v>28615000</v>
      </c>
      <c r="AE179" s="1175">
        <v>272</v>
      </c>
      <c r="AF179" s="1176" t="s">
        <v>218</v>
      </c>
      <c r="AG179" s="1504" t="s">
        <v>581</v>
      </c>
      <c r="AH179" s="1498">
        <f t="shared" ref="AH179:AH219" si="65">O179</f>
        <v>64</v>
      </c>
      <c r="AI179" s="1177">
        <v>32450000</v>
      </c>
      <c r="AJ179" s="1179">
        <f t="shared" ref="AJ179:AJ219" si="66">AI179-N179</f>
        <v>0</v>
      </c>
      <c r="AK179" s="1168"/>
    </row>
    <row r="180" spans="1:37" s="786" customFormat="1">
      <c r="A180" s="834" t="s">
        <v>93</v>
      </c>
      <c r="B180" s="570">
        <f t="shared" ref="B180:B218" si="67">L180</f>
        <v>33200000</v>
      </c>
      <c r="C180" s="835" t="s">
        <v>44</v>
      </c>
      <c r="D180" s="835" t="s">
        <v>911</v>
      </c>
      <c r="E180" s="835" t="s">
        <v>153</v>
      </c>
      <c r="F180" s="835" t="s">
        <v>94</v>
      </c>
      <c r="G180" s="1084" t="s">
        <v>86</v>
      </c>
      <c r="H180" s="1409">
        <v>273</v>
      </c>
      <c r="I180" s="788">
        <v>1</v>
      </c>
      <c r="J180" s="789"/>
      <c r="K180" s="801">
        <v>94</v>
      </c>
      <c r="L180" s="222">
        <v>33200000</v>
      </c>
      <c r="M180" s="318">
        <v>63</v>
      </c>
      <c r="N180" s="793">
        <v>33200000</v>
      </c>
      <c r="O180" s="1471">
        <v>73</v>
      </c>
      <c r="P180" s="791"/>
      <c r="Q180" s="563">
        <v>1106667</v>
      </c>
      <c r="R180" s="563">
        <f>VLOOKUP(M180,[5]Hoja2!N$2:T$77,7,0)</f>
        <v>3320000</v>
      </c>
      <c r="S180" s="563"/>
      <c r="T180" s="563"/>
      <c r="U180" s="563"/>
      <c r="V180" s="563"/>
      <c r="W180" s="563"/>
      <c r="X180" s="563"/>
      <c r="Y180" s="563"/>
      <c r="Z180" s="563"/>
      <c r="AA180" s="816"/>
      <c r="AB180" s="794">
        <f t="shared" si="63"/>
        <v>4426667</v>
      </c>
      <c r="AC180" s="792">
        <f t="shared" si="64"/>
        <v>28773333</v>
      </c>
      <c r="AE180" s="1175">
        <v>273</v>
      </c>
      <c r="AF180" s="1176" t="s">
        <v>219</v>
      </c>
      <c r="AG180" s="1504" t="s">
        <v>582</v>
      </c>
      <c r="AH180" s="1498">
        <f t="shared" si="65"/>
        <v>73</v>
      </c>
      <c r="AI180" s="1177">
        <v>33200000</v>
      </c>
      <c r="AJ180" s="1179">
        <f t="shared" si="66"/>
        <v>0</v>
      </c>
      <c r="AK180" s="1168"/>
    </row>
    <row r="181" spans="1:37" s="786" customFormat="1">
      <c r="A181" s="834" t="s">
        <v>93</v>
      </c>
      <c r="B181" s="570">
        <f t="shared" si="67"/>
        <v>66000000</v>
      </c>
      <c r="C181" s="835" t="s">
        <v>44</v>
      </c>
      <c r="D181" s="835" t="s">
        <v>911</v>
      </c>
      <c r="E181" s="835" t="s">
        <v>153</v>
      </c>
      <c r="F181" s="835" t="s">
        <v>94</v>
      </c>
      <c r="G181" s="1084" t="s">
        <v>86</v>
      </c>
      <c r="H181" s="1409">
        <v>274</v>
      </c>
      <c r="I181" s="788">
        <v>2</v>
      </c>
      <c r="J181" s="789"/>
      <c r="K181" s="801">
        <v>310</v>
      </c>
      <c r="L181" s="222">
        <v>66000000</v>
      </c>
      <c r="M181" s="790">
        <v>311</v>
      </c>
      <c r="N181" s="837">
        <v>66000000</v>
      </c>
      <c r="O181" s="1471">
        <v>265</v>
      </c>
      <c r="P181" s="791"/>
      <c r="Q181" s="563"/>
      <c r="R181" s="563">
        <f>VLOOKUP(M181,[5]Hoja2!N$2:T$77,7,0)</f>
        <v>1320000</v>
      </c>
      <c r="S181" s="563"/>
      <c r="T181" s="563"/>
      <c r="U181" s="563"/>
      <c r="V181" s="563"/>
      <c r="W181" s="563"/>
      <c r="X181" s="563"/>
      <c r="Y181" s="563"/>
      <c r="Z181" s="563"/>
      <c r="AA181" s="816"/>
      <c r="AB181" s="794">
        <f t="shared" si="63"/>
        <v>1320000</v>
      </c>
      <c r="AC181" s="792">
        <f t="shared" si="64"/>
        <v>64680000</v>
      </c>
      <c r="AE181" s="1175">
        <v>274</v>
      </c>
      <c r="AF181" s="1176" t="s">
        <v>540</v>
      </c>
      <c r="AG181" s="1504" t="s">
        <v>841</v>
      </c>
      <c r="AH181" s="1498">
        <f t="shared" si="65"/>
        <v>265</v>
      </c>
      <c r="AI181" s="1177">
        <v>66000000</v>
      </c>
      <c r="AJ181" s="1179">
        <f t="shared" si="66"/>
        <v>0</v>
      </c>
      <c r="AK181" s="1168"/>
    </row>
    <row r="182" spans="1:37" s="786" customFormat="1" ht="15">
      <c r="A182" s="834" t="s">
        <v>93</v>
      </c>
      <c r="B182" s="570">
        <f t="shared" si="67"/>
        <v>0</v>
      </c>
      <c r="C182" s="835" t="s">
        <v>44</v>
      </c>
      <c r="D182" s="835" t="s">
        <v>911</v>
      </c>
      <c r="E182" s="835" t="s">
        <v>153</v>
      </c>
      <c r="F182" s="835" t="s">
        <v>94</v>
      </c>
      <c r="G182" s="1084" t="s">
        <v>86</v>
      </c>
      <c r="H182" s="1409">
        <v>275</v>
      </c>
      <c r="I182" s="788">
        <v>3</v>
      </c>
      <c r="J182" s="789"/>
      <c r="K182" s="801"/>
      <c r="L182" s="222"/>
      <c r="M182" s="790"/>
      <c r="N182" s="837"/>
      <c r="O182" s="1471"/>
      <c r="P182" s="791"/>
      <c r="Q182" s="563"/>
      <c r="R182" s="563"/>
      <c r="S182" s="563"/>
      <c r="T182" s="563"/>
      <c r="U182" s="563"/>
      <c r="V182" s="563"/>
      <c r="W182" s="563"/>
      <c r="X182" s="563"/>
      <c r="Y182" s="563"/>
      <c r="Z182" s="563"/>
      <c r="AA182" s="816"/>
      <c r="AB182" s="794">
        <f t="shared" si="63"/>
        <v>0</v>
      </c>
      <c r="AC182" s="792">
        <f t="shared" si="64"/>
        <v>0</v>
      </c>
      <c r="AE182" s="1175">
        <v>275</v>
      </c>
      <c r="AF182" s="1176" t="s">
        <v>541</v>
      </c>
      <c r="AG182" s="1505" t="s">
        <v>188</v>
      </c>
      <c r="AH182" s="1498">
        <f t="shared" si="65"/>
        <v>0</v>
      </c>
      <c r="AI182" s="1177">
        <v>43040000</v>
      </c>
      <c r="AJ182" s="1179">
        <f t="shared" si="66"/>
        <v>43040000</v>
      </c>
      <c r="AK182" s="1168"/>
    </row>
    <row r="183" spans="1:37" s="786" customFormat="1">
      <c r="A183" s="834" t="s">
        <v>93</v>
      </c>
      <c r="B183" s="570">
        <f t="shared" si="67"/>
        <v>38400000</v>
      </c>
      <c r="C183" s="835" t="s">
        <v>44</v>
      </c>
      <c r="D183" s="835" t="s">
        <v>911</v>
      </c>
      <c r="E183" s="835" t="s">
        <v>153</v>
      </c>
      <c r="F183" s="835" t="s">
        <v>94</v>
      </c>
      <c r="G183" s="1084" t="s">
        <v>86</v>
      </c>
      <c r="H183" s="1409">
        <v>276</v>
      </c>
      <c r="I183" s="788">
        <v>4</v>
      </c>
      <c r="J183" s="789"/>
      <c r="K183" s="801">
        <v>95</v>
      </c>
      <c r="L183" s="222">
        <v>38400000</v>
      </c>
      <c r="M183" s="318">
        <v>106</v>
      </c>
      <c r="N183" s="793">
        <v>38400000</v>
      </c>
      <c r="O183" s="1471">
        <v>74</v>
      </c>
      <c r="P183" s="791"/>
      <c r="Q183" s="563">
        <v>1440000</v>
      </c>
      <c r="R183" s="563">
        <f>VLOOKUP(M183,[5]Hoja2!N$2:T$77,7,0)</f>
        <v>4800000</v>
      </c>
      <c r="S183" s="563"/>
      <c r="T183" s="563"/>
      <c r="U183" s="563"/>
      <c r="V183" s="563"/>
      <c r="W183" s="563"/>
      <c r="X183" s="563"/>
      <c r="Y183" s="563"/>
      <c r="Z183" s="563"/>
      <c r="AA183" s="816"/>
      <c r="AB183" s="794">
        <f t="shared" si="63"/>
        <v>6240000</v>
      </c>
      <c r="AC183" s="792">
        <f t="shared" si="64"/>
        <v>32160000</v>
      </c>
      <c r="AE183" s="1175">
        <v>276</v>
      </c>
      <c r="AF183" s="1176" t="s">
        <v>220</v>
      </c>
      <c r="AG183" s="1504" t="s">
        <v>583</v>
      </c>
      <c r="AH183" s="1498">
        <f t="shared" si="65"/>
        <v>74</v>
      </c>
      <c r="AI183" s="1177">
        <v>38400000</v>
      </c>
      <c r="AJ183" s="1179">
        <f t="shared" si="66"/>
        <v>0</v>
      </c>
      <c r="AK183" s="1168"/>
    </row>
    <row r="184" spans="1:37" s="786" customFormat="1">
      <c r="A184" s="834" t="s">
        <v>93</v>
      </c>
      <c r="B184" s="570">
        <f t="shared" si="67"/>
        <v>87500000</v>
      </c>
      <c r="C184" s="835" t="s">
        <v>44</v>
      </c>
      <c r="D184" s="835" t="s">
        <v>911</v>
      </c>
      <c r="E184" s="835" t="s">
        <v>153</v>
      </c>
      <c r="F184" s="835" t="s">
        <v>94</v>
      </c>
      <c r="G184" s="1084" t="s">
        <v>86</v>
      </c>
      <c r="H184" s="1409">
        <v>277</v>
      </c>
      <c r="I184" s="788">
        <v>5</v>
      </c>
      <c r="J184" s="789"/>
      <c r="K184" s="801">
        <v>96</v>
      </c>
      <c r="L184" s="222">
        <v>87500000</v>
      </c>
      <c r="M184" s="318">
        <v>71</v>
      </c>
      <c r="N184" s="793">
        <v>87500000</v>
      </c>
      <c r="O184" s="1471">
        <v>75</v>
      </c>
      <c r="P184" s="791"/>
      <c r="Q184" s="563">
        <v>2916667</v>
      </c>
      <c r="R184" s="563"/>
      <c r="S184" s="563"/>
      <c r="T184" s="563"/>
      <c r="U184" s="563"/>
      <c r="V184" s="563"/>
      <c r="W184" s="563"/>
      <c r="X184" s="563"/>
      <c r="Y184" s="563"/>
      <c r="Z184" s="563"/>
      <c r="AA184" s="816"/>
      <c r="AB184" s="794">
        <f t="shared" si="63"/>
        <v>2916667</v>
      </c>
      <c r="AC184" s="792">
        <f t="shared" si="64"/>
        <v>84583333</v>
      </c>
      <c r="AE184" s="1175">
        <v>277</v>
      </c>
      <c r="AF184" s="1176" t="s">
        <v>221</v>
      </c>
      <c r="AG184" s="1504" t="s">
        <v>584</v>
      </c>
      <c r="AH184" s="1498">
        <f t="shared" si="65"/>
        <v>75</v>
      </c>
      <c r="AI184" s="1177">
        <v>87500000</v>
      </c>
      <c r="AJ184" s="1179">
        <f t="shared" si="66"/>
        <v>0</v>
      </c>
      <c r="AK184" s="1168"/>
    </row>
    <row r="185" spans="1:37" s="786" customFormat="1">
      <c r="A185" s="834" t="s">
        <v>93</v>
      </c>
      <c r="B185" s="570">
        <f t="shared" si="67"/>
        <v>32930000</v>
      </c>
      <c r="C185" s="835" t="s">
        <v>44</v>
      </c>
      <c r="D185" s="835" t="s">
        <v>911</v>
      </c>
      <c r="E185" s="835" t="s">
        <v>153</v>
      </c>
      <c r="F185" s="835" t="s">
        <v>94</v>
      </c>
      <c r="G185" s="1084" t="s">
        <v>86</v>
      </c>
      <c r="H185" s="1409">
        <v>278</v>
      </c>
      <c r="I185" s="788">
        <v>6</v>
      </c>
      <c r="J185" s="789"/>
      <c r="K185" s="801">
        <v>361</v>
      </c>
      <c r="L185" s="222">
        <v>32930000</v>
      </c>
      <c r="M185" s="790">
        <v>372</v>
      </c>
      <c r="N185" s="837">
        <v>32930000</v>
      </c>
      <c r="O185" s="1471">
        <v>293</v>
      </c>
      <c r="P185" s="791"/>
      <c r="Q185" s="563"/>
      <c r="R185" s="563"/>
      <c r="S185" s="563"/>
      <c r="T185" s="563"/>
      <c r="U185" s="563"/>
      <c r="V185" s="563"/>
      <c r="W185" s="563"/>
      <c r="X185" s="563"/>
      <c r="Y185" s="563"/>
      <c r="Z185" s="563"/>
      <c r="AA185" s="816"/>
      <c r="AB185" s="794">
        <f t="shared" si="63"/>
        <v>0</v>
      </c>
      <c r="AC185" s="792">
        <f t="shared" si="64"/>
        <v>32930000</v>
      </c>
      <c r="AE185" s="1266">
        <v>278</v>
      </c>
      <c r="AF185" s="1176" t="s">
        <v>830</v>
      </c>
      <c r="AG185" s="1504" t="s">
        <v>884</v>
      </c>
      <c r="AH185" s="1498">
        <f t="shared" si="65"/>
        <v>293</v>
      </c>
      <c r="AI185" s="1267">
        <f>32400000+800000</f>
        <v>33200000</v>
      </c>
      <c r="AJ185" s="1179">
        <f t="shared" si="66"/>
        <v>270000</v>
      </c>
      <c r="AK185" s="1168"/>
    </row>
    <row r="186" spans="1:37" s="786" customFormat="1">
      <c r="A186" s="834" t="s">
        <v>93</v>
      </c>
      <c r="B186" s="570">
        <f t="shared" si="67"/>
        <v>43040000</v>
      </c>
      <c r="C186" s="835" t="s">
        <v>44</v>
      </c>
      <c r="D186" s="835" t="s">
        <v>911</v>
      </c>
      <c r="E186" s="835" t="s">
        <v>153</v>
      </c>
      <c r="F186" s="835" t="s">
        <v>94</v>
      </c>
      <c r="G186" s="1084" t="s">
        <v>86</v>
      </c>
      <c r="H186" s="1409">
        <v>279</v>
      </c>
      <c r="I186" s="788">
        <v>7</v>
      </c>
      <c r="J186" s="789"/>
      <c r="K186" s="801">
        <v>107</v>
      </c>
      <c r="L186" s="222">
        <v>43040000</v>
      </c>
      <c r="M186" s="318">
        <v>114</v>
      </c>
      <c r="N186" s="793">
        <v>43040000</v>
      </c>
      <c r="O186" s="1471">
        <v>102</v>
      </c>
      <c r="P186" s="791"/>
      <c r="Q186" s="563">
        <v>1434667</v>
      </c>
      <c r="R186" s="563">
        <f>VLOOKUP(M186,[5]Hoja2!N$2:T$77,7,0)</f>
        <v>5380000</v>
      </c>
      <c r="S186" s="563"/>
      <c r="T186" s="563"/>
      <c r="U186" s="563"/>
      <c r="V186" s="563"/>
      <c r="W186" s="563"/>
      <c r="X186" s="563"/>
      <c r="Y186" s="563"/>
      <c r="Z186" s="563"/>
      <c r="AA186" s="816"/>
      <c r="AB186" s="794">
        <f t="shared" si="63"/>
        <v>6814667</v>
      </c>
      <c r="AC186" s="792">
        <f t="shared" si="64"/>
        <v>36225333</v>
      </c>
      <c r="AE186" s="1175">
        <v>279</v>
      </c>
      <c r="AF186" s="1176" t="s">
        <v>222</v>
      </c>
      <c r="AG186" s="1504" t="s">
        <v>585</v>
      </c>
      <c r="AH186" s="1498">
        <f t="shared" si="65"/>
        <v>102</v>
      </c>
      <c r="AI186" s="1177">
        <v>43040000</v>
      </c>
      <c r="AJ186" s="1179">
        <f t="shared" si="66"/>
        <v>0</v>
      </c>
      <c r="AK186" s="1168"/>
    </row>
    <row r="187" spans="1:37" s="786" customFormat="1">
      <c r="A187" s="834" t="s">
        <v>93</v>
      </c>
      <c r="B187" s="570">
        <f t="shared" si="67"/>
        <v>43040000</v>
      </c>
      <c r="C187" s="835" t="s">
        <v>44</v>
      </c>
      <c r="D187" s="835" t="s">
        <v>911</v>
      </c>
      <c r="E187" s="835" t="s">
        <v>153</v>
      </c>
      <c r="F187" s="835" t="s">
        <v>94</v>
      </c>
      <c r="G187" s="1084" t="s">
        <v>86</v>
      </c>
      <c r="H187" s="1409">
        <v>280</v>
      </c>
      <c r="I187" s="788">
        <v>8</v>
      </c>
      <c r="J187" s="789"/>
      <c r="K187" s="801">
        <v>108</v>
      </c>
      <c r="L187" s="222">
        <v>43040000</v>
      </c>
      <c r="M187" s="318">
        <v>91</v>
      </c>
      <c r="N187" s="793">
        <v>43040000</v>
      </c>
      <c r="O187" s="1471">
        <v>103</v>
      </c>
      <c r="P187" s="791"/>
      <c r="Q187" s="563">
        <v>1614000</v>
      </c>
      <c r="R187" s="563">
        <f>VLOOKUP(M187,[5]Hoja2!N$2:T$77,7,0)</f>
        <v>5380000</v>
      </c>
      <c r="S187" s="563"/>
      <c r="T187" s="563"/>
      <c r="U187" s="563"/>
      <c r="V187" s="563"/>
      <c r="W187" s="563"/>
      <c r="X187" s="563"/>
      <c r="Y187" s="563"/>
      <c r="Z187" s="563"/>
      <c r="AA187" s="816"/>
      <c r="AB187" s="794">
        <f t="shared" si="63"/>
        <v>6994000</v>
      </c>
      <c r="AC187" s="792">
        <f t="shared" si="64"/>
        <v>36046000</v>
      </c>
      <c r="AE187" s="1175">
        <v>280</v>
      </c>
      <c r="AF187" s="1176" t="s">
        <v>222</v>
      </c>
      <c r="AG187" s="1504" t="s">
        <v>586</v>
      </c>
      <c r="AH187" s="1498">
        <f t="shared" si="65"/>
        <v>103</v>
      </c>
      <c r="AI187" s="1177">
        <v>43040000</v>
      </c>
      <c r="AJ187" s="1179">
        <f t="shared" si="66"/>
        <v>0</v>
      </c>
      <c r="AK187" s="1168"/>
    </row>
    <row r="188" spans="1:37" s="786" customFormat="1">
      <c r="A188" s="834" t="s">
        <v>93</v>
      </c>
      <c r="B188" s="570">
        <f t="shared" si="67"/>
        <v>43040000</v>
      </c>
      <c r="C188" s="835" t="s">
        <v>44</v>
      </c>
      <c r="D188" s="835" t="s">
        <v>911</v>
      </c>
      <c r="E188" s="835" t="s">
        <v>153</v>
      </c>
      <c r="F188" s="835" t="s">
        <v>94</v>
      </c>
      <c r="G188" s="1084" t="s">
        <v>86</v>
      </c>
      <c r="H188" s="1409">
        <v>281</v>
      </c>
      <c r="I188" s="788">
        <v>9</v>
      </c>
      <c r="J188" s="789"/>
      <c r="K188" s="801">
        <v>109</v>
      </c>
      <c r="L188" s="222">
        <v>43040000</v>
      </c>
      <c r="M188" s="318">
        <v>101</v>
      </c>
      <c r="N188" s="793">
        <v>43040000</v>
      </c>
      <c r="O188" s="1471">
        <v>93</v>
      </c>
      <c r="P188" s="791"/>
      <c r="Q188" s="563">
        <v>1793333</v>
      </c>
      <c r="R188" s="563">
        <f>VLOOKUP(M188,[5]Hoja2!N$2:T$77,7,0)</f>
        <v>5380000</v>
      </c>
      <c r="S188" s="563"/>
      <c r="T188" s="563"/>
      <c r="U188" s="563"/>
      <c r="V188" s="563"/>
      <c r="W188" s="563"/>
      <c r="X188" s="563"/>
      <c r="Y188" s="563"/>
      <c r="Z188" s="563"/>
      <c r="AA188" s="816"/>
      <c r="AB188" s="794">
        <f t="shared" si="63"/>
        <v>7173333</v>
      </c>
      <c r="AC188" s="792">
        <f t="shared" si="64"/>
        <v>35866667</v>
      </c>
      <c r="AE188" s="1175">
        <v>281</v>
      </c>
      <c r="AF188" s="1176" t="s">
        <v>222</v>
      </c>
      <c r="AG188" s="1504" t="s">
        <v>587</v>
      </c>
      <c r="AH188" s="1498">
        <f t="shared" si="65"/>
        <v>93</v>
      </c>
      <c r="AI188" s="1177">
        <v>43040000</v>
      </c>
      <c r="AJ188" s="1179">
        <f t="shared" si="66"/>
        <v>0</v>
      </c>
      <c r="AK188" s="1168"/>
    </row>
    <row r="189" spans="1:37" s="786" customFormat="1">
      <c r="A189" s="834" t="s">
        <v>93</v>
      </c>
      <c r="B189" s="570">
        <f t="shared" si="67"/>
        <v>43040000</v>
      </c>
      <c r="C189" s="835" t="s">
        <v>44</v>
      </c>
      <c r="D189" s="835" t="s">
        <v>911</v>
      </c>
      <c r="E189" s="835" t="s">
        <v>153</v>
      </c>
      <c r="F189" s="835" t="s">
        <v>94</v>
      </c>
      <c r="G189" s="1084" t="s">
        <v>86</v>
      </c>
      <c r="H189" s="1409">
        <v>282</v>
      </c>
      <c r="I189" s="788">
        <v>10</v>
      </c>
      <c r="J189" s="789"/>
      <c r="K189" s="801">
        <v>302</v>
      </c>
      <c r="L189" s="222">
        <v>43040000</v>
      </c>
      <c r="M189" s="790">
        <v>310</v>
      </c>
      <c r="N189" s="837">
        <v>43040000</v>
      </c>
      <c r="O189" s="1471">
        <v>266</v>
      </c>
      <c r="P189" s="791"/>
      <c r="Q189" s="563"/>
      <c r="R189" s="563"/>
      <c r="S189" s="563"/>
      <c r="T189" s="563"/>
      <c r="U189" s="563"/>
      <c r="V189" s="563"/>
      <c r="W189" s="563"/>
      <c r="X189" s="563"/>
      <c r="Y189" s="563"/>
      <c r="Z189" s="563"/>
      <c r="AA189" s="816"/>
      <c r="AB189" s="794">
        <f t="shared" si="63"/>
        <v>0</v>
      </c>
      <c r="AC189" s="792">
        <f t="shared" si="64"/>
        <v>43040000</v>
      </c>
      <c r="AE189" s="1175">
        <v>282</v>
      </c>
      <c r="AF189" s="1176" t="s">
        <v>222</v>
      </c>
      <c r="AG189" s="1504" t="s">
        <v>840</v>
      </c>
      <c r="AH189" s="1498">
        <f t="shared" si="65"/>
        <v>266</v>
      </c>
      <c r="AI189" s="1177">
        <v>43040000</v>
      </c>
      <c r="AJ189" s="1179">
        <f t="shared" si="66"/>
        <v>0</v>
      </c>
      <c r="AK189" s="1168"/>
    </row>
    <row r="190" spans="1:37" s="786" customFormat="1">
      <c r="A190" s="834" t="s">
        <v>93</v>
      </c>
      <c r="B190" s="570">
        <f t="shared" si="67"/>
        <v>43040000</v>
      </c>
      <c r="C190" s="835" t="s">
        <v>44</v>
      </c>
      <c r="D190" s="835" t="s">
        <v>911</v>
      </c>
      <c r="E190" s="835" t="s">
        <v>153</v>
      </c>
      <c r="F190" s="835" t="s">
        <v>94</v>
      </c>
      <c r="G190" s="1084" t="s">
        <v>86</v>
      </c>
      <c r="H190" s="1409">
        <v>283</v>
      </c>
      <c r="I190" s="788">
        <v>11</v>
      </c>
      <c r="J190" s="789"/>
      <c r="K190" s="801">
        <v>110</v>
      </c>
      <c r="L190" s="222">
        <v>43040000</v>
      </c>
      <c r="M190" s="318">
        <v>76</v>
      </c>
      <c r="N190" s="793">
        <v>43040000</v>
      </c>
      <c r="O190" s="1471">
        <v>120</v>
      </c>
      <c r="P190" s="791"/>
      <c r="Q190" s="563">
        <v>1434667</v>
      </c>
      <c r="R190" s="563">
        <f>VLOOKUP(M190,[5]Hoja2!N$2:T$77,7,0)</f>
        <v>5380000</v>
      </c>
      <c r="S190" s="563"/>
      <c r="T190" s="563"/>
      <c r="U190" s="563"/>
      <c r="V190" s="563"/>
      <c r="W190" s="563"/>
      <c r="X190" s="563"/>
      <c r="Y190" s="563"/>
      <c r="Z190" s="563"/>
      <c r="AA190" s="816"/>
      <c r="AB190" s="794">
        <f t="shared" si="63"/>
        <v>6814667</v>
      </c>
      <c r="AC190" s="792">
        <f t="shared" si="64"/>
        <v>36225333</v>
      </c>
      <c r="AE190" s="1175">
        <v>283</v>
      </c>
      <c r="AF190" s="1176" t="s">
        <v>222</v>
      </c>
      <c r="AG190" s="1504" t="s">
        <v>588</v>
      </c>
      <c r="AH190" s="1498">
        <f t="shared" si="65"/>
        <v>120</v>
      </c>
      <c r="AI190" s="1177">
        <v>43040000</v>
      </c>
      <c r="AJ190" s="1179">
        <f t="shared" si="66"/>
        <v>0</v>
      </c>
      <c r="AK190" s="1168"/>
    </row>
    <row r="191" spans="1:37" s="786" customFormat="1">
      <c r="A191" s="834" t="s">
        <v>93</v>
      </c>
      <c r="B191" s="570">
        <f t="shared" si="67"/>
        <v>43040000</v>
      </c>
      <c r="C191" s="835" t="s">
        <v>44</v>
      </c>
      <c r="D191" s="835" t="s">
        <v>911</v>
      </c>
      <c r="E191" s="835" t="s">
        <v>153</v>
      </c>
      <c r="F191" s="835" t="s">
        <v>94</v>
      </c>
      <c r="G191" s="1084" t="s">
        <v>86</v>
      </c>
      <c r="H191" s="1409">
        <v>284</v>
      </c>
      <c r="I191" s="788">
        <v>12</v>
      </c>
      <c r="J191" s="789"/>
      <c r="K191" s="801">
        <v>127</v>
      </c>
      <c r="L191" s="222">
        <v>43040000</v>
      </c>
      <c r="M191" s="318">
        <v>118</v>
      </c>
      <c r="N191" s="793">
        <v>43040000</v>
      </c>
      <c r="O191" s="1471">
        <v>117</v>
      </c>
      <c r="P191" s="791"/>
      <c r="Q191" s="563">
        <v>1434667</v>
      </c>
      <c r="R191" s="563">
        <f>VLOOKUP(M191,[5]Hoja2!N$2:T$77,7,0)</f>
        <v>5380000</v>
      </c>
      <c r="S191" s="563"/>
      <c r="T191" s="563"/>
      <c r="U191" s="563"/>
      <c r="V191" s="563"/>
      <c r="W191" s="563"/>
      <c r="X191" s="563"/>
      <c r="Y191" s="563"/>
      <c r="Z191" s="563"/>
      <c r="AA191" s="816"/>
      <c r="AB191" s="794">
        <f t="shared" si="63"/>
        <v>6814667</v>
      </c>
      <c r="AC191" s="792">
        <f t="shared" si="64"/>
        <v>36225333</v>
      </c>
      <c r="AE191" s="1175">
        <v>284</v>
      </c>
      <c r="AF191" s="1176" t="s">
        <v>222</v>
      </c>
      <c r="AG191" s="1504" t="s">
        <v>589</v>
      </c>
      <c r="AH191" s="1498">
        <f t="shared" si="65"/>
        <v>117</v>
      </c>
      <c r="AI191" s="1177">
        <v>43040000</v>
      </c>
      <c r="AJ191" s="1179">
        <f t="shared" si="66"/>
        <v>0</v>
      </c>
      <c r="AK191" s="1168"/>
    </row>
    <row r="192" spans="1:37" s="786" customFormat="1">
      <c r="A192" s="834" t="s">
        <v>93</v>
      </c>
      <c r="B192" s="570">
        <f t="shared" si="67"/>
        <v>43040000</v>
      </c>
      <c r="C192" s="835" t="s">
        <v>44</v>
      </c>
      <c r="D192" s="835" t="s">
        <v>911</v>
      </c>
      <c r="E192" s="835" t="s">
        <v>153</v>
      </c>
      <c r="F192" s="835" t="s">
        <v>94</v>
      </c>
      <c r="G192" s="1084" t="s">
        <v>86</v>
      </c>
      <c r="H192" s="1409">
        <v>285</v>
      </c>
      <c r="I192" s="788">
        <v>13</v>
      </c>
      <c r="J192" s="789"/>
      <c r="K192" s="801">
        <v>111</v>
      </c>
      <c r="L192" s="222">
        <v>43040000</v>
      </c>
      <c r="M192" s="318">
        <v>85</v>
      </c>
      <c r="N192" s="793">
        <v>43040000</v>
      </c>
      <c r="O192" s="1471">
        <v>92</v>
      </c>
      <c r="P192" s="791"/>
      <c r="Q192" s="563">
        <v>1434667</v>
      </c>
      <c r="R192" s="563">
        <f>VLOOKUP(M192,[5]Hoja2!N$2:T$77,7,0)</f>
        <v>5380000</v>
      </c>
      <c r="S192" s="563"/>
      <c r="T192" s="563"/>
      <c r="U192" s="563"/>
      <c r="V192" s="563"/>
      <c r="W192" s="563"/>
      <c r="X192" s="563"/>
      <c r="Y192" s="563"/>
      <c r="Z192" s="563"/>
      <c r="AA192" s="816"/>
      <c r="AB192" s="794">
        <f t="shared" si="63"/>
        <v>6814667</v>
      </c>
      <c r="AC192" s="792">
        <f t="shared" si="64"/>
        <v>36225333</v>
      </c>
      <c r="AE192" s="1175">
        <v>285</v>
      </c>
      <c r="AF192" s="1176" t="s">
        <v>222</v>
      </c>
      <c r="AG192" s="1504" t="s">
        <v>590</v>
      </c>
      <c r="AH192" s="1498">
        <f t="shared" si="65"/>
        <v>92</v>
      </c>
      <c r="AI192" s="1177">
        <v>43040000</v>
      </c>
      <c r="AJ192" s="1179">
        <f t="shared" si="66"/>
        <v>0</v>
      </c>
      <c r="AK192" s="1168"/>
    </row>
    <row r="193" spans="1:37" s="786" customFormat="1">
      <c r="A193" s="834" t="s">
        <v>93</v>
      </c>
      <c r="B193" s="570">
        <f t="shared" si="67"/>
        <v>47120000</v>
      </c>
      <c r="C193" s="835" t="s">
        <v>44</v>
      </c>
      <c r="D193" s="835" t="s">
        <v>911</v>
      </c>
      <c r="E193" s="835" t="s">
        <v>153</v>
      </c>
      <c r="F193" s="835" t="s">
        <v>94</v>
      </c>
      <c r="G193" s="1084" t="s">
        <v>86</v>
      </c>
      <c r="H193" s="1409">
        <v>286</v>
      </c>
      <c r="I193" s="788">
        <v>14</v>
      </c>
      <c r="J193" s="789"/>
      <c r="K193" s="801">
        <v>112</v>
      </c>
      <c r="L193" s="222">
        <v>47120000</v>
      </c>
      <c r="M193" s="318">
        <v>90</v>
      </c>
      <c r="N193" s="793">
        <v>47120000</v>
      </c>
      <c r="O193" s="1471">
        <v>100</v>
      </c>
      <c r="P193" s="791"/>
      <c r="Q193" s="563">
        <v>1570667</v>
      </c>
      <c r="R193" s="563">
        <f>VLOOKUP(M193,[5]Hoja2!N$2:T$77,7,0)</f>
        <v>5890000</v>
      </c>
      <c r="S193" s="563"/>
      <c r="T193" s="563"/>
      <c r="U193" s="563"/>
      <c r="V193" s="563"/>
      <c r="W193" s="563"/>
      <c r="X193" s="563"/>
      <c r="Y193" s="563"/>
      <c r="Z193" s="563"/>
      <c r="AA193" s="816"/>
      <c r="AB193" s="794">
        <f t="shared" si="63"/>
        <v>7460667</v>
      </c>
      <c r="AC193" s="792">
        <f t="shared" si="64"/>
        <v>39659333</v>
      </c>
      <c r="AE193" s="1175">
        <v>286</v>
      </c>
      <c r="AF193" s="1176" t="s">
        <v>223</v>
      </c>
      <c r="AG193" s="1504" t="s">
        <v>591</v>
      </c>
      <c r="AH193" s="1498">
        <f t="shared" si="65"/>
        <v>100</v>
      </c>
      <c r="AI193" s="1177">
        <v>47120000</v>
      </c>
      <c r="AJ193" s="1179">
        <f t="shared" si="66"/>
        <v>0</v>
      </c>
      <c r="AK193" s="1168"/>
    </row>
    <row r="194" spans="1:37" s="786" customFormat="1">
      <c r="A194" s="834" t="s">
        <v>93</v>
      </c>
      <c r="B194" s="570">
        <f t="shared" si="67"/>
        <v>47120000</v>
      </c>
      <c r="C194" s="835" t="s">
        <v>44</v>
      </c>
      <c r="D194" s="835" t="s">
        <v>911</v>
      </c>
      <c r="E194" s="835" t="s">
        <v>153</v>
      </c>
      <c r="F194" s="835" t="s">
        <v>94</v>
      </c>
      <c r="G194" s="1084" t="s">
        <v>86</v>
      </c>
      <c r="H194" s="1409">
        <v>287</v>
      </c>
      <c r="I194" s="788">
        <v>15</v>
      </c>
      <c r="J194" s="789"/>
      <c r="K194" s="801">
        <v>113</v>
      </c>
      <c r="L194" s="222">
        <v>47120000</v>
      </c>
      <c r="M194" s="318">
        <v>72</v>
      </c>
      <c r="N194" s="793">
        <v>47120000</v>
      </c>
      <c r="O194" s="1471">
        <v>101</v>
      </c>
      <c r="P194" s="791"/>
      <c r="Q194" s="563">
        <v>1374333</v>
      </c>
      <c r="R194" s="563">
        <f>VLOOKUP(M194,[5]Hoja2!N$2:T$77,7,0)</f>
        <v>5890000</v>
      </c>
      <c r="S194" s="563"/>
      <c r="T194" s="563"/>
      <c r="U194" s="563"/>
      <c r="V194" s="563"/>
      <c r="W194" s="563"/>
      <c r="X194" s="563"/>
      <c r="Y194" s="563"/>
      <c r="Z194" s="563"/>
      <c r="AA194" s="816"/>
      <c r="AB194" s="794">
        <f t="shared" si="63"/>
        <v>7264333</v>
      </c>
      <c r="AC194" s="792">
        <f t="shared" si="64"/>
        <v>39855667</v>
      </c>
      <c r="AE194" s="1175">
        <v>287</v>
      </c>
      <c r="AF194" s="1176" t="s">
        <v>223</v>
      </c>
      <c r="AG194" s="1504" t="s">
        <v>592</v>
      </c>
      <c r="AH194" s="1498">
        <f t="shared" si="65"/>
        <v>101</v>
      </c>
      <c r="AI194" s="1177">
        <v>47120000</v>
      </c>
      <c r="AJ194" s="1179">
        <f t="shared" si="66"/>
        <v>0</v>
      </c>
      <c r="AK194" s="1168"/>
    </row>
    <row r="195" spans="1:37" s="786" customFormat="1">
      <c r="A195" s="834" t="s">
        <v>93</v>
      </c>
      <c r="B195" s="570">
        <f t="shared" si="67"/>
        <v>87500000</v>
      </c>
      <c r="C195" s="835" t="s">
        <v>44</v>
      </c>
      <c r="D195" s="835" t="s">
        <v>911</v>
      </c>
      <c r="E195" s="835" t="s">
        <v>153</v>
      </c>
      <c r="F195" s="835" t="s">
        <v>94</v>
      </c>
      <c r="G195" s="1084" t="s">
        <v>86</v>
      </c>
      <c r="H195" s="1409">
        <v>288</v>
      </c>
      <c r="I195" s="788">
        <v>16</v>
      </c>
      <c r="J195" s="789"/>
      <c r="K195" s="801">
        <v>97</v>
      </c>
      <c r="L195" s="222">
        <v>87500000</v>
      </c>
      <c r="M195" s="318">
        <v>65</v>
      </c>
      <c r="N195" s="793">
        <v>87500000</v>
      </c>
      <c r="O195" s="1471">
        <v>72</v>
      </c>
      <c r="P195" s="791"/>
      <c r="Q195" s="563">
        <v>2041667</v>
      </c>
      <c r="R195" s="563">
        <f>VLOOKUP(M195,[5]Hoja2!N$2:T$77,7,0)</f>
        <v>8750000</v>
      </c>
      <c r="S195" s="563"/>
      <c r="T195" s="563"/>
      <c r="U195" s="563"/>
      <c r="V195" s="563"/>
      <c r="W195" s="563"/>
      <c r="X195" s="563"/>
      <c r="Y195" s="563"/>
      <c r="Z195" s="563"/>
      <c r="AA195" s="816"/>
      <c r="AB195" s="794">
        <f t="shared" si="63"/>
        <v>10791667</v>
      </c>
      <c r="AC195" s="792">
        <f t="shared" si="64"/>
        <v>76708333</v>
      </c>
      <c r="AE195" s="1175">
        <v>288</v>
      </c>
      <c r="AF195" s="1176" t="s">
        <v>224</v>
      </c>
      <c r="AG195" s="1504" t="s">
        <v>593</v>
      </c>
      <c r="AH195" s="1498">
        <f t="shared" si="65"/>
        <v>72</v>
      </c>
      <c r="AI195" s="1177">
        <v>87500000</v>
      </c>
      <c r="AJ195" s="1179">
        <f t="shared" si="66"/>
        <v>0</v>
      </c>
      <c r="AK195" s="1168"/>
    </row>
    <row r="196" spans="1:37" s="786" customFormat="1" ht="15">
      <c r="A196" s="834" t="s">
        <v>93</v>
      </c>
      <c r="B196" s="570">
        <f t="shared" si="67"/>
        <v>0</v>
      </c>
      <c r="C196" s="835" t="s">
        <v>44</v>
      </c>
      <c r="D196" s="835" t="s">
        <v>911</v>
      </c>
      <c r="E196" s="835" t="s">
        <v>153</v>
      </c>
      <c r="F196" s="835" t="s">
        <v>94</v>
      </c>
      <c r="G196" s="1084" t="s">
        <v>86</v>
      </c>
      <c r="H196" s="1409">
        <v>289</v>
      </c>
      <c r="I196" s="788">
        <v>17</v>
      </c>
      <c r="J196" s="789"/>
      <c r="K196" s="801"/>
      <c r="L196" s="222"/>
      <c r="M196" s="790"/>
      <c r="N196" s="837"/>
      <c r="O196" s="1471"/>
      <c r="P196" s="791"/>
      <c r="Q196" s="563"/>
      <c r="R196" s="563"/>
      <c r="S196" s="563"/>
      <c r="T196" s="563"/>
      <c r="U196" s="563"/>
      <c r="V196" s="563"/>
      <c r="W196" s="563"/>
      <c r="X196" s="563"/>
      <c r="Y196" s="563"/>
      <c r="Z196" s="563"/>
      <c r="AA196" s="816"/>
      <c r="AB196" s="794">
        <f t="shared" si="63"/>
        <v>0</v>
      </c>
      <c r="AC196" s="792">
        <f t="shared" si="64"/>
        <v>0</v>
      </c>
      <c r="AE196" s="1175">
        <v>289</v>
      </c>
      <c r="AF196" s="1176" t="s">
        <v>225</v>
      </c>
      <c r="AG196" s="1505" t="s">
        <v>188</v>
      </c>
      <c r="AH196" s="1498">
        <f t="shared" si="65"/>
        <v>0</v>
      </c>
      <c r="AI196" s="1177">
        <v>39200000</v>
      </c>
      <c r="AJ196" s="1179">
        <f t="shared" si="66"/>
        <v>39200000</v>
      </c>
      <c r="AK196" s="1168"/>
    </row>
    <row r="197" spans="1:37" s="786" customFormat="1">
      <c r="A197" s="834" t="s">
        <v>93</v>
      </c>
      <c r="B197" s="570">
        <f t="shared" si="67"/>
        <v>43040000</v>
      </c>
      <c r="C197" s="835" t="s">
        <v>44</v>
      </c>
      <c r="D197" s="835" t="s">
        <v>911</v>
      </c>
      <c r="E197" s="835" t="s">
        <v>153</v>
      </c>
      <c r="F197" s="835" t="s">
        <v>94</v>
      </c>
      <c r="G197" s="1084" t="s">
        <v>86</v>
      </c>
      <c r="H197" s="1409">
        <v>290</v>
      </c>
      <c r="I197" s="788">
        <v>18</v>
      </c>
      <c r="J197" s="789"/>
      <c r="K197" s="801">
        <v>303</v>
      </c>
      <c r="L197" s="222">
        <v>43040000</v>
      </c>
      <c r="M197" s="318">
        <v>301</v>
      </c>
      <c r="N197" s="837">
        <v>43040000</v>
      </c>
      <c r="O197" s="1471">
        <v>254</v>
      </c>
      <c r="P197" s="791"/>
      <c r="Q197" s="563"/>
      <c r="R197" s="563"/>
      <c r="S197" s="563"/>
      <c r="T197" s="563"/>
      <c r="U197" s="563"/>
      <c r="V197" s="563"/>
      <c r="W197" s="563"/>
      <c r="X197" s="563"/>
      <c r="Y197" s="563"/>
      <c r="Z197" s="563"/>
      <c r="AA197" s="816"/>
      <c r="AB197" s="794">
        <f t="shared" si="63"/>
        <v>0</v>
      </c>
      <c r="AC197" s="792">
        <f t="shared" si="64"/>
        <v>43040000</v>
      </c>
      <c r="AE197" s="1175">
        <v>290</v>
      </c>
      <c r="AF197" s="1176" t="s">
        <v>225</v>
      </c>
      <c r="AG197" s="1504" t="s">
        <v>812</v>
      </c>
      <c r="AH197" s="1498">
        <f t="shared" si="65"/>
        <v>254</v>
      </c>
      <c r="AI197" s="1177">
        <f>39360000+3680000</f>
        <v>43040000</v>
      </c>
      <c r="AJ197" s="1179">
        <f t="shared" si="66"/>
        <v>0</v>
      </c>
      <c r="AK197" s="1168"/>
    </row>
    <row r="198" spans="1:37" s="786" customFormat="1">
      <c r="A198" s="834" t="s">
        <v>93</v>
      </c>
      <c r="B198" s="570">
        <f t="shared" si="67"/>
        <v>43040000</v>
      </c>
      <c r="C198" s="835" t="s">
        <v>44</v>
      </c>
      <c r="D198" s="835" t="s">
        <v>911</v>
      </c>
      <c r="E198" s="835" t="s">
        <v>153</v>
      </c>
      <c r="F198" s="835" t="s">
        <v>94</v>
      </c>
      <c r="G198" s="1084" t="s">
        <v>86</v>
      </c>
      <c r="H198" s="1409">
        <v>291</v>
      </c>
      <c r="I198" s="788">
        <v>19</v>
      </c>
      <c r="J198" s="789"/>
      <c r="K198" s="801">
        <v>128</v>
      </c>
      <c r="L198" s="222">
        <v>43040000</v>
      </c>
      <c r="M198" s="318">
        <v>120</v>
      </c>
      <c r="N198" s="793">
        <v>43040000</v>
      </c>
      <c r="O198" s="1471">
        <v>123</v>
      </c>
      <c r="P198" s="791"/>
      <c r="Q198" s="563">
        <v>1434667</v>
      </c>
      <c r="R198" s="563">
        <f>VLOOKUP(M198,[5]Hoja2!N$2:T$77,7,0)</f>
        <v>5380000</v>
      </c>
      <c r="S198" s="563"/>
      <c r="T198" s="563"/>
      <c r="U198" s="563"/>
      <c r="V198" s="563"/>
      <c r="W198" s="563"/>
      <c r="X198" s="563"/>
      <c r="Y198" s="563"/>
      <c r="Z198" s="563"/>
      <c r="AA198" s="816"/>
      <c r="AB198" s="794">
        <f t="shared" si="63"/>
        <v>6814667</v>
      </c>
      <c r="AC198" s="792">
        <f t="shared" si="64"/>
        <v>36225333</v>
      </c>
      <c r="AE198" s="1175">
        <v>291</v>
      </c>
      <c r="AF198" s="1176" t="s">
        <v>226</v>
      </c>
      <c r="AG198" s="1504" t="s">
        <v>594</v>
      </c>
      <c r="AH198" s="1498">
        <f t="shared" si="65"/>
        <v>123</v>
      </c>
      <c r="AI198" s="1177">
        <v>43040000</v>
      </c>
      <c r="AJ198" s="1179">
        <f t="shared" si="66"/>
        <v>0</v>
      </c>
      <c r="AK198" s="1168"/>
    </row>
    <row r="199" spans="1:37" s="786" customFormat="1">
      <c r="A199" s="834" t="s">
        <v>93</v>
      </c>
      <c r="B199" s="570">
        <f t="shared" si="67"/>
        <v>66060000</v>
      </c>
      <c r="C199" s="835" t="s">
        <v>44</v>
      </c>
      <c r="D199" s="835" t="s">
        <v>911</v>
      </c>
      <c r="E199" s="835" t="s">
        <v>153</v>
      </c>
      <c r="F199" s="835" t="s">
        <v>94</v>
      </c>
      <c r="G199" s="1084" t="s">
        <v>86</v>
      </c>
      <c r="H199" s="1409">
        <v>292</v>
      </c>
      <c r="I199" s="788">
        <v>20</v>
      </c>
      <c r="J199" s="789"/>
      <c r="K199" s="801">
        <v>114</v>
      </c>
      <c r="L199" s="222">
        <v>66060000</v>
      </c>
      <c r="M199" s="318">
        <v>130</v>
      </c>
      <c r="N199" s="793">
        <v>66060000</v>
      </c>
      <c r="O199" s="1471">
        <v>126</v>
      </c>
      <c r="P199" s="791"/>
      <c r="Q199" s="563">
        <v>1761600</v>
      </c>
      <c r="R199" s="563">
        <f>VLOOKUP(M199,[5]Hoja2!N$2:T$77,7,0)</f>
        <v>6606000</v>
      </c>
      <c r="S199" s="563"/>
      <c r="T199" s="563"/>
      <c r="U199" s="563"/>
      <c r="V199" s="563"/>
      <c r="W199" s="563"/>
      <c r="X199" s="563"/>
      <c r="Y199" s="563"/>
      <c r="Z199" s="563"/>
      <c r="AA199" s="816"/>
      <c r="AB199" s="794">
        <f t="shared" si="63"/>
        <v>8367600</v>
      </c>
      <c r="AC199" s="792">
        <f t="shared" si="64"/>
        <v>57692400</v>
      </c>
      <c r="AE199" s="1175">
        <v>292</v>
      </c>
      <c r="AF199" s="1176" t="s">
        <v>227</v>
      </c>
      <c r="AG199" s="1504" t="s">
        <v>595</v>
      </c>
      <c r="AH199" s="1498">
        <f t="shared" si="65"/>
        <v>126</v>
      </c>
      <c r="AI199" s="1177">
        <v>66060000</v>
      </c>
      <c r="AJ199" s="1179">
        <f t="shared" si="66"/>
        <v>0</v>
      </c>
      <c r="AK199" s="1168"/>
    </row>
    <row r="200" spans="1:37" s="786" customFormat="1">
      <c r="A200" s="834" t="s">
        <v>93</v>
      </c>
      <c r="B200" s="570">
        <f t="shared" si="67"/>
        <v>38400000</v>
      </c>
      <c r="C200" s="835" t="s">
        <v>44</v>
      </c>
      <c r="D200" s="835" t="s">
        <v>911</v>
      </c>
      <c r="E200" s="835" t="s">
        <v>153</v>
      </c>
      <c r="F200" s="835" t="s">
        <v>94</v>
      </c>
      <c r="G200" s="1084" t="s">
        <v>86</v>
      </c>
      <c r="H200" s="1409">
        <v>293</v>
      </c>
      <c r="I200" s="788">
        <v>21</v>
      </c>
      <c r="J200" s="789"/>
      <c r="K200" s="801">
        <v>115</v>
      </c>
      <c r="L200" s="222">
        <v>38400000</v>
      </c>
      <c r="M200" s="318">
        <v>127</v>
      </c>
      <c r="N200" s="793">
        <v>38400000</v>
      </c>
      <c r="O200" s="1471">
        <v>97</v>
      </c>
      <c r="P200" s="791"/>
      <c r="Q200" s="563">
        <v>1280000</v>
      </c>
      <c r="R200" s="563">
        <f>VLOOKUP(M200,[5]Hoja2!N$2:T$77,7,0)</f>
        <v>4800000</v>
      </c>
      <c r="S200" s="563"/>
      <c r="T200" s="563"/>
      <c r="U200" s="563"/>
      <c r="V200" s="563"/>
      <c r="W200" s="563"/>
      <c r="X200" s="563"/>
      <c r="Y200" s="563"/>
      <c r="Z200" s="563"/>
      <c r="AA200" s="816"/>
      <c r="AB200" s="794">
        <f t="shared" si="63"/>
        <v>6080000</v>
      </c>
      <c r="AC200" s="792">
        <f t="shared" si="64"/>
        <v>32320000</v>
      </c>
      <c r="AE200" s="1175">
        <v>293</v>
      </c>
      <c r="AF200" s="1176" t="s">
        <v>228</v>
      </c>
      <c r="AG200" s="1504" t="s">
        <v>596</v>
      </c>
      <c r="AH200" s="1498">
        <f t="shared" si="65"/>
        <v>97</v>
      </c>
      <c r="AI200" s="1177">
        <v>38400000</v>
      </c>
      <c r="AJ200" s="1179">
        <f t="shared" si="66"/>
        <v>0</v>
      </c>
      <c r="AK200" s="1168"/>
    </row>
    <row r="201" spans="1:37" s="786" customFormat="1">
      <c r="A201" s="834" t="s">
        <v>93</v>
      </c>
      <c r="B201" s="570">
        <f t="shared" si="67"/>
        <v>38400000</v>
      </c>
      <c r="C201" s="835" t="s">
        <v>44</v>
      </c>
      <c r="D201" s="835" t="s">
        <v>911</v>
      </c>
      <c r="E201" s="835" t="s">
        <v>153</v>
      </c>
      <c r="F201" s="835" t="s">
        <v>94</v>
      </c>
      <c r="G201" s="1084" t="s">
        <v>86</v>
      </c>
      <c r="H201" s="1409">
        <v>294</v>
      </c>
      <c r="I201" s="788">
        <v>22</v>
      </c>
      <c r="J201" s="789"/>
      <c r="K201" s="801">
        <v>129</v>
      </c>
      <c r="L201" s="222">
        <v>38400000</v>
      </c>
      <c r="M201" s="318">
        <v>69</v>
      </c>
      <c r="N201" s="793">
        <v>38400000</v>
      </c>
      <c r="O201" s="1471">
        <v>108</v>
      </c>
      <c r="P201" s="791"/>
      <c r="Q201" s="563"/>
      <c r="R201" s="563">
        <f>VLOOKUP(M201,[5]Hoja2!N$2:T$77,7,0)</f>
        <v>5280000</v>
      </c>
      <c r="S201" s="563"/>
      <c r="T201" s="563"/>
      <c r="U201" s="563"/>
      <c r="V201" s="563"/>
      <c r="W201" s="563"/>
      <c r="X201" s="563"/>
      <c r="Y201" s="563"/>
      <c r="Z201" s="563"/>
      <c r="AA201" s="816"/>
      <c r="AB201" s="794">
        <f t="shared" si="63"/>
        <v>5280000</v>
      </c>
      <c r="AC201" s="792">
        <f t="shared" si="64"/>
        <v>33120000</v>
      </c>
      <c r="AE201" s="1175">
        <v>294</v>
      </c>
      <c r="AF201" s="1176" t="s">
        <v>228</v>
      </c>
      <c r="AG201" s="1504" t="s">
        <v>597</v>
      </c>
      <c r="AH201" s="1498">
        <f t="shared" si="65"/>
        <v>108</v>
      </c>
      <c r="AI201" s="1177">
        <v>38400000</v>
      </c>
      <c r="AJ201" s="1179">
        <f t="shared" si="66"/>
        <v>0</v>
      </c>
      <c r="AK201" s="1168"/>
    </row>
    <row r="202" spans="1:37" s="786" customFormat="1">
      <c r="A202" s="834" t="s">
        <v>93</v>
      </c>
      <c r="B202" s="570">
        <f t="shared" si="67"/>
        <v>38400000</v>
      </c>
      <c r="C202" s="835" t="s">
        <v>44</v>
      </c>
      <c r="D202" s="835" t="s">
        <v>911</v>
      </c>
      <c r="E202" s="835" t="s">
        <v>153</v>
      </c>
      <c r="F202" s="835" t="s">
        <v>94</v>
      </c>
      <c r="G202" s="1084" t="s">
        <v>86</v>
      </c>
      <c r="H202" s="1409">
        <v>295</v>
      </c>
      <c r="I202" s="788">
        <v>23</v>
      </c>
      <c r="J202" s="789"/>
      <c r="K202" s="801">
        <v>116</v>
      </c>
      <c r="L202" s="222">
        <v>38400000</v>
      </c>
      <c r="M202" s="318">
        <v>74</v>
      </c>
      <c r="N202" s="793">
        <v>38400000</v>
      </c>
      <c r="O202" s="1471">
        <v>105</v>
      </c>
      <c r="P202" s="791"/>
      <c r="Q202" s="563">
        <v>1280000</v>
      </c>
      <c r="R202" s="563">
        <f>VLOOKUP(M202,[5]Hoja2!N$2:T$77,7,0)</f>
        <v>4800000</v>
      </c>
      <c r="S202" s="563"/>
      <c r="T202" s="563"/>
      <c r="U202" s="563"/>
      <c r="V202" s="563"/>
      <c r="W202" s="563"/>
      <c r="X202" s="563"/>
      <c r="Y202" s="563"/>
      <c r="Z202" s="563"/>
      <c r="AA202" s="816"/>
      <c r="AB202" s="794">
        <f t="shared" si="63"/>
        <v>6080000</v>
      </c>
      <c r="AC202" s="792">
        <f t="shared" si="64"/>
        <v>32320000</v>
      </c>
      <c r="AE202" s="1175">
        <v>295</v>
      </c>
      <c r="AF202" s="1176" t="s">
        <v>228</v>
      </c>
      <c r="AG202" s="1504" t="s">
        <v>598</v>
      </c>
      <c r="AH202" s="1498">
        <f t="shared" si="65"/>
        <v>105</v>
      </c>
      <c r="AI202" s="1177">
        <v>38400000</v>
      </c>
      <c r="AJ202" s="1179">
        <f t="shared" si="66"/>
        <v>0</v>
      </c>
      <c r="AK202" s="1168"/>
    </row>
    <row r="203" spans="1:37" s="786" customFormat="1">
      <c r="A203" s="834" t="s">
        <v>93</v>
      </c>
      <c r="B203" s="570">
        <f t="shared" si="67"/>
        <v>38400000</v>
      </c>
      <c r="C203" s="835" t="s">
        <v>44</v>
      </c>
      <c r="D203" s="835" t="s">
        <v>911</v>
      </c>
      <c r="E203" s="835" t="s">
        <v>153</v>
      </c>
      <c r="F203" s="835" t="s">
        <v>94</v>
      </c>
      <c r="G203" s="1084" t="s">
        <v>86</v>
      </c>
      <c r="H203" s="1409">
        <v>296</v>
      </c>
      <c r="I203" s="788">
        <v>24</v>
      </c>
      <c r="J203" s="789"/>
      <c r="K203" s="801">
        <v>117</v>
      </c>
      <c r="L203" s="222">
        <v>38400000</v>
      </c>
      <c r="M203" s="318">
        <v>73</v>
      </c>
      <c r="N203" s="793">
        <v>38400000</v>
      </c>
      <c r="O203" s="1471">
        <v>95</v>
      </c>
      <c r="P203" s="791"/>
      <c r="Q203" s="563">
        <v>1280000</v>
      </c>
      <c r="R203" s="563">
        <f>VLOOKUP(M203,[5]Hoja2!N$2:T$77,7,0)</f>
        <v>4800000</v>
      </c>
      <c r="S203" s="563"/>
      <c r="T203" s="563"/>
      <c r="U203" s="563"/>
      <c r="V203" s="563"/>
      <c r="W203" s="563"/>
      <c r="X203" s="563"/>
      <c r="Y203" s="563"/>
      <c r="Z203" s="563"/>
      <c r="AA203" s="816"/>
      <c r="AB203" s="794">
        <f t="shared" si="63"/>
        <v>6080000</v>
      </c>
      <c r="AC203" s="792">
        <f t="shared" si="64"/>
        <v>32320000</v>
      </c>
      <c r="AE203" s="1175">
        <v>296</v>
      </c>
      <c r="AF203" s="1176" t="s">
        <v>228</v>
      </c>
      <c r="AG203" s="1504" t="s">
        <v>599</v>
      </c>
      <c r="AH203" s="1498">
        <f t="shared" si="65"/>
        <v>95</v>
      </c>
      <c r="AI203" s="1177">
        <v>38400000</v>
      </c>
      <c r="AJ203" s="1179">
        <f t="shared" si="66"/>
        <v>0</v>
      </c>
      <c r="AK203" s="1168"/>
    </row>
    <row r="204" spans="1:37" s="786" customFormat="1">
      <c r="A204" s="834" t="s">
        <v>93</v>
      </c>
      <c r="B204" s="570">
        <f t="shared" si="67"/>
        <v>38400000</v>
      </c>
      <c r="C204" s="835" t="s">
        <v>44</v>
      </c>
      <c r="D204" s="835" t="s">
        <v>911</v>
      </c>
      <c r="E204" s="835" t="s">
        <v>153</v>
      </c>
      <c r="F204" s="835" t="s">
        <v>94</v>
      </c>
      <c r="G204" s="1084" t="s">
        <v>86</v>
      </c>
      <c r="H204" s="1409">
        <v>297</v>
      </c>
      <c r="I204" s="788">
        <v>25</v>
      </c>
      <c r="J204" s="789"/>
      <c r="K204" s="801">
        <v>118</v>
      </c>
      <c r="L204" s="222">
        <v>38400000</v>
      </c>
      <c r="M204" s="318">
        <v>92</v>
      </c>
      <c r="N204" s="793">
        <v>38400000</v>
      </c>
      <c r="O204" s="1471">
        <v>104</v>
      </c>
      <c r="P204" s="791"/>
      <c r="Q204" s="563">
        <v>1280000</v>
      </c>
      <c r="R204" s="563">
        <f>VLOOKUP(M204,[5]Hoja2!N$2:T$77,7,0)</f>
        <v>4800000</v>
      </c>
      <c r="S204" s="563"/>
      <c r="T204" s="563"/>
      <c r="U204" s="563"/>
      <c r="V204" s="563"/>
      <c r="W204" s="563"/>
      <c r="X204" s="563"/>
      <c r="Y204" s="563"/>
      <c r="Z204" s="563"/>
      <c r="AA204" s="816"/>
      <c r="AB204" s="794">
        <f t="shared" si="63"/>
        <v>6080000</v>
      </c>
      <c r="AC204" s="792">
        <f t="shared" si="64"/>
        <v>32320000</v>
      </c>
      <c r="AE204" s="1175">
        <v>297</v>
      </c>
      <c r="AF204" s="1176" t="s">
        <v>228</v>
      </c>
      <c r="AG204" s="1504" t="s">
        <v>600</v>
      </c>
      <c r="AH204" s="1498">
        <f t="shared" si="65"/>
        <v>104</v>
      </c>
      <c r="AI204" s="1177">
        <v>38400000</v>
      </c>
      <c r="AJ204" s="1179">
        <f t="shared" si="66"/>
        <v>0</v>
      </c>
      <c r="AK204" s="1168"/>
    </row>
    <row r="205" spans="1:37" s="786" customFormat="1">
      <c r="A205" s="834" t="s">
        <v>93</v>
      </c>
      <c r="B205" s="570">
        <f t="shared" si="67"/>
        <v>66000000</v>
      </c>
      <c r="C205" s="835" t="s">
        <v>44</v>
      </c>
      <c r="D205" s="835" t="s">
        <v>911</v>
      </c>
      <c r="E205" s="835" t="s">
        <v>153</v>
      </c>
      <c r="F205" s="835" t="s">
        <v>94</v>
      </c>
      <c r="G205" s="1084" t="s">
        <v>86</v>
      </c>
      <c r="H205" s="1409">
        <v>298</v>
      </c>
      <c r="I205" s="788">
        <v>26</v>
      </c>
      <c r="J205" s="789"/>
      <c r="K205" s="801">
        <v>195</v>
      </c>
      <c r="L205" s="222">
        <v>66000000</v>
      </c>
      <c r="M205" s="318">
        <v>234</v>
      </c>
      <c r="N205" s="837">
        <v>66000000</v>
      </c>
      <c r="O205" s="1471">
        <v>212</v>
      </c>
      <c r="P205" s="791"/>
      <c r="Q205" s="563"/>
      <c r="R205" s="563">
        <f>VLOOKUP(M205,[5]Hoja2!N$2:T$77,7,0)</f>
        <v>5500000</v>
      </c>
      <c r="S205" s="563"/>
      <c r="T205" s="563"/>
      <c r="U205" s="563"/>
      <c r="V205" s="563"/>
      <c r="W205" s="563"/>
      <c r="X205" s="563"/>
      <c r="Y205" s="563"/>
      <c r="Z205" s="563"/>
      <c r="AA205" s="816"/>
      <c r="AB205" s="794">
        <f t="shared" si="63"/>
        <v>5500000</v>
      </c>
      <c r="AC205" s="792">
        <f t="shared" si="64"/>
        <v>60500000</v>
      </c>
      <c r="AE205" s="1175">
        <v>298</v>
      </c>
      <c r="AF205" s="1176" t="s">
        <v>229</v>
      </c>
      <c r="AG205" s="1504" t="s">
        <v>795</v>
      </c>
      <c r="AH205" s="1498">
        <f t="shared" si="65"/>
        <v>212</v>
      </c>
      <c r="AI205" s="1177">
        <v>66000000</v>
      </c>
      <c r="AJ205" s="1179">
        <f t="shared" si="66"/>
        <v>0</v>
      </c>
      <c r="AK205" s="1168"/>
    </row>
    <row r="206" spans="1:37" s="786" customFormat="1">
      <c r="A206" s="834" t="s">
        <v>93</v>
      </c>
      <c r="B206" s="570">
        <f t="shared" si="67"/>
        <v>38400000</v>
      </c>
      <c r="C206" s="835" t="s">
        <v>44</v>
      </c>
      <c r="D206" s="835" t="s">
        <v>911</v>
      </c>
      <c r="E206" s="835" t="s">
        <v>153</v>
      </c>
      <c r="F206" s="835" t="s">
        <v>94</v>
      </c>
      <c r="G206" s="1084" t="s">
        <v>86</v>
      </c>
      <c r="H206" s="1409">
        <v>299</v>
      </c>
      <c r="I206" s="788">
        <v>27</v>
      </c>
      <c r="J206" s="789"/>
      <c r="K206" s="801">
        <v>130</v>
      </c>
      <c r="L206" s="222">
        <v>38400000</v>
      </c>
      <c r="M206" s="318">
        <v>78</v>
      </c>
      <c r="N206" s="793">
        <v>38400000</v>
      </c>
      <c r="O206" s="1471">
        <v>115</v>
      </c>
      <c r="P206" s="791"/>
      <c r="Q206" s="563">
        <v>1280000</v>
      </c>
      <c r="R206" s="563">
        <f>VLOOKUP(M206,[5]Hoja2!N$2:T$77,7,0)</f>
        <v>4800000</v>
      </c>
      <c r="S206" s="563"/>
      <c r="T206" s="563"/>
      <c r="U206" s="563"/>
      <c r="V206" s="563"/>
      <c r="W206" s="563"/>
      <c r="X206" s="563"/>
      <c r="Y206" s="563"/>
      <c r="Z206" s="563"/>
      <c r="AA206" s="816"/>
      <c r="AB206" s="794">
        <f t="shared" si="63"/>
        <v>6080000</v>
      </c>
      <c r="AC206" s="792">
        <f t="shared" si="64"/>
        <v>32320000</v>
      </c>
      <c r="AE206" s="1175">
        <v>299</v>
      </c>
      <c r="AF206" s="1176" t="s">
        <v>230</v>
      </c>
      <c r="AG206" s="1504" t="s">
        <v>601</v>
      </c>
      <c r="AH206" s="1498">
        <f t="shared" si="65"/>
        <v>115</v>
      </c>
      <c r="AI206" s="1177">
        <v>38400000</v>
      </c>
      <c r="AJ206" s="1179">
        <f t="shared" si="66"/>
        <v>0</v>
      </c>
      <c r="AK206" s="1168"/>
    </row>
    <row r="207" spans="1:37" s="786" customFormat="1">
      <c r="A207" s="834" t="s">
        <v>93</v>
      </c>
      <c r="B207" s="570">
        <f t="shared" si="67"/>
        <v>38400000</v>
      </c>
      <c r="C207" s="835" t="s">
        <v>44</v>
      </c>
      <c r="D207" s="835" t="s">
        <v>911</v>
      </c>
      <c r="E207" s="835" t="s">
        <v>153</v>
      </c>
      <c r="F207" s="835" t="s">
        <v>94</v>
      </c>
      <c r="G207" s="1084" t="s">
        <v>86</v>
      </c>
      <c r="H207" s="1409">
        <v>300</v>
      </c>
      <c r="I207" s="788">
        <v>28</v>
      </c>
      <c r="J207" s="789"/>
      <c r="K207" s="801">
        <v>131</v>
      </c>
      <c r="L207" s="222">
        <v>38400000</v>
      </c>
      <c r="M207" s="318">
        <v>134</v>
      </c>
      <c r="N207" s="793">
        <v>38400000</v>
      </c>
      <c r="O207" s="1471">
        <v>122</v>
      </c>
      <c r="P207" s="791"/>
      <c r="Q207" s="563">
        <v>1280000</v>
      </c>
      <c r="R207" s="563">
        <f>VLOOKUP(M207,[5]Hoja2!N$2:T$77,7,0)</f>
        <v>4800000</v>
      </c>
      <c r="S207" s="563"/>
      <c r="T207" s="563"/>
      <c r="U207" s="563"/>
      <c r="V207" s="563"/>
      <c r="W207" s="563"/>
      <c r="X207" s="563"/>
      <c r="Y207" s="563"/>
      <c r="Z207" s="563"/>
      <c r="AA207" s="816"/>
      <c r="AB207" s="794">
        <f t="shared" si="63"/>
        <v>6080000</v>
      </c>
      <c r="AC207" s="792">
        <f t="shared" si="64"/>
        <v>32320000</v>
      </c>
      <c r="AE207" s="1175">
        <v>300</v>
      </c>
      <c r="AF207" s="1176" t="s">
        <v>230</v>
      </c>
      <c r="AG207" s="1504" t="s">
        <v>602</v>
      </c>
      <c r="AH207" s="1498">
        <f t="shared" si="65"/>
        <v>122</v>
      </c>
      <c r="AI207" s="1177">
        <v>38400000</v>
      </c>
      <c r="AJ207" s="1179">
        <f t="shared" si="66"/>
        <v>0</v>
      </c>
      <c r="AK207" s="1168"/>
    </row>
    <row r="208" spans="1:37" s="786" customFormat="1">
      <c r="A208" s="834" t="s">
        <v>93</v>
      </c>
      <c r="B208" s="570">
        <f t="shared" si="67"/>
        <v>38400000</v>
      </c>
      <c r="C208" s="835" t="s">
        <v>44</v>
      </c>
      <c r="D208" s="835" t="s">
        <v>911</v>
      </c>
      <c r="E208" s="835" t="s">
        <v>153</v>
      </c>
      <c r="F208" s="835" t="s">
        <v>94</v>
      </c>
      <c r="G208" s="1084" t="s">
        <v>86</v>
      </c>
      <c r="H208" s="1409">
        <v>301</v>
      </c>
      <c r="I208" s="788">
        <v>29</v>
      </c>
      <c r="J208" s="789"/>
      <c r="K208" s="801">
        <v>196</v>
      </c>
      <c r="L208" s="222">
        <v>38400000</v>
      </c>
      <c r="M208" s="318">
        <v>236</v>
      </c>
      <c r="N208" s="837">
        <v>38400000</v>
      </c>
      <c r="O208" s="1471">
        <v>222</v>
      </c>
      <c r="P208" s="791"/>
      <c r="Q208" s="563"/>
      <c r="R208" s="563">
        <f>VLOOKUP(M208,[5]Hoja2!N$2:T$77,7,0)</f>
        <v>4000000</v>
      </c>
      <c r="S208" s="563"/>
      <c r="T208" s="563"/>
      <c r="U208" s="563"/>
      <c r="V208" s="563"/>
      <c r="W208" s="563"/>
      <c r="X208" s="563"/>
      <c r="Y208" s="563"/>
      <c r="Z208" s="563"/>
      <c r="AA208" s="816"/>
      <c r="AB208" s="794">
        <f t="shared" si="63"/>
        <v>4000000</v>
      </c>
      <c r="AC208" s="792">
        <f t="shared" si="64"/>
        <v>34400000</v>
      </c>
      <c r="AE208" s="1175">
        <v>301</v>
      </c>
      <c r="AF208" s="1176" t="s">
        <v>230</v>
      </c>
      <c r="AG208" s="1504" t="s">
        <v>796</v>
      </c>
      <c r="AH208" s="1498">
        <f t="shared" si="65"/>
        <v>222</v>
      </c>
      <c r="AI208" s="1177">
        <v>38400000</v>
      </c>
      <c r="AJ208" s="1179">
        <f t="shared" si="66"/>
        <v>0</v>
      </c>
      <c r="AK208" s="1168"/>
    </row>
    <row r="209" spans="1:37" s="786" customFormat="1">
      <c r="A209" s="834" t="s">
        <v>93</v>
      </c>
      <c r="B209" s="570">
        <f t="shared" si="67"/>
        <v>72100000</v>
      </c>
      <c r="C209" s="835" t="s">
        <v>44</v>
      </c>
      <c r="D209" s="835" t="s">
        <v>911</v>
      </c>
      <c r="E209" s="835" t="s">
        <v>153</v>
      </c>
      <c r="F209" s="835" t="s">
        <v>94</v>
      </c>
      <c r="G209" s="1084" t="s">
        <v>86</v>
      </c>
      <c r="H209" s="1409">
        <v>302</v>
      </c>
      <c r="I209" s="788">
        <v>30</v>
      </c>
      <c r="J209" s="789"/>
      <c r="K209" s="801">
        <v>311</v>
      </c>
      <c r="L209" s="222">
        <v>72100000</v>
      </c>
      <c r="M209" s="790">
        <v>315</v>
      </c>
      <c r="N209" s="222">
        <v>72100000</v>
      </c>
      <c r="O209" s="1471">
        <v>271</v>
      </c>
      <c r="P209" s="791"/>
      <c r="Q209" s="563"/>
      <c r="R209" s="563">
        <v>1400000</v>
      </c>
      <c r="S209" s="563"/>
      <c r="T209" s="563"/>
      <c r="U209" s="563"/>
      <c r="V209" s="563"/>
      <c r="W209" s="563"/>
      <c r="X209" s="563"/>
      <c r="Y209" s="563"/>
      <c r="Z209" s="563"/>
      <c r="AA209" s="816"/>
      <c r="AB209" s="794">
        <f t="shared" si="63"/>
        <v>1400000</v>
      </c>
      <c r="AC209" s="792">
        <f t="shared" si="64"/>
        <v>70700000</v>
      </c>
      <c r="AE209" s="1175">
        <v>302</v>
      </c>
      <c r="AF209" s="1176" t="s">
        <v>543</v>
      </c>
      <c r="AG209" s="1504" t="s">
        <v>842</v>
      </c>
      <c r="AH209" s="1498">
        <f t="shared" si="65"/>
        <v>271</v>
      </c>
      <c r="AI209" s="1177">
        <f>60000000+13500000</f>
        <v>73500000</v>
      </c>
      <c r="AJ209" s="1179">
        <f t="shared" si="66"/>
        <v>1400000</v>
      </c>
      <c r="AK209" s="1168"/>
    </row>
    <row r="210" spans="1:37" s="786" customFormat="1">
      <c r="A210" s="834" t="s">
        <v>93</v>
      </c>
      <c r="B210" s="570">
        <f t="shared" si="67"/>
        <v>54862500</v>
      </c>
      <c r="C210" s="835" t="s">
        <v>44</v>
      </c>
      <c r="D210" s="835" t="s">
        <v>911</v>
      </c>
      <c r="E210" s="835" t="s">
        <v>153</v>
      </c>
      <c r="F210" s="835" t="s">
        <v>94</v>
      </c>
      <c r="G210" s="1084" t="s">
        <v>86</v>
      </c>
      <c r="H210" s="1409">
        <v>303</v>
      </c>
      <c r="I210" s="788">
        <v>31</v>
      </c>
      <c r="J210" s="789"/>
      <c r="K210" s="801">
        <v>353</v>
      </c>
      <c r="L210" s="222">
        <f>54882500-20000</f>
        <v>54862500</v>
      </c>
      <c r="M210" s="790">
        <v>350</v>
      </c>
      <c r="N210" s="837">
        <v>54862500</v>
      </c>
      <c r="O210" s="1471">
        <v>284</v>
      </c>
      <c r="P210" s="791"/>
      <c r="Q210" s="563"/>
      <c r="R210" s="563"/>
      <c r="S210" s="563"/>
      <c r="T210" s="563"/>
      <c r="U210" s="563"/>
      <c r="V210" s="563"/>
      <c r="W210" s="563"/>
      <c r="X210" s="563"/>
      <c r="Y210" s="563"/>
      <c r="Z210" s="563"/>
      <c r="AA210" s="816"/>
      <c r="AB210" s="794">
        <f t="shared" si="63"/>
        <v>0</v>
      </c>
      <c r="AC210" s="792">
        <f t="shared" si="64"/>
        <v>54862500</v>
      </c>
      <c r="AE210" s="1266">
        <v>303</v>
      </c>
      <c r="AF210" s="1176" t="s">
        <v>828</v>
      </c>
      <c r="AG210" s="1504" t="s">
        <v>868</v>
      </c>
      <c r="AH210" s="1498">
        <f t="shared" si="65"/>
        <v>284</v>
      </c>
      <c r="AI210" s="1267">
        <f>41600000+16150000</f>
        <v>57750000</v>
      </c>
      <c r="AJ210" s="1179">
        <f t="shared" si="66"/>
        <v>2887500</v>
      </c>
      <c r="AK210" s="1168"/>
    </row>
    <row r="211" spans="1:37" s="786" customFormat="1">
      <c r="A211" s="834" t="s">
        <v>93</v>
      </c>
      <c r="B211" s="570">
        <f t="shared" si="67"/>
        <v>41600000</v>
      </c>
      <c r="C211" s="835" t="s">
        <v>44</v>
      </c>
      <c r="D211" s="835" t="s">
        <v>911</v>
      </c>
      <c r="E211" s="835" t="s">
        <v>153</v>
      </c>
      <c r="F211" s="835" t="s">
        <v>94</v>
      </c>
      <c r="G211" s="1084" t="s">
        <v>86</v>
      </c>
      <c r="H211" s="1409">
        <v>304</v>
      </c>
      <c r="I211" s="788">
        <v>32</v>
      </c>
      <c r="J211" s="789"/>
      <c r="K211" s="801">
        <v>312</v>
      </c>
      <c r="L211" s="222">
        <v>41600000</v>
      </c>
      <c r="M211" s="790">
        <v>309</v>
      </c>
      <c r="N211" s="222">
        <v>41600000</v>
      </c>
      <c r="O211" s="1471">
        <v>267</v>
      </c>
      <c r="P211" s="791"/>
      <c r="Q211" s="563"/>
      <c r="R211" s="563"/>
      <c r="S211" s="563"/>
      <c r="T211" s="563"/>
      <c r="U211" s="563"/>
      <c r="V211" s="563"/>
      <c r="W211" s="563"/>
      <c r="X211" s="563"/>
      <c r="Y211" s="563"/>
      <c r="Z211" s="563"/>
      <c r="AA211" s="816"/>
      <c r="AB211" s="794">
        <f t="shared" si="63"/>
        <v>0</v>
      </c>
      <c r="AC211" s="792">
        <f t="shared" si="64"/>
        <v>41600000</v>
      </c>
      <c r="AE211" s="1175">
        <v>304</v>
      </c>
      <c r="AF211" s="1176" t="s">
        <v>542</v>
      </c>
      <c r="AG211" s="1504" t="s">
        <v>843</v>
      </c>
      <c r="AH211" s="1498">
        <f t="shared" si="65"/>
        <v>267</v>
      </c>
      <c r="AI211" s="1177">
        <v>41600000</v>
      </c>
      <c r="AJ211" s="1179">
        <f t="shared" si="66"/>
        <v>0</v>
      </c>
      <c r="AK211" s="1168"/>
    </row>
    <row r="212" spans="1:37" s="786" customFormat="1">
      <c r="A212" s="834" t="s">
        <v>93</v>
      </c>
      <c r="B212" s="570">
        <f t="shared" si="67"/>
        <v>41600000</v>
      </c>
      <c r="C212" s="835" t="s">
        <v>44</v>
      </c>
      <c r="D212" s="835" t="s">
        <v>911</v>
      </c>
      <c r="E212" s="835" t="s">
        <v>153</v>
      </c>
      <c r="F212" s="835" t="s">
        <v>94</v>
      </c>
      <c r="G212" s="1084" t="s">
        <v>86</v>
      </c>
      <c r="H212" s="1409">
        <v>305</v>
      </c>
      <c r="I212" s="788">
        <v>33</v>
      </c>
      <c r="J212" s="789"/>
      <c r="K212" s="801">
        <v>313</v>
      </c>
      <c r="L212" s="222">
        <v>41600000</v>
      </c>
      <c r="M212" s="790">
        <v>313</v>
      </c>
      <c r="N212" s="222">
        <v>41600000</v>
      </c>
      <c r="O212" s="1471">
        <v>270</v>
      </c>
      <c r="P212" s="791"/>
      <c r="Q212" s="563"/>
      <c r="R212" s="563">
        <v>1040000</v>
      </c>
      <c r="S212" s="563"/>
      <c r="T212" s="563"/>
      <c r="U212" s="563"/>
      <c r="V212" s="563"/>
      <c r="W212" s="563"/>
      <c r="X212" s="563"/>
      <c r="Y212" s="563"/>
      <c r="Z212" s="563"/>
      <c r="AA212" s="816"/>
      <c r="AB212" s="794">
        <f t="shared" si="63"/>
        <v>1040000</v>
      </c>
      <c r="AC212" s="792">
        <f t="shared" si="64"/>
        <v>40560000</v>
      </c>
      <c r="AE212" s="1175">
        <v>305</v>
      </c>
      <c r="AF212" s="1176" t="s">
        <v>542</v>
      </c>
      <c r="AG212" s="1504" t="s">
        <v>844</v>
      </c>
      <c r="AH212" s="1498">
        <f t="shared" si="65"/>
        <v>270</v>
      </c>
      <c r="AI212" s="1177">
        <v>41600000</v>
      </c>
      <c r="AJ212" s="1179">
        <f t="shared" si="66"/>
        <v>0</v>
      </c>
      <c r="AK212" s="1168"/>
    </row>
    <row r="213" spans="1:37" s="786" customFormat="1">
      <c r="A213" s="834" t="s">
        <v>93</v>
      </c>
      <c r="B213" s="570">
        <f t="shared" si="67"/>
        <v>0</v>
      </c>
      <c r="C213" s="835" t="s">
        <v>44</v>
      </c>
      <c r="D213" s="835" t="s">
        <v>911</v>
      </c>
      <c r="E213" s="835" t="s">
        <v>153</v>
      </c>
      <c r="F213" s="835" t="s">
        <v>94</v>
      </c>
      <c r="G213" s="1084" t="s">
        <v>86</v>
      </c>
      <c r="H213" s="1409">
        <v>306</v>
      </c>
      <c r="I213" s="788">
        <v>34</v>
      </c>
      <c r="J213" s="789"/>
      <c r="K213" s="801"/>
      <c r="L213" s="222"/>
      <c r="M213" s="790"/>
      <c r="N213" s="837"/>
      <c r="O213" s="1471"/>
      <c r="P213" s="791"/>
      <c r="Q213" s="563"/>
      <c r="R213" s="563"/>
      <c r="S213" s="563"/>
      <c r="T213" s="563"/>
      <c r="U213" s="563"/>
      <c r="V213" s="563"/>
      <c r="W213" s="563"/>
      <c r="X213" s="563"/>
      <c r="Y213" s="563"/>
      <c r="Z213" s="563"/>
      <c r="AA213" s="816"/>
      <c r="AB213" s="794">
        <f t="shared" si="63"/>
        <v>0</v>
      </c>
      <c r="AC213" s="792">
        <f t="shared" si="64"/>
        <v>0</v>
      </c>
      <c r="AE213" s="1175">
        <v>306</v>
      </c>
      <c r="AF213" s="1176" t="s">
        <v>544</v>
      </c>
      <c r="AG213" s="1504" t="s">
        <v>188</v>
      </c>
      <c r="AH213" s="1498">
        <f t="shared" si="65"/>
        <v>0</v>
      </c>
      <c r="AI213" s="1177">
        <f>57000000-20200000</f>
        <v>36800000</v>
      </c>
      <c r="AJ213" s="1179">
        <f t="shared" si="66"/>
        <v>36800000</v>
      </c>
      <c r="AK213" s="1168"/>
    </row>
    <row r="214" spans="1:37" s="786" customFormat="1">
      <c r="A214" s="834" t="s">
        <v>93</v>
      </c>
      <c r="B214" s="570">
        <f t="shared" si="67"/>
        <v>66000000</v>
      </c>
      <c r="C214" s="835" t="s">
        <v>44</v>
      </c>
      <c r="D214" s="835" t="s">
        <v>911</v>
      </c>
      <c r="E214" s="835" t="s">
        <v>153</v>
      </c>
      <c r="F214" s="835" t="s">
        <v>94</v>
      </c>
      <c r="G214" s="1084" t="s">
        <v>86</v>
      </c>
      <c r="H214" s="1409">
        <v>307</v>
      </c>
      <c r="I214" s="788">
        <v>35</v>
      </c>
      <c r="J214" s="789"/>
      <c r="K214" s="801">
        <v>36</v>
      </c>
      <c r="L214" s="222">
        <v>66000000</v>
      </c>
      <c r="M214" s="318">
        <v>16</v>
      </c>
      <c r="N214" s="793">
        <v>66000000</v>
      </c>
      <c r="O214" s="1471">
        <v>21</v>
      </c>
      <c r="P214" s="791"/>
      <c r="Q214" s="563">
        <v>3080000</v>
      </c>
      <c r="R214" s="563">
        <f>VLOOKUP(M214,[5]Hoja2!N$2:T$77,7,0)</f>
        <v>6600000</v>
      </c>
      <c r="S214" s="563"/>
      <c r="T214" s="563"/>
      <c r="U214" s="563"/>
      <c r="V214" s="563"/>
      <c r="W214" s="563"/>
      <c r="X214" s="563"/>
      <c r="Y214" s="563"/>
      <c r="Z214" s="563"/>
      <c r="AA214" s="816"/>
      <c r="AB214" s="794">
        <f t="shared" si="63"/>
        <v>9680000</v>
      </c>
      <c r="AC214" s="792">
        <f t="shared" si="64"/>
        <v>56320000</v>
      </c>
      <c r="AE214" s="1175">
        <v>307</v>
      </c>
      <c r="AF214" s="1176" t="s">
        <v>231</v>
      </c>
      <c r="AG214" s="1504" t="s">
        <v>603</v>
      </c>
      <c r="AH214" s="1498">
        <f t="shared" si="65"/>
        <v>21</v>
      </c>
      <c r="AI214" s="1177">
        <v>66000000</v>
      </c>
      <c r="AJ214" s="1179">
        <f t="shared" si="66"/>
        <v>0</v>
      </c>
      <c r="AK214" s="1168"/>
    </row>
    <row r="215" spans="1:37" s="786" customFormat="1">
      <c r="A215" s="834" t="s">
        <v>93</v>
      </c>
      <c r="B215" s="570">
        <f t="shared" si="67"/>
        <v>52800000</v>
      </c>
      <c r="C215" s="835" t="s">
        <v>44</v>
      </c>
      <c r="D215" s="835" t="s">
        <v>911</v>
      </c>
      <c r="E215" s="835" t="s">
        <v>153</v>
      </c>
      <c r="F215" s="835" t="s">
        <v>94</v>
      </c>
      <c r="G215" s="1084" t="s">
        <v>86</v>
      </c>
      <c r="H215" s="1409">
        <v>308</v>
      </c>
      <c r="I215" s="788">
        <v>36</v>
      </c>
      <c r="J215" s="789"/>
      <c r="K215" s="801">
        <v>132</v>
      </c>
      <c r="L215" s="222">
        <v>52800000</v>
      </c>
      <c r="M215" s="318">
        <v>121</v>
      </c>
      <c r="N215" s="793">
        <v>52800000</v>
      </c>
      <c r="O215" s="1471">
        <v>124</v>
      </c>
      <c r="P215" s="791"/>
      <c r="Q215" s="563">
        <v>1760000</v>
      </c>
      <c r="R215" s="563">
        <f>VLOOKUP(M215,[5]Hoja2!N$2:T$77,7,0)</f>
        <v>6600000</v>
      </c>
      <c r="S215" s="563"/>
      <c r="T215" s="563"/>
      <c r="U215" s="563"/>
      <c r="V215" s="563"/>
      <c r="W215" s="563"/>
      <c r="X215" s="563"/>
      <c r="Y215" s="563"/>
      <c r="Z215" s="563"/>
      <c r="AA215" s="816"/>
      <c r="AB215" s="794">
        <f t="shared" si="63"/>
        <v>8360000</v>
      </c>
      <c r="AC215" s="792">
        <f t="shared" si="64"/>
        <v>44440000</v>
      </c>
      <c r="AE215" s="1175">
        <v>308</v>
      </c>
      <c r="AF215" s="1176" t="s">
        <v>231</v>
      </c>
      <c r="AG215" s="1504" t="s">
        <v>604</v>
      </c>
      <c r="AH215" s="1498">
        <f t="shared" si="65"/>
        <v>124</v>
      </c>
      <c r="AI215" s="1177">
        <v>52800000</v>
      </c>
      <c r="AJ215" s="1179">
        <f t="shared" si="66"/>
        <v>0</v>
      </c>
      <c r="AK215" s="1168"/>
    </row>
    <row r="216" spans="1:37" s="786" customFormat="1">
      <c r="A216" s="834" t="s">
        <v>93</v>
      </c>
      <c r="B216" s="570">
        <f t="shared" si="67"/>
        <v>38720000</v>
      </c>
      <c r="C216" s="835" t="s">
        <v>44</v>
      </c>
      <c r="D216" s="835" t="s">
        <v>911</v>
      </c>
      <c r="E216" s="835" t="s">
        <v>153</v>
      </c>
      <c r="F216" s="835" t="s">
        <v>94</v>
      </c>
      <c r="G216" s="1084" t="s">
        <v>86</v>
      </c>
      <c r="H216" s="1409">
        <v>309</v>
      </c>
      <c r="I216" s="788">
        <v>37</v>
      </c>
      <c r="J216" s="789"/>
      <c r="K216" s="801">
        <v>133</v>
      </c>
      <c r="L216" s="222">
        <v>38720000</v>
      </c>
      <c r="M216" s="318">
        <v>126</v>
      </c>
      <c r="N216" s="793">
        <v>38720000</v>
      </c>
      <c r="O216" s="1471">
        <v>128</v>
      </c>
      <c r="P216" s="791"/>
      <c r="Q216" s="563">
        <v>1452000</v>
      </c>
      <c r="R216" s="563">
        <f>VLOOKUP(M216,[5]Hoja2!N$2:T$77,7,0)</f>
        <v>4840000</v>
      </c>
      <c r="S216" s="563"/>
      <c r="T216" s="563"/>
      <c r="U216" s="563"/>
      <c r="V216" s="563"/>
      <c r="W216" s="563"/>
      <c r="X216" s="563"/>
      <c r="Y216" s="563"/>
      <c r="Z216" s="563"/>
      <c r="AA216" s="816"/>
      <c r="AB216" s="794">
        <f t="shared" si="63"/>
        <v>6292000</v>
      </c>
      <c r="AC216" s="792">
        <f t="shared" si="64"/>
        <v>32428000</v>
      </c>
      <c r="AE216" s="1175">
        <v>309</v>
      </c>
      <c r="AF216" s="1176" t="s">
        <v>232</v>
      </c>
      <c r="AG216" s="1504" t="s">
        <v>605</v>
      </c>
      <c r="AH216" s="1498">
        <f t="shared" si="65"/>
        <v>128</v>
      </c>
      <c r="AI216" s="1177">
        <v>38720000</v>
      </c>
      <c r="AJ216" s="1179">
        <f t="shared" si="66"/>
        <v>0</v>
      </c>
      <c r="AK216" s="1168"/>
    </row>
    <row r="217" spans="1:37" s="786" customFormat="1">
      <c r="A217" s="834" t="s">
        <v>93</v>
      </c>
      <c r="B217" s="570">
        <f t="shared" si="67"/>
        <v>35200000</v>
      </c>
      <c r="C217" s="835" t="s">
        <v>44</v>
      </c>
      <c r="D217" s="835" t="s">
        <v>911</v>
      </c>
      <c r="E217" s="835" t="s">
        <v>153</v>
      </c>
      <c r="F217" s="835" t="s">
        <v>94</v>
      </c>
      <c r="G217" s="1084" t="s">
        <v>86</v>
      </c>
      <c r="H217" s="1409">
        <v>310</v>
      </c>
      <c r="I217" s="788">
        <v>38</v>
      </c>
      <c r="J217" s="789"/>
      <c r="K217" s="801">
        <v>375</v>
      </c>
      <c r="L217" s="222">
        <v>35200000</v>
      </c>
      <c r="M217" s="790">
        <v>398</v>
      </c>
      <c r="N217" s="837">
        <v>35200000</v>
      </c>
      <c r="O217" s="1471">
        <v>301</v>
      </c>
      <c r="P217" s="791"/>
      <c r="Q217" s="563"/>
      <c r="R217" s="563"/>
      <c r="S217" s="563"/>
      <c r="T217" s="563"/>
      <c r="U217" s="563"/>
      <c r="V217" s="563"/>
      <c r="W217" s="563"/>
      <c r="X217" s="563"/>
      <c r="Y217" s="563"/>
      <c r="Z217" s="563"/>
      <c r="AA217" s="816"/>
      <c r="AB217" s="794">
        <f t="shared" si="63"/>
        <v>0</v>
      </c>
      <c r="AC217" s="792">
        <f t="shared" si="64"/>
        <v>35200000</v>
      </c>
      <c r="AE217" s="1175">
        <v>310</v>
      </c>
      <c r="AF217" s="1176" t="s">
        <v>230</v>
      </c>
      <c r="AG217" s="1504" t="s">
        <v>897</v>
      </c>
      <c r="AH217" s="1498">
        <f t="shared" si="65"/>
        <v>301</v>
      </c>
      <c r="AI217" s="1177">
        <f>51810000-16610000</f>
        <v>35200000</v>
      </c>
      <c r="AJ217" s="1179">
        <f t="shared" si="66"/>
        <v>0</v>
      </c>
      <c r="AK217" s="1168"/>
    </row>
    <row r="218" spans="1:37" s="786" customFormat="1" ht="15">
      <c r="A218" s="834" t="s">
        <v>93</v>
      </c>
      <c r="B218" s="570">
        <f t="shared" si="67"/>
        <v>0</v>
      </c>
      <c r="C218" s="835" t="s">
        <v>44</v>
      </c>
      <c r="D218" s="835" t="s">
        <v>911</v>
      </c>
      <c r="E218" s="835" t="s">
        <v>153</v>
      </c>
      <c r="F218" s="835" t="s">
        <v>94</v>
      </c>
      <c r="G218" s="1084" t="s">
        <v>86</v>
      </c>
      <c r="H218" s="1409" t="s">
        <v>363</v>
      </c>
      <c r="I218" s="788">
        <v>39</v>
      </c>
      <c r="J218" s="789"/>
      <c r="K218" s="790"/>
      <c r="L218" s="222"/>
      <c r="M218" s="790"/>
      <c r="N218" s="837"/>
      <c r="O218" s="1471"/>
      <c r="P218" s="791"/>
      <c r="Q218" s="563"/>
      <c r="R218" s="563"/>
      <c r="S218" s="563"/>
      <c r="T218" s="563"/>
      <c r="U218" s="563"/>
      <c r="V218" s="563"/>
      <c r="W218" s="563"/>
      <c r="X218" s="563"/>
      <c r="Y218" s="563"/>
      <c r="Z218" s="563"/>
      <c r="AA218" s="816"/>
      <c r="AB218" s="794">
        <f t="shared" si="63"/>
        <v>0</v>
      </c>
      <c r="AC218" s="792">
        <f t="shared" si="64"/>
        <v>0</v>
      </c>
      <c r="AE218" s="1175" t="s">
        <v>363</v>
      </c>
      <c r="AF218" s="1176" t="s">
        <v>545</v>
      </c>
      <c r="AG218" s="1505"/>
      <c r="AH218" s="1498">
        <f t="shared" si="65"/>
        <v>0</v>
      </c>
      <c r="AI218" s="1177">
        <v>2680000</v>
      </c>
      <c r="AJ218" s="1179">
        <f t="shared" si="66"/>
        <v>2680000</v>
      </c>
      <c r="AK218" s="1168"/>
    </row>
    <row r="219" spans="1:37" s="735" customFormat="1">
      <c r="A219" s="834" t="s">
        <v>93</v>
      </c>
      <c r="B219" s="570">
        <f>L219</f>
        <v>0</v>
      </c>
      <c r="C219" s="835" t="s">
        <v>44</v>
      </c>
      <c r="D219" s="835" t="s">
        <v>911</v>
      </c>
      <c r="E219" s="835" t="s">
        <v>153</v>
      </c>
      <c r="F219" s="835" t="s">
        <v>94</v>
      </c>
      <c r="G219" s="1084" t="s">
        <v>86</v>
      </c>
      <c r="H219" s="1418" t="s">
        <v>188</v>
      </c>
      <c r="I219" s="788">
        <v>40</v>
      </c>
      <c r="J219" s="789"/>
      <c r="K219" s="790"/>
      <c r="L219" s="75"/>
      <c r="M219" s="790"/>
      <c r="N219" s="837"/>
      <c r="O219" s="1471"/>
      <c r="P219" s="791"/>
      <c r="Q219" s="563"/>
      <c r="R219" s="563"/>
      <c r="S219" s="563"/>
      <c r="T219" s="563"/>
      <c r="U219" s="563"/>
      <c r="V219" s="563"/>
      <c r="W219" s="563"/>
      <c r="X219" s="563"/>
      <c r="Y219" s="563"/>
      <c r="Z219" s="563"/>
      <c r="AA219" s="816"/>
      <c r="AB219" s="794">
        <f>SUM(P219:AA219)</f>
        <v>0</v>
      </c>
      <c r="AC219" s="792">
        <f>N219-AB219</f>
        <v>0</v>
      </c>
      <c r="AE219" s="1175"/>
      <c r="AF219" s="1176"/>
      <c r="AG219" s="1504"/>
      <c r="AH219" s="1498">
        <f t="shared" si="65"/>
        <v>0</v>
      </c>
      <c r="AI219" s="1177"/>
      <c r="AJ219" s="1179">
        <f t="shared" si="66"/>
        <v>0</v>
      </c>
      <c r="AK219" s="1168"/>
    </row>
    <row r="220" spans="1:37" s="735" customFormat="1" ht="12">
      <c r="A220" s="838" t="s">
        <v>87</v>
      </c>
      <c r="B220" s="15">
        <f>B178-SUM(B179:B219)</f>
        <v>126277500</v>
      </c>
      <c r="C220" s="59"/>
      <c r="D220" s="59"/>
      <c r="E220" s="59"/>
      <c r="F220" s="59"/>
      <c r="G220" s="839"/>
      <c r="H220" s="1419"/>
      <c r="I220" s="812"/>
      <c r="J220" s="813"/>
      <c r="K220" s="814"/>
      <c r="L220" s="769">
        <f>SUM(L179:L219)</f>
        <v>1701722500</v>
      </c>
      <c r="M220" s="119"/>
      <c r="N220" s="769">
        <f>SUM(N179:N219)</f>
        <v>1701722500</v>
      </c>
      <c r="O220" s="1477"/>
      <c r="P220" s="769">
        <f>SUM(P179:P219)</f>
        <v>0</v>
      </c>
      <c r="Q220" s="769">
        <f>SUM(Q179:Q219)</f>
        <v>37649269</v>
      </c>
      <c r="R220" s="769">
        <f t="shared" ref="R220:AC220" si="68">SUM(R179:R219)</f>
        <v>141246000</v>
      </c>
      <c r="S220" s="769">
        <f t="shared" si="68"/>
        <v>0</v>
      </c>
      <c r="T220" s="769">
        <f t="shared" si="68"/>
        <v>0</v>
      </c>
      <c r="U220" s="769">
        <f t="shared" si="68"/>
        <v>0</v>
      </c>
      <c r="V220" s="769">
        <f t="shared" si="68"/>
        <v>0</v>
      </c>
      <c r="W220" s="769">
        <f t="shared" si="68"/>
        <v>0</v>
      </c>
      <c r="X220" s="769">
        <f t="shared" si="68"/>
        <v>0</v>
      </c>
      <c r="Y220" s="769">
        <f t="shared" si="68"/>
        <v>0</v>
      </c>
      <c r="Z220" s="769">
        <f t="shared" si="68"/>
        <v>0</v>
      </c>
      <c r="AA220" s="769">
        <f t="shared" si="68"/>
        <v>0</v>
      </c>
      <c r="AB220" s="769">
        <f t="shared" si="68"/>
        <v>178895269</v>
      </c>
      <c r="AC220" s="769">
        <f t="shared" si="68"/>
        <v>1522827231</v>
      </c>
      <c r="AE220" s="1180"/>
      <c r="AF220" s="15"/>
      <c r="AG220" s="15"/>
      <c r="AH220" s="1496"/>
      <c r="AI220" s="15">
        <f>SUM(AI179:AI219)</f>
        <v>1828000000</v>
      </c>
      <c r="AJ220" s="206">
        <f>SUM(AJ179:AJ219)</f>
        <v>126277500</v>
      </c>
      <c r="AK220" s="1168">
        <f>B178-AI220</f>
        <v>0</v>
      </c>
    </row>
    <row r="221" spans="1:37" s="786" customFormat="1" ht="57" customHeight="1">
      <c r="A221" s="833" t="s">
        <v>92</v>
      </c>
      <c r="B221" s="1069">
        <v>126000000</v>
      </c>
      <c r="C221" s="1054" t="s">
        <v>44</v>
      </c>
      <c r="D221" s="1054" t="s">
        <v>911</v>
      </c>
      <c r="E221" s="1054" t="s">
        <v>153</v>
      </c>
      <c r="F221" s="1054" t="s">
        <v>94</v>
      </c>
      <c r="G221" s="1055" t="s">
        <v>86</v>
      </c>
      <c r="H221" s="1417"/>
      <c r="I221" s="1082">
        <v>0</v>
      </c>
      <c r="J221" s="1077"/>
      <c r="K221" s="1428"/>
      <c r="L221" s="1077"/>
      <c r="M221" s="1428"/>
      <c r="N221" s="1077"/>
      <c r="O221" s="1479"/>
      <c r="P221" s="1081"/>
      <c r="Q221" s="1077"/>
      <c r="R221" s="1077"/>
      <c r="S221" s="1077"/>
      <c r="T221" s="1077"/>
      <c r="U221" s="1077"/>
      <c r="V221" s="1077"/>
      <c r="W221" s="1077"/>
      <c r="X221" s="1077"/>
      <c r="Y221" s="1077"/>
      <c r="Z221" s="1077"/>
      <c r="AA221" s="1079"/>
      <c r="AB221" s="1081"/>
      <c r="AC221" s="1079"/>
      <c r="AE221" s="1645"/>
      <c r="AF221" s="1077"/>
      <c r="AG221" s="1077"/>
      <c r="AH221" s="1077"/>
      <c r="AI221" s="1077"/>
      <c r="AJ221" s="1079"/>
      <c r="AK221" s="1168"/>
    </row>
    <row r="222" spans="1:37" s="786" customFormat="1">
      <c r="A222" s="834" t="s">
        <v>92</v>
      </c>
      <c r="B222" s="570">
        <f>L222</f>
        <v>55600000</v>
      </c>
      <c r="C222" s="835" t="s">
        <v>44</v>
      </c>
      <c r="D222" s="835" t="s">
        <v>911</v>
      </c>
      <c r="E222" s="835" t="s">
        <v>153</v>
      </c>
      <c r="F222" s="835" t="s">
        <v>94</v>
      </c>
      <c r="G222" s="836" t="s">
        <v>86</v>
      </c>
      <c r="H222" s="1409">
        <v>393</v>
      </c>
      <c r="I222" s="1097">
        <v>0</v>
      </c>
      <c r="J222" s="220"/>
      <c r="K222" s="801">
        <v>214</v>
      </c>
      <c r="L222" s="222">
        <v>55600000</v>
      </c>
      <c r="M222" s="318">
        <v>235</v>
      </c>
      <c r="N222" s="793">
        <v>55600000</v>
      </c>
      <c r="O222" s="1481">
        <v>218</v>
      </c>
      <c r="P222" s="1097"/>
      <c r="Q222" s="220"/>
      <c r="R222" s="220">
        <v>4448000</v>
      </c>
      <c r="S222" s="220"/>
      <c r="T222" s="220"/>
      <c r="U222" s="220"/>
      <c r="V222" s="220"/>
      <c r="W222" s="220"/>
      <c r="X222" s="220"/>
      <c r="Y222" s="220"/>
      <c r="Z222" s="220"/>
      <c r="AA222" s="1098"/>
      <c r="AB222" s="794">
        <f>SUM(P222:AA222)</f>
        <v>4448000</v>
      </c>
      <c r="AC222" s="792">
        <f>N222-AB222</f>
        <v>51152000</v>
      </c>
      <c r="AE222" s="1175">
        <v>393</v>
      </c>
      <c r="AF222" s="1176" t="s">
        <v>195</v>
      </c>
      <c r="AG222" s="1504" t="s">
        <v>803</v>
      </c>
      <c r="AH222" s="1498">
        <f>O222</f>
        <v>218</v>
      </c>
      <c r="AI222" s="1177">
        <v>55600000</v>
      </c>
      <c r="AJ222" s="1179">
        <f>AI222-N222</f>
        <v>0</v>
      </c>
      <c r="AK222" s="1168"/>
    </row>
    <row r="223" spans="1:37" s="786" customFormat="1">
      <c r="A223" s="834" t="s">
        <v>92</v>
      </c>
      <c r="B223" s="570">
        <f>L223</f>
        <v>66400000</v>
      </c>
      <c r="C223" s="835" t="s">
        <v>44</v>
      </c>
      <c r="D223" s="835" t="s">
        <v>911</v>
      </c>
      <c r="E223" s="835" t="s">
        <v>153</v>
      </c>
      <c r="F223" s="835" t="s">
        <v>94</v>
      </c>
      <c r="G223" s="836" t="s">
        <v>86</v>
      </c>
      <c r="H223" s="1409">
        <v>394</v>
      </c>
      <c r="I223" s="1097">
        <v>0</v>
      </c>
      <c r="J223" s="1097"/>
      <c r="K223" s="801">
        <v>123</v>
      </c>
      <c r="L223" s="222">
        <v>66400000</v>
      </c>
      <c r="M223" s="318">
        <v>75</v>
      </c>
      <c r="N223" s="793">
        <v>66400000</v>
      </c>
      <c r="O223" s="1471">
        <v>107</v>
      </c>
      <c r="P223" s="1097"/>
      <c r="Q223" s="563">
        <v>2213333</v>
      </c>
      <c r="R223" s="563">
        <f>VLOOKUP(M223,[5]Hoja2!N$2:T$77,7,0)</f>
        <v>6640000</v>
      </c>
      <c r="S223" s="220"/>
      <c r="T223" s="220"/>
      <c r="U223" s="220"/>
      <c r="V223" s="220"/>
      <c r="W223" s="220"/>
      <c r="X223" s="220"/>
      <c r="Y223" s="220"/>
      <c r="Z223" s="220"/>
      <c r="AA223" s="1098"/>
      <c r="AB223" s="794">
        <f>SUM(P223:AA223)</f>
        <v>8853333</v>
      </c>
      <c r="AC223" s="792">
        <f>N223-AB223</f>
        <v>57546667</v>
      </c>
      <c r="AE223" s="1175">
        <v>394</v>
      </c>
      <c r="AF223" s="1176" t="s">
        <v>196</v>
      </c>
      <c r="AG223" s="1504" t="s">
        <v>606</v>
      </c>
      <c r="AH223" s="1498">
        <f>O223</f>
        <v>107</v>
      </c>
      <c r="AI223" s="1177">
        <v>66400000</v>
      </c>
      <c r="AJ223" s="1179">
        <f>AI223-N223</f>
        <v>0</v>
      </c>
      <c r="AK223" s="1168"/>
    </row>
    <row r="224" spans="1:37" s="786" customFormat="1" ht="15">
      <c r="A224" s="834" t="s">
        <v>92</v>
      </c>
      <c r="B224" s="570">
        <f>L224</f>
        <v>446000</v>
      </c>
      <c r="C224" s="835" t="s">
        <v>44</v>
      </c>
      <c r="D224" s="835" t="s">
        <v>911</v>
      </c>
      <c r="E224" s="835" t="s">
        <v>153</v>
      </c>
      <c r="F224" s="835" t="s">
        <v>94</v>
      </c>
      <c r="G224" s="836" t="s">
        <v>86</v>
      </c>
      <c r="H224" s="1409" t="s">
        <v>156</v>
      </c>
      <c r="I224" s="1097">
        <v>0</v>
      </c>
      <c r="J224" s="1097"/>
      <c r="K224" s="790" t="s">
        <v>873</v>
      </c>
      <c r="L224" s="222">
        <f>137200+308800</f>
        <v>446000</v>
      </c>
      <c r="M224" s="318" t="s">
        <v>874</v>
      </c>
      <c r="N224" s="222">
        <f>137200+308800</f>
        <v>446000</v>
      </c>
      <c r="O224" s="1481" t="s">
        <v>808</v>
      </c>
      <c r="P224" s="1097"/>
      <c r="Q224" s="222">
        <v>137200</v>
      </c>
      <c r="R224" s="563">
        <v>308800</v>
      </c>
      <c r="S224" s="220"/>
      <c r="T224" s="220"/>
      <c r="U224" s="220"/>
      <c r="V224" s="220"/>
      <c r="W224" s="220"/>
      <c r="X224" s="220"/>
      <c r="Y224" s="220"/>
      <c r="Z224" s="220"/>
      <c r="AA224" s="1098"/>
      <c r="AB224" s="794">
        <f>SUM(P224:AA224)</f>
        <v>446000</v>
      </c>
      <c r="AC224" s="792">
        <f>N224-AB224</f>
        <v>0</v>
      </c>
      <c r="AE224" s="1175" t="s">
        <v>156</v>
      </c>
      <c r="AF224" s="1176" t="s">
        <v>197</v>
      </c>
      <c r="AG224" s="1505" t="s">
        <v>188</v>
      </c>
      <c r="AH224" s="1498" t="str">
        <f>O224</f>
        <v>ARL</v>
      </c>
      <c r="AI224" s="1177">
        <v>4000000</v>
      </c>
      <c r="AJ224" s="1179">
        <f>AI224-N224</f>
        <v>3554000</v>
      </c>
      <c r="AK224" s="1168"/>
    </row>
    <row r="225" spans="1:37" s="735" customFormat="1">
      <c r="A225" s="834" t="s">
        <v>92</v>
      </c>
      <c r="B225" s="570">
        <f>L225</f>
        <v>0</v>
      </c>
      <c r="C225" s="835" t="s">
        <v>44</v>
      </c>
      <c r="D225" s="835" t="s">
        <v>911</v>
      </c>
      <c r="E225" s="835" t="s">
        <v>153</v>
      </c>
      <c r="F225" s="835" t="s">
        <v>94</v>
      </c>
      <c r="G225" s="836" t="s">
        <v>86</v>
      </c>
      <c r="H225" s="1418" t="s">
        <v>188</v>
      </c>
      <c r="I225" s="788">
        <v>0</v>
      </c>
      <c r="J225" s="789"/>
      <c r="K225" s="790"/>
      <c r="L225" s="75"/>
      <c r="M225" s="790"/>
      <c r="N225" s="837"/>
      <c r="O225" s="1471"/>
      <c r="P225" s="791"/>
      <c r="Q225" s="563"/>
      <c r="R225" s="563"/>
      <c r="S225" s="563"/>
      <c r="T225" s="563"/>
      <c r="U225" s="563"/>
      <c r="V225" s="563"/>
      <c r="W225" s="563"/>
      <c r="X225" s="563"/>
      <c r="Y225" s="563"/>
      <c r="Z225" s="563"/>
      <c r="AA225" s="816"/>
      <c r="AB225" s="794">
        <f>SUM(P225:AA225)</f>
        <v>0</v>
      </c>
      <c r="AC225" s="792">
        <f>N225-AB225</f>
        <v>0</v>
      </c>
      <c r="AE225" s="1175"/>
      <c r="AF225" s="1176"/>
      <c r="AG225" s="1504"/>
      <c r="AH225" s="1498">
        <f>O225</f>
        <v>0</v>
      </c>
      <c r="AI225" s="1177"/>
      <c r="AJ225" s="1179">
        <f>AI225-N225</f>
        <v>0</v>
      </c>
      <c r="AK225" s="1168"/>
    </row>
    <row r="226" spans="1:37" s="735" customFormat="1" ht="12">
      <c r="A226" s="838" t="s">
        <v>87</v>
      </c>
      <c r="B226" s="15">
        <f>B221-SUM(B222:B225)</f>
        <v>3554000</v>
      </c>
      <c r="C226" s="59"/>
      <c r="D226" s="59"/>
      <c r="E226" s="59"/>
      <c r="F226" s="59"/>
      <c r="G226" s="839"/>
      <c r="H226" s="1419"/>
      <c r="I226" s="812"/>
      <c r="J226" s="813"/>
      <c r="K226" s="814"/>
      <c r="L226" s="769">
        <f>SUM(L222:L225)</f>
        <v>122446000</v>
      </c>
      <c r="M226" s="119"/>
      <c r="N226" s="769">
        <f>SUM(N222:N225)</f>
        <v>122446000</v>
      </c>
      <c r="O226" s="1477"/>
      <c r="P226" s="813">
        <f>SUM(P222:P225)</f>
        <v>0</v>
      </c>
      <c r="Q226" s="813">
        <f>SUM(Q222:Q225)</f>
        <v>2350533</v>
      </c>
      <c r="R226" s="813">
        <f t="shared" ref="R226:AC226" si="69">SUM(R222:R225)</f>
        <v>11396800</v>
      </c>
      <c r="S226" s="813">
        <f t="shared" si="69"/>
        <v>0</v>
      </c>
      <c r="T226" s="813">
        <f t="shared" si="69"/>
        <v>0</v>
      </c>
      <c r="U226" s="813">
        <f t="shared" si="69"/>
        <v>0</v>
      </c>
      <c r="V226" s="813">
        <f t="shared" si="69"/>
        <v>0</v>
      </c>
      <c r="W226" s="813">
        <f t="shared" si="69"/>
        <v>0</v>
      </c>
      <c r="X226" s="813">
        <f t="shared" si="69"/>
        <v>0</v>
      </c>
      <c r="Y226" s="813">
        <f t="shared" si="69"/>
        <v>0</v>
      </c>
      <c r="Z226" s="813">
        <f t="shared" si="69"/>
        <v>0</v>
      </c>
      <c r="AA226" s="813">
        <f t="shared" si="69"/>
        <v>0</v>
      </c>
      <c r="AB226" s="813">
        <f t="shared" si="69"/>
        <v>13747333</v>
      </c>
      <c r="AC226" s="813">
        <f t="shared" si="69"/>
        <v>108698667</v>
      </c>
      <c r="AE226" s="1180"/>
      <c r="AF226" s="15"/>
      <c r="AG226" s="15"/>
      <c r="AH226" s="1496"/>
      <c r="AI226" s="15">
        <f>SUM(AI222:AI225)</f>
        <v>126000000</v>
      </c>
      <c r="AJ226" s="206">
        <f>SUM(AJ222:AJ225)</f>
        <v>3554000</v>
      </c>
      <c r="AK226" s="1168">
        <f>B221-AI226</f>
        <v>0</v>
      </c>
    </row>
    <row r="227" spans="1:37" s="735" customFormat="1" ht="34.5" customHeight="1">
      <c r="A227" s="1061" t="s">
        <v>158</v>
      </c>
      <c r="B227" s="1065">
        <v>38000000</v>
      </c>
      <c r="C227" s="1062" t="s">
        <v>159</v>
      </c>
      <c r="D227" s="1063" t="s">
        <v>909</v>
      </c>
      <c r="E227" s="1185" t="s">
        <v>153</v>
      </c>
      <c r="F227" s="1063" t="s">
        <v>912</v>
      </c>
      <c r="G227" s="1064" t="s">
        <v>86</v>
      </c>
      <c r="H227" s="1420"/>
      <c r="I227" s="1397"/>
      <c r="J227" s="1398"/>
      <c r="K227" s="1399"/>
      <c r="L227" s="1400"/>
      <c r="M227" s="1399"/>
      <c r="N227" s="1400"/>
      <c r="O227" s="1482"/>
      <c r="P227" s="1399"/>
      <c r="Q227" s="1399"/>
      <c r="R227" s="1399"/>
      <c r="S227" s="1399"/>
      <c r="T227" s="1399"/>
      <c r="U227" s="1399"/>
      <c r="V227" s="1399"/>
      <c r="W227" s="1399"/>
      <c r="X227" s="1399"/>
      <c r="Y227" s="1399"/>
      <c r="Z227" s="1399"/>
      <c r="AA227" s="1399"/>
      <c r="AB227" s="1399">
        <f>SUM(P227:AA227)</f>
        <v>0</v>
      </c>
      <c r="AC227" s="1399">
        <f>N227-AB227</f>
        <v>0</v>
      </c>
      <c r="AE227" s="1401"/>
      <c r="AF227" s="1402"/>
      <c r="AG227" s="1506"/>
      <c r="AH227" s="1493"/>
      <c r="AI227" s="1403"/>
      <c r="AJ227" s="1404"/>
      <c r="AK227" s="1168"/>
    </row>
    <row r="228" spans="1:37" s="735" customFormat="1">
      <c r="A228" s="1187" t="s">
        <v>158</v>
      </c>
      <c r="B228" s="846"/>
      <c r="C228" s="1075" t="s">
        <v>159</v>
      </c>
      <c r="D228" s="1076" t="s">
        <v>909</v>
      </c>
      <c r="E228" s="1076" t="s">
        <v>153</v>
      </c>
      <c r="F228" s="1076" t="s">
        <v>912</v>
      </c>
      <c r="G228" s="1186" t="s">
        <v>86</v>
      </c>
      <c r="H228" s="1409" t="s">
        <v>363</v>
      </c>
      <c r="I228" s="844">
        <v>0</v>
      </c>
      <c r="J228" s="845"/>
      <c r="K228" s="402"/>
      <c r="L228" s="846"/>
      <c r="M228" s="402"/>
      <c r="N228" s="846"/>
      <c r="O228" s="1483"/>
      <c r="P228" s="845"/>
      <c r="Q228" s="846"/>
      <c r="R228" s="846"/>
      <c r="S228" s="846"/>
      <c r="T228" s="846"/>
      <c r="U228" s="846"/>
      <c r="V228" s="846"/>
      <c r="W228" s="846"/>
      <c r="X228" s="846"/>
      <c r="Y228" s="846"/>
      <c r="Z228" s="846"/>
      <c r="AA228" s="1060"/>
      <c r="AB228" s="794">
        <f>SUM(P228:AA228)</f>
        <v>0</v>
      </c>
      <c r="AC228" s="792">
        <f>N228-AB228</f>
        <v>0</v>
      </c>
      <c r="AE228" s="1175" t="s">
        <v>363</v>
      </c>
      <c r="AF228" s="1176" t="s">
        <v>520</v>
      </c>
      <c r="AG228" s="1504" t="s">
        <v>188</v>
      </c>
      <c r="AH228" s="1498">
        <f>O228</f>
        <v>0</v>
      </c>
      <c r="AI228" s="1177">
        <v>38000000</v>
      </c>
      <c r="AJ228" s="1179">
        <f>AI228-N228</f>
        <v>38000000</v>
      </c>
      <c r="AK228" s="1168"/>
    </row>
    <row r="229" spans="1:37" s="735" customFormat="1" ht="12">
      <c r="A229" s="838"/>
      <c r="B229" s="15">
        <f>B227-SUM(B228:B228)</f>
        <v>38000000</v>
      </c>
      <c r="C229" s="59"/>
      <c r="D229" s="59"/>
      <c r="E229" s="59"/>
      <c r="F229" s="59"/>
      <c r="G229" s="839"/>
      <c r="H229" s="1419"/>
      <c r="I229" s="812"/>
      <c r="J229" s="813"/>
      <c r="K229" s="814"/>
      <c r="L229" s="769">
        <f>SUM(L228:L228)</f>
        <v>0</v>
      </c>
      <c r="M229" s="119"/>
      <c r="N229" s="769">
        <f>SUM(N228:N228)</f>
        <v>0</v>
      </c>
      <c r="O229" s="1477"/>
      <c r="P229" s="769">
        <f t="shared" ref="P229:AC229" si="70">SUM(P228:P228)</f>
        <v>0</v>
      </c>
      <c r="Q229" s="769">
        <f t="shared" si="70"/>
        <v>0</v>
      </c>
      <c r="R229" s="769">
        <f t="shared" si="70"/>
        <v>0</v>
      </c>
      <c r="S229" s="769">
        <f t="shared" si="70"/>
        <v>0</v>
      </c>
      <c r="T229" s="769">
        <f t="shared" si="70"/>
        <v>0</v>
      </c>
      <c r="U229" s="769">
        <f t="shared" si="70"/>
        <v>0</v>
      </c>
      <c r="V229" s="769">
        <f t="shared" si="70"/>
        <v>0</v>
      </c>
      <c r="W229" s="769">
        <f t="shared" si="70"/>
        <v>0</v>
      </c>
      <c r="X229" s="769">
        <f t="shared" si="70"/>
        <v>0</v>
      </c>
      <c r="Y229" s="769">
        <f t="shared" si="70"/>
        <v>0</v>
      </c>
      <c r="Z229" s="769">
        <f t="shared" si="70"/>
        <v>0</v>
      </c>
      <c r="AA229" s="769">
        <f t="shared" si="70"/>
        <v>0</v>
      </c>
      <c r="AB229" s="769">
        <f t="shared" si="70"/>
        <v>0</v>
      </c>
      <c r="AC229" s="815">
        <f t="shared" si="70"/>
        <v>0</v>
      </c>
      <c r="AE229" s="1180"/>
      <c r="AF229" s="15"/>
      <c r="AG229" s="15"/>
      <c r="AH229" s="1496"/>
      <c r="AI229" s="15">
        <f>SUM(AI228:AI228)</f>
        <v>38000000</v>
      </c>
      <c r="AJ229" s="1182">
        <f>SUM(AJ228:AJ228)</f>
        <v>38000000</v>
      </c>
      <c r="AK229" s="1168">
        <f>B227-AI229</f>
        <v>0</v>
      </c>
    </row>
    <row r="230" spans="1:37" s="735" customFormat="1">
      <c r="A230" s="840"/>
      <c r="B230" s="841"/>
      <c r="C230" s="842"/>
      <c r="D230" s="842"/>
      <c r="E230" s="842"/>
      <c r="F230" s="842"/>
      <c r="G230" s="843"/>
      <c r="H230" s="1421"/>
      <c r="I230" s="844"/>
      <c r="J230" s="845"/>
      <c r="K230" s="402"/>
      <c r="L230" s="846"/>
      <c r="M230" s="402"/>
      <c r="N230" s="809"/>
      <c r="O230" s="1484"/>
      <c r="P230" s="810"/>
      <c r="Q230" s="811"/>
      <c r="R230" s="811"/>
      <c r="S230" s="811"/>
      <c r="T230" s="811"/>
      <c r="U230" s="811"/>
      <c r="V230" s="811"/>
      <c r="W230" s="811"/>
      <c r="X230" s="811"/>
      <c r="Y230" s="811"/>
      <c r="Z230" s="811"/>
      <c r="AA230" s="847"/>
      <c r="AB230" s="810"/>
      <c r="AC230" s="847"/>
      <c r="AE230" s="1175"/>
      <c r="AF230" s="1176"/>
      <c r="AG230" s="1504"/>
      <c r="AH230" s="1492"/>
      <c r="AI230" s="1177"/>
      <c r="AJ230" s="1178"/>
      <c r="AK230" s="1168"/>
    </row>
    <row r="231" spans="1:37" s="735" customFormat="1" ht="18.75" customHeight="1" thickBot="1">
      <c r="A231" s="848" t="s">
        <v>185</v>
      </c>
      <c r="B231" s="849">
        <f>B16+B110+B140+B177+B227</f>
        <v>16997000000</v>
      </c>
      <c r="C231" s="850"/>
      <c r="D231" s="850"/>
      <c r="E231" s="850"/>
      <c r="F231" s="850"/>
      <c r="G231" s="851"/>
      <c r="H231" s="1422"/>
      <c r="I231" s="852"/>
      <c r="J231" s="853"/>
      <c r="K231" s="854"/>
      <c r="L231" s="849">
        <f>L23+L32+L35+L38+L41+L44+L47+L50+L53+L59+L66+L74+L77+L80+L109+L135+L139+L143+L167+L170+L173+L176+L220+L226+L229</f>
        <v>5298061048</v>
      </c>
      <c r="M231" s="854"/>
      <c r="N231" s="849">
        <f>N23+N32+N35+N38+N41+N44+N47+N50+N53+N59+N66+N74+N77+N80+N109+N135+N139+N143+N167+N170+N173+N176+N220+N226+N229</f>
        <v>4321401048</v>
      </c>
      <c r="O231" s="1485"/>
      <c r="P231" s="849">
        <f t="shared" ref="P231:AC231" si="71">P23+P32+P35+P38+P41+P44+P47+P50+P53+P59+P66+P74+P77+P80+P109+P135+P139+P143+P167+P170+P173+P176+P220+P226+P229</f>
        <v>0</v>
      </c>
      <c r="Q231" s="849">
        <f>Q23+Q32+Q35+Q38+Q41+Q44+Q47+Q50+Q53+Q59+Q66+Q74+Q77+Q80+Q109+Q135+Q139+Q143+Q167+Q170+Q173+Q176+Q220+Q226+Q229</f>
        <v>79967116</v>
      </c>
      <c r="R231" s="849">
        <f t="shared" si="71"/>
        <v>352310827</v>
      </c>
      <c r="S231" s="849">
        <f t="shared" si="71"/>
        <v>0</v>
      </c>
      <c r="T231" s="849">
        <f t="shared" si="71"/>
        <v>0</v>
      </c>
      <c r="U231" s="849">
        <f t="shared" si="71"/>
        <v>0</v>
      </c>
      <c r="V231" s="849">
        <f t="shared" si="71"/>
        <v>0</v>
      </c>
      <c r="W231" s="849">
        <f t="shared" si="71"/>
        <v>0</v>
      </c>
      <c r="X231" s="849">
        <f t="shared" si="71"/>
        <v>0</v>
      </c>
      <c r="Y231" s="849">
        <f t="shared" si="71"/>
        <v>0</v>
      </c>
      <c r="Z231" s="849">
        <f t="shared" si="71"/>
        <v>0</v>
      </c>
      <c r="AA231" s="849">
        <f t="shared" si="71"/>
        <v>0</v>
      </c>
      <c r="AB231" s="849">
        <f t="shared" si="71"/>
        <v>432277943</v>
      </c>
      <c r="AC231" s="855">
        <f t="shared" si="71"/>
        <v>3889123105</v>
      </c>
      <c r="AE231" s="1183"/>
      <c r="AF231" s="1184"/>
      <c r="AG231" s="1507"/>
      <c r="AH231" s="1494"/>
      <c r="AI231" s="1647">
        <f>AI23+AI32+AI35+AI38+AI41+AI44+AI47+AI50+AI53+AI59+AI66+AI74+AI77+AI80+AI109+AI135+AI139+AI143+AI167+AI170+AI173+AI176+AI220+AI226+AI229</f>
        <v>16997000000</v>
      </c>
      <c r="AJ231" s="1648">
        <f>AJ23+AJ32+AJ35+AJ38+AJ41+AJ44+AJ47+AJ50+AJ53+AJ59+AJ66+AJ74+AJ77+AJ80+AJ109+AJ135+AJ139+AJ143+AJ167+AJ170+AJ173+AJ176+AJ220+AJ226+AJ229</f>
        <v>12675598952</v>
      </c>
      <c r="AK231" s="1639">
        <f>AK23+AK32+AK35+AK38+AK41+AK44+AK47+AK50+AK53+AK59+AK66+AK74+AK77+AK80+AK109+AK135+AK139+AK143+AK167+AK170+AK173+AK176+AK220+AK226+AK229</f>
        <v>0</v>
      </c>
    </row>
    <row r="232" spans="1:37" s="864" customFormat="1">
      <c r="A232" s="856"/>
      <c r="B232" s="857"/>
      <c r="C232" s="858"/>
      <c r="D232" s="858"/>
      <c r="E232" s="858"/>
      <c r="F232" s="858"/>
      <c r="G232" s="858"/>
      <c r="H232" s="860"/>
      <c r="I232" s="859"/>
      <c r="J232" s="857"/>
      <c r="K232" s="860"/>
      <c r="L232" s="857"/>
      <c r="M232" s="860"/>
      <c r="N232" s="861"/>
      <c r="O232" s="1486"/>
      <c r="P232" s="862"/>
      <c r="Q232" s="862"/>
      <c r="R232" s="862"/>
      <c r="S232" s="862"/>
      <c r="T232" s="862"/>
      <c r="U232" s="862"/>
      <c r="V232" s="862"/>
      <c r="W232" s="862"/>
      <c r="X232" s="862"/>
      <c r="Y232" s="862"/>
      <c r="Z232" s="862"/>
      <c r="AA232" s="862"/>
      <c r="AB232" s="862"/>
      <c r="AC232" s="863"/>
      <c r="AE232" s="1089"/>
      <c r="AF232" s="1090"/>
      <c r="AG232" s="1508"/>
      <c r="AH232" s="1495"/>
      <c r="AI232" s="1094"/>
      <c r="AJ232" s="1090"/>
      <c r="AK232" s="1169"/>
    </row>
    <row r="233" spans="1:37" s="864" customFormat="1">
      <c r="A233" s="865"/>
      <c r="B233" s="857"/>
      <c r="C233" s="858"/>
      <c r="D233" s="858"/>
      <c r="E233" s="858"/>
      <c r="F233" s="858"/>
      <c r="G233" s="858"/>
      <c r="H233" s="860"/>
      <c r="I233" s="859"/>
      <c r="J233" s="857"/>
      <c r="K233" s="860"/>
      <c r="L233" s="857"/>
      <c r="M233" s="860"/>
      <c r="N233" s="861"/>
      <c r="O233" s="1486"/>
      <c r="P233" s="862"/>
      <c r="Q233" s="862"/>
      <c r="R233" s="862"/>
      <c r="S233" s="862"/>
      <c r="T233" s="862"/>
      <c r="U233" s="862"/>
      <c r="V233" s="862"/>
      <c r="W233" s="862"/>
      <c r="X233" s="862"/>
      <c r="Y233" s="862"/>
      <c r="Z233" s="862"/>
      <c r="AA233" s="862"/>
      <c r="AB233" s="862"/>
      <c r="AC233" s="863"/>
      <c r="AE233" s="1089"/>
      <c r="AF233" s="1090"/>
      <c r="AG233" s="1508"/>
      <c r="AH233" s="1495"/>
      <c r="AI233" s="1094"/>
      <c r="AJ233" s="1090"/>
      <c r="AK233" s="1169"/>
    </row>
    <row r="234" spans="1:37">
      <c r="A234" s="866" t="s">
        <v>37</v>
      </c>
      <c r="B234" s="1056" t="s">
        <v>19</v>
      </c>
      <c r="C234" s="858"/>
      <c r="D234" s="858"/>
      <c r="E234" s="858"/>
      <c r="F234" s="867"/>
      <c r="G234" s="867"/>
      <c r="H234" s="870"/>
      <c r="I234" s="868"/>
      <c r="J234" s="869"/>
      <c r="K234" s="870"/>
      <c r="L234" s="869"/>
      <c r="M234" s="870"/>
      <c r="N234" s="871"/>
      <c r="O234" s="1487"/>
      <c r="P234" s="872"/>
      <c r="Q234" s="872"/>
      <c r="R234" s="872"/>
      <c r="S234" s="872"/>
      <c r="T234" s="872"/>
      <c r="U234" s="872"/>
      <c r="V234" s="872"/>
      <c r="W234" s="872"/>
      <c r="X234" s="872"/>
      <c r="Y234" s="872"/>
      <c r="Z234" s="872"/>
      <c r="AA234" s="872"/>
      <c r="AB234" s="872"/>
      <c r="AC234" s="873"/>
    </row>
    <row r="235" spans="1:37" ht="20.25" customHeight="1">
      <c r="A235" s="865"/>
      <c r="B235" s="857"/>
      <c r="C235" s="858"/>
      <c r="D235" s="858"/>
      <c r="E235" s="858"/>
      <c r="F235" s="867"/>
      <c r="G235" s="867"/>
      <c r="H235" s="870"/>
      <c r="I235" s="874"/>
      <c r="J235" s="81"/>
      <c r="K235" s="323"/>
      <c r="L235" s="130" t="s">
        <v>24</v>
      </c>
      <c r="M235" s="403" t="s">
        <v>25</v>
      </c>
      <c r="N235" s="26" t="s">
        <v>128</v>
      </c>
      <c r="O235" s="1615" t="s">
        <v>136</v>
      </c>
      <c r="P235" s="875">
        <v>0</v>
      </c>
      <c r="Q235" s="875">
        <v>79967116</v>
      </c>
      <c r="R235" s="875">
        <v>352310827</v>
      </c>
      <c r="S235" s="875"/>
      <c r="T235" s="875"/>
      <c r="U235" s="875"/>
      <c r="V235" s="875"/>
      <c r="W235" s="875"/>
      <c r="X235" s="875"/>
      <c r="Y235" s="875"/>
      <c r="Z235" s="875"/>
      <c r="AA235" s="875"/>
      <c r="AB235" s="875">
        <f>SUM(P235:AA235)</f>
        <v>432277943</v>
      </c>
      <c r="AC235" s="876">
        <f>N231-AB235</f>
        <v>3889123105</v>
      </c>
    </row>
    <row r="236" spans="1:37" ht="27" customHeight="1">
      <c r="A236" s="877" t="s">
        <v>38</v>
      </c>
      <c r="B236" s="878">
        <f>B17+B25+B33+B36+B39+B42+B45+B48+B51+B54+B60+B67+B75+B78+B81+B111+B136+B141+B144+B168+B171+B174+B178+B221+B227</f>
        <v>16997000000</v>
      </c>
      <c r="C236" s="879"/>
      <c r="D236" s="858"/>
      <c r="E236" s="858"/>
      <c r="F236" s="1780"/>
      <c r="G236" s="1780"/>
      <c r="H236" s="323"/>
      <c r="I236" s="880"/>
      <c r="J236" s="881"/>
      <c r="K236" s="882"/>
      <c r="L236" s="883">
        <f>L231</f>
        <v>5298061048</v>
      </c>
      <c r="M236" s="883">
        <f>N231</f>
        <v>4321401048</v>
      </c>
      <c r="N236" s="884">
        <f>AB231</f>
        <v>432277943</v>
      </c>
      <c r="O236" s="1487"/>
      <c r="P236" s="872"/>
      <c r="Q236" s="872"/>
      <c r="R236" s="872"/>
      <c r="S236" s="872"/>
      <c r="T236" s="872"/>
      <c r="U236" s="872"/>
      <c r="V236" s="872"/>
      <c r="W236" s="872"/>
      <c r="X236" s="872"/>
      <c r="Y236" s="872"/>
      <c r="Z236" s="872"/>
      <c r="AA236" s="872"/>
      <c r="AB236" s="872"/>
      <c r="AC236" s="873"/>
    </row>
    <row r="237" spans="1:37" ht="22.5" customHeight="1">
      <c r="A237" s="865"/>
      <c r="B237" s="857"/>
      <c r="C237" s="652"/>
      <c r="D237" s="652"/>
      <c r="E237" s="652"/>
      <c r="F237" s="652"/>
      <c r="G237" s="885"/>
      <c r="H237" s="1423"/>
      <c r="I237" s="868"/>
      <c r="J237" s="869"/>
      <c r="K237" s="870"/>
      <c r="L237" s="886"/>
      <c r="M237" s="1434" t="s">
        <v>38</v>
      </c>
      <c r="N237" s="887">
        <f>N23+N32+N35+N38+N41+N44+N47+N50+N53+N59+N66+N74+N77+N80+N109+N135+N139+N143+N167+N170+N173+N176+N220+N226+N229</f>
        <v>4321401048</v>
      </c>
      <c r="O237" s="1487"/>
      <c r="P237" s="887">
        <f t="shared" ref="P237:AC237" si="72">P23+P32+P35+P38+P41+P44+P47+P50+P53+P59+P66+P74+P77+P80+P109+P135+P139+P143+P167+P170+P173+P176+P220+P226+P229</f>
        <v>0</v>
      </c>
      <c r="Q237" s="883">
        <f t="shared" si="72"/>
        <v>79967116</v>
      </c>
      <c r="R237" s="1537">
        <f t="shared" si="72"/>
        <v>352310827</v>
      </c>
      <c r="S237" s="1537">
        <f t="shared" si="72"/>
        <v>0</v>
      </c>
      <c r="T237" s="1537">
        <f t="shared" si="72"/>
        <v>0</v>
      </c>
      <c r="U237" s="1537">
        <f t="shared" si="72"/>
        <v>0</v>
      </c>
      <c r="V237" s="1537">
        <f t="shared" si="72"/>
        <v>0</v>
      </c>
      <c r="W237" s="1537">
        <f t="shared" si="72"/>
        <v>0</v>
      </c>
      <c r="X237" s="1537">
        <f t="shared" si="72"/>
        <v>0</v>
      </c>
      <c r="Y237" s="1537">
        <f t="shared" si="72"/>
        <v>0</v>
      </c>
      <c r="Z237" s="1537">
        <f t="shared" si="72"/>
        <v>0</v>
      </c>
      <c r="AA237" s="1537">
        <f t="shared" si="72"/>
        <v>0</v>
      </c>
      <c r="AB237" s="1537">
        <f t="shared" si="72"/>
        <v>432277943</v>
      </c>
      <c r="AC237" s="1538">
        <f t="shared" si="72"/>
        <v>3889123105</v>
      </c>
    </row>
    <row r="238" spans="1:37" s="735" customFormat="1" ht="15">
      <c r="A238" s="888"/>
      <c r="B238" s="889"/>
      <c r="C238" s="1748" t="s">
        <v>157</v>
      </c>
      <c r="D238" s="1748"/>
      <c r="E238" s="1748" t="s">
        <v>141</v>
      </c>
      <c r="F238" s="1748"/>
      <c r="G238" s="858"/>
      <c r="H238" s="860"/>
      <c r="I238" s="859"/>
      <c r="J238" s="857"/>
      <c r="K238" s="860"/>
      <c r="L238" s="857"/>
      <c r="M238" s="1435"/>
      <c r="N238" s="871"/>
      <c r="O238" s="1488"/>
      <c r="P238" s="890"/>
      <c r="Q238" s="890"/>
      <c r="R238" s="890">
        <f>R235-R231</f>
        <v>0</v>
      </c>
      <c r="S238" s="890"/>
      <c r="T238" s="890"/>
      <c r="U238" s="890">
        <f>U237-U231</f>
        <v>0</v>
      </c>
      <c r="V238" s="890"/>
      <c r="W238" s="890"/>
      <c r="X238" s="890"/>
      <c r="Y238" s="890"/>
      <c r="Z238" s="890"/>
      <c r="AA238" s="890"/>
      <c r="AB238" s="890"/>
      <c r="AC238" s="891"/>
      <c r="AE238" s="1086"/>
      <c r="AF238" s="1087"/>
      <c r="AG238" s="1502"/>
      <c r="AH238" s="1491"/>
      <c r="AI238" s="1093"/>
      <c r="AJ238" s="1087"/>
      <c r="AK238" s="1168"/>
    </row>
    <row r="239" spans="1:37" s="735" customFormat="1">
      <c r="A239" s="888"/>
      <c r="B239" s="1059"/>
      <c r="C239" s="1149" t="s">
        <v>458</v>
      </c>
      <c r="D239" s="1149"/>
      <c r="E239" s="1149"/>
      <c r="F239" s="1149" t="s">
        <v>142</v>
      </c>
      <c r="G239" s="858"/>
      <c r="H239" s="860"/>
      <c r="I239" s="859"/>
      <c r="J239" s="857"/>
      <c r="K239" s="860"/>
      <c r="L239" s="857">
        <v>5298061048</v>
      </c>
      <c r="M239" s="857">
        <v>4321401048</v>
      </c>
      <c r="N239" s="893">
        <f>N236</f>
        <v>432277943</v>
      </c>
      <c r="O239" s="1488"/>
      <c r="P239" s="890"/>
      <c r="Q239" s="890"/>
      <c r="R239" s="890"/>
      <c r="S239" s="890"/>
      <c r="T239" s="890"/>
      <c r="U239" s="890"/>
      <c r="V239" s="890"/>
      <c r="W239" s="890"/>
      <c r="X239" s="890"/>
      <c r="Y239" s="890"/>
      <c r="Z239" s="890"/>
      <c r="AA239" s="890"/>
      <c r="AB239" s="890"/>
      <c r="AC239" s="891"/>
      <c r="AE239" s="1086"/>
      <c r="AF239" s="1087"/>
      <c r="AG239" s="1502"/>
      <c r="AH239" s="1491"/>
      <c r="AI239" s="1093"/>
      <c r="AJ239" s="1087"/>
      <c r="AK239" s="1168"/>
    </row>
    <row r="240" spans="1:37" s="735" customFormat="1">
      <c r="A240" s="888"/>
      <c r="B240" s="889"/>
      <c r="C240" s="889"/>
      <c r="D240" s="858"/>
      <c r="E240" s="892"/>
      <c r="F240" s="858"/>
      <c r="G240" s="858"/>
      <c r="H240" s="860"/>
      <c r="I240" s="859"/>
      <c r="J240" s="857"/>
      <c r="K240" s="860"/>
      <c r="L240" s="857">
        <f>L239-L236</f>
        <v>0</v>
      </c>
      <c r="M240" s="857">
        <f>M239-M236</f>
        <v>0</v>
      </c>
      <c r="N240" s="857">
        <f>N239-AB231</f>
        <v>0</v>
      </c>
      <c r="O240" s="1488"/>
      <c r="P240" s="890"/>
      <c r="Q240" s="890"/>
      <c r="R240" s="890"/>
      <c r="S240" s="890"/>
      <c r="T240" s="890"/>
      <c r="U240" s="890"/>
      <c r="V240" s="890"/>
      <c r="W240" s="890"/>
      <c r="X240" s="890"/>
      <c r="Y240" s="890"/>
      <c r="Z240" s="890"/>
      <c r="AA240" s="890"/>
      <c r="AB240" s="890"/>
      <c r="AC240" s="891"/>
      <c r="AE240" s="1086"/>
      <c r="AF240" s="1087"/>
      <c r="AG240" s="1502"/>
      <c r="AH240" s="1491"/>
      <c r="AI240" s="1093"/>
      <c r="AJ240" s="1087"/>
      <c r="AK240" s="1168"/>
    </row>
    <row r="241" spans="1:37" s="735" customFormat="1">
      <c r="A241" s="888"/>
      <c r="B241" s="889"/>
      <c r="C241" s="889"/>
      <c r="D241" s="858"/>
      <c r="E241" s="894"/>
      <c r="F241" s="858"/>
      <c r="G241" s="858"/>
      <c r="H241" s="860"/>
      <c r="I241" s="859"/>
      <c r="J241" s="857"/>
      <c r="K241" s="860"/>
      <c r="L241" s="857"/>
      <c r="M241" s="860"/>
      <c r="N241" s="893"/>
      <c r="O241" s="1488"/>
      <c r="P241" s="890"/>
      <c r="Q241" s="890"/>
      <c r="R241" s="890"/>
      <c r="S241" s="890"/>
      <c r="T241" s="890"/>
      <c r="U241" s="890"/>
      <c r="V241" s="890"/>
      <c r="W241" s="890"/>
      <c r="X241" s="890"/>
      <c r="Y241" s="890"/>
      <c r="Z241" s="890"/>
      <c r="AA241" s="890"/>
      <c r="AB241" s="890"/>
      <c r="AC241" s="891"/>
      <c r="AE241" s="1086"/>
      <c r="AF241" s="1087"/>
      <c r="AG241" s="1502"/>
      <c r="AH241" s="1491"/>
      <c r="AI241" s="1093"/>
      <c r="AJ241" s="1087"/>
      <c r="AK241" s="1168"/>
    </row>
    <row r="242" spans="1:37" s="735" customFormat="1">
      <c r="A242" s="888"/>
      <c r="B242" s="889"/>
      <c r="C242" s="889"/>
      <c r="D242" s="858"/>
      <c r="E242" s="895"/>
      <c r="F242" s="858"/>
      <c r="G242" s="858"/>
      <c r="H242" s="860"/>
      <c r="I242" s="859"/>
      <c r="J242" s="857"/>
      <c r="K242" s="860"/>
      <c r="L242" s="857"/>
      <c r="M242" s="860"/>
      <c r="N242" s="871"/>
      <c r="O242" s="1488"/>
      <c r="P242" s="890"/>
      <c r="Q242" s="890"/>
      <c r="R242" s="890"/>
      <c r="S242" s="890"/>
      <c r="T242" s="890"/>
      <c r="U242" s="890"/>
      <c r="V242" s="890"/>
      <c r="W242" s="890"/>
      <c r="X242" s="890"/>
      <c r="Y242" s="890"/>
      <c r="Z242" s="890"/>
      <c r="AA242" s="890"/>
      <c r="AB242" s="890"/>
      <c r="AC242" s="891"/>
      <c r="AE242" s="1086"/>
      <c r="AF242" s="1087"/>
      <c r="AG242" s="1502"/>
      <c r="AH242" s="1491"/>
      <c r="AI242" s="1093"/>
      <c r="AJ242" s="1087"/>
      <c r="AK242" s="1168"/>
    </row>
    <row r="243" spans="1:37" s="906" customFormat="1" ht="15" thickBot="1">
      <c r="A243" s="1058" t="s">
        <v>39</v>
      </c>
      <c r="B243" s="896"/>
      <c r="C243" s="897"/>
      <c r="D243" s="898"/>
      <c r="E243" s="899"/>
      <c r="F243" s="900"/>
      <c r="G243" s="900"/>
      <c r="H243" s="1424"/>
      <c r="I243" s="901"/>
      <c r="J243" s="902"/>
      <c r="K243" s="903"/>
      <c r="L243" s="896"/>
      <c r="M243" s="903"/>
      <c r="N243" s="902"/>
      <c r="O243" s="1489"/>
      <c r="P243" s="904"/>
      <c r="Q243" s="904"/>
      <c r="R243" s="904"/>
      <c r="S243" s="904"/>
      <c r="T243" s="904"/>
      <c r="U243" s="904"/>
      <c r="V243" s="904"/>
      <c r="W243" s="904"/>
      <c r="X243" s="904"/>
      <c r="Y243" s="904"/>
      <c r="Z243" s="904"/>
      <c r="AA243" s="904"/>
      <c r="AB243" s="904"/>
      <c r="AC243" s="905"/>
      <c r="AE243" s="1091"/>
      <c r="AF243" s="1091"/>
      <c r="AG243" s="1509"/>
      <c r="AH243" s="582"/>
      <c r="AI243" s="1092"/>
      <c r="AJ243" s="1091"/>
      <c r="AK243" s="1167"/>
    </row>
    <row r="244" spans="1:37" s="906" customFormat="1">
      <c r="A244" s="728"/>
      <c r="B244" s="907"/>
      <c r="C244" s="864"/>
      <c r="D244" s="864"/>
      <c r="E244" s="864"/>
      <c r="F244" s="864"/>
      <c r="G244" s="864"/>
      <c r="H244" s="910"/>
      <c r="I244" s="908"/>
      <c r="J244" s="909"/>
      <c r="K244" s="910"/>
      <c r="L244" s="907"/>
      <c r="M244" s="910"/>
      <c r="N244" s="909"/>
      <c r="O244" s="1490"/>
      <c r="P244" s="911"/>
      <c r="Q244" s="911"/>
      <c r="R244" s="911"/>
      <c r="S244" s="911"/>
      <c r="T244" s="911"/>
      <c r="U244" s="911"/>
      <c r="V244" s="911"/>
      <c r="W244" s="911"/>
      <c r="X244" s="911"/>
      <c r="Y244" s="911"/>
      <c r="Z244" s="911"/>
      <c r="AA244" s="911"/>
      <c r="AB244" s="911"/>
      <c r="AC244" s="911"/>
      <c r="AE244" s="1091"/>
      <c r="AF244" s="1091"/>
      <c r="AG244" s="1509"/>
      <c r="AH244" s="582"/>
      <c r="AI244" s="1092"/>
      <c r="AJ244" s="1091"/>
      <c r="AK244" s="1167"/>
    </row>
    <row r="245" spans="1:37" s="906" customFormat="1">
      <c r="A245" s="864"/>
      <c r="B245" s="907"/>
      <c r="C245" s="864"/>
      <c r="D245" s="864"/>
      <c r="E245" s="864"/>
      <c r="F245" s="864"/>
      <c r="G245" s="864"/>
      <c r="H245" s="910"/>
      <c r="I245" s="908"/>
      <c r="J245" s="909"/>
      <c r="K245" s="910"/>
      <c r="L245" s="907"/>
      <c r="M245" s="910"/>
      <c r="N245" s="909"/>
      <c r="O245" s="1490"/>
      <c r="P245" s="911"/>
      <c r="Q245" s="911"/>
      <c r="R245" s="911"/>
      <c r="S245" s="911"/>
      <c r="T245" s="911"/>
      <c r="U245" s="911"/>
      <c r="V245" s="911"/>
      <c r="W245" s="911"/>
      <c r="X245" s="911"/>
      <c r="Y245" s="911"/>
      <c r="Z245" s="911"/>
      <c r="AA245" s="911"/>
      <c r="AB245" s="911"/>
      <c r="AC245" s="911"/>
      <c r="AE245" s="1091"/>
      <c r="AF245" s="1091"/>
      <c r="AG245" s="1509"/>
      <c r="AH245" s="582"/>
      <c r="AI245" s="1092"/>
      <c r="AJ245" s="1091"/>
      <c r="AK245" s="1167"/>
    </row>
    <row r="246" spans="1:37" s="906" customFormat="1">
      <c r="A246" s="864"/>
      <c r="B246" s="907"/>
      <c r="C246" s="864"/>
      <c r="D246" s="864"/>
      <c r="E246" s="864"/>
      <c r="F246" s="864"/>
      <c r="G246" s="864"/>
      <c r="H246" s="910"/>
      <c r="I246" s="908"/>
      <c r="J246" s="909"/>
      <c r="K246" s="910"/>
      <c r="L246" s="907"/>
      <c r="M246" s="910"/>
      <c r="N246" s="909"/>
      <c r="O246" s="1490"/>
      <c r="P246" s="911"/>
      <c r="Q246" s="911"/>
      <c r="R246" s="911"/>
      <c r="S246" s="911"/>
      <c r="T246" s="911"/>
      <c r="U246" s="911"/>
      <c r="V246" s="911"/>
      <c r="W246" s="911"/>
      <c r="X246" s="911"/>
      <c r="Y246" s="911"/>
      <c r="Z246" s="911"/>
      <c r="AA246" s="911"/>
      <c r="AB246" s="911"/>
      <c r="AC246" s="911"/>
      <c r="AE246" s="1091"/>
      <c r="AF246" s="1091"/>
      <c r="AG246" s="1509"/>
      <c r="AH246" s="582"/>
      <c r="AI246" s="1092"/>
      <c r="AJ246" s="1091"/>
      <c r="AK246" s="1167"/>
    </row>
    <row r="247" spans="1:37" s="906" customFormat="1">
      <c r="A247" s="864"/>
      <c r="B247" s="907"/>
      <c r="C247" s="864"/>
      <c r="D247" s="864"/>
      <c r="E247" s="864"/>
      <c r="F247" s="912"/>
      <c r="G247" s="864"/>
      <c r="H247" s="910"/>
      <c r="I247" s="908"/>
      <c r="J247" s="909"/>
      <c r="K247" s="910"/>
      <c r="L247" s="907"/>
      <c r="M247" s="910"/>
      <c r="N247" s="909"/>
      <c r="O247" s="1490"/>
      <c r="P247" s="911"/>
      <c r="Q247" s="911"/>
      <c r="R247" s="911"/>
      <c r="S247" s="911"/>
      <c r="T247" s="911"/>
      <c r="U247" s="911"/>
      <c r="V247" s="911"/>
      <c r="W247" s="911"/>
      <c r="X247" s="911"/>
      <c r="Y247" s="911"/>
      <c r="Z247" s="911"/>
      <c r="AA247" s="911"/>
      <c r="AB247" s="911"/>
      <c r="AC247" s="911"/>
      <c r="AE247" s="1091"/>
      <c r="AF247" s="1091"/>
      <c r="AG247" s="1509"/>
      <c r="AH247" s="582"/>
      <c r="AI247" s="1092"/>
      <c r="AJ247" s="1091"/>
      <c r="AK247" s="1167"/>
    </row>
    <row r="248" spans="1:37" s="906" customFormat="1">
      <c r="A248" s="913"/>
      <c r="B248" s="914"/>
      <c r="C248" s="915"/>
      <c r="D248" s="916"/>
      <c r="E248" s="864"/>
      <c r="F248" s="912"/>
      <c r="G248" s="864"/>
      <c r="H248" s="910"/>
      <c r="I248" s="908"/>
      <c r="J248" s="909"/>
      <c r="K248" s="910"/>
      <c r="L248" s="907"/>
      <c r="M248" s="910"/>
      <c r="N248" s="909"/>
      <c r="O248" s="1490"/>
      <c r="P248" s="911"/>
      <c r="Q248" s="911"/>
      <c r="R248" s="911"/>
      <c r="S248" s="911"/>
      <c r="T248" s="911"/>
      <c r="U248" s="911"/>
      <c r="V248" s="911"/>
      <c r="W248" s="911"/>
      <c r="X248" s="911"/>
      <c r="Y248" s="911"/>
      <c r="Z248" s="911"/>
      <c r="AA248" s="911"/>
      <c r="AB248" s="911"/>
      <c r="AC248" s="911"/>
      <c r="AE248" s="1091"/>
      <c r="AF248" s="1091"/>
      <c r="AG248" s="1509"/>
      <c r="AH248" s="582"/>
      <c r="AI248" s="1092"/>
      <c r="AJ248" s="1091"/>
      <c r="AK248" s="1167"/>
    </row>
    <row r="249" spans="1:37" s="906" customFormat="1">
      <c r="A249" s="917"/>
      <c r="B249" s="907"/>
      <c r="C249" s="918"/>
      <c r="D249" s="919"/>
      <c r="E249" s="864"/>
      <c r="F249" s="864"/>
      <c r="G249" s="864"/>
      <c r="H249" s="910"/>
      <c r="I249" s="908"/>
      <c r="J249" s="909"/>
      <c r="K249" s="910"/>
      <c r="L249" s="907"/>
      <c r="M249" s="910"/>
      <c r="N249" s="909"/>
      <c r="O249" s="1490"/>
      <c r="P249" s="911"/>
      <c r="Q249" s="911"/>
      <c r="R249" s="911"/>
      <c r="S249" s="911"/>
      <c r="T249" s="911"/>
      <c r="U249" s="911"/>
      <c r="V249" s="911"/>
      <c r="W249" s="911"/>
      <c r="X249" s="911"/>
      <c r="Y249" s="911"/>
      <c r="Z249" s="911"/>
      <c r="AA249" s="911"/>
      <c r="AB249" s="911"/>
      <c r="AC249" s="911"/>
      <c r="AE249" s="1091"/>
      <c r="AF249" s="1091"/>
      <c r="AG249" s="1509"/>
      <c r="AH249" s="582"/>
      <c r="AI249" s="1092"/>
      <c r="AJ249" s="1091"/>
      <c r="AK249" s="1167"/>
    </row>
    <row r="250" spans="1:37" s="906" customFormat="1">
      <c r="A250" s="920"/>
      <c r="B250" s="921"/>
      <c r="C250" s="922"/>
      <c r="D250" s="923"/>
      <c r="E250" s="728"/>
      <c r="F250" s="728"/>
      <c r="G250" s="728"/>
      <c r="H250" s="925"/>
      <c r="I250" s="924"/>
      <c r="J250" s="767"/>
      <c r="K250" s="925"/>
      <c r="L250" s="921"/>
      <c r="M250" s="925"/>
      <c r="N250" s="767"/>
      <c r="O250" s="1490"/>
      <c r="P250" s="911"/>
      <c r="Q250" s="911"/>
      <c r="R250" s="911"/>
      <c r="S250" s="911"/>
      <c r="T250" s="911"/>
      <c r="U250" s="911"/>
      <c r="V250" s="911"/>
      <c r="W250" s="911"/>
      <c r="X250" s="911"/>
      <c r="Y250" s="911"/>
      <c r="Z250" s="911"/>
      <c r="AA250" s="911"/>
      <c r="AB250" s="911"/>
      <c r="AC250" s="911"/>
      <c r="AE250" s="1091"/>
      <c r="AF250" s="1091"/>
      <c r="AG250" s="1509"/>
      <c r="AH250" s="582"/>
      <c r="AI250" s="1092"/>
      <c r="AJ250" s="1091"/>
      <c r="AK250" s="1167"/>
    </row>
    <row r="251" spans="1:37" s="906" customFormat="1">
      <c r="A251" s="920"/>
      <c r="B251" s="400"/>
      <c r="C251" s="728"/>
      <c r="D251" s="923"/>
      <c r="E251" s="728"/>
      <c r="F251" s="728"/>
      <c r="G251" s="728"/>
      <c r="H251" s="925"/>
      <c r="I251" s="924"/>
      <c r="J251" s="767"/>
      <c r="K251" s="925"/>
      <c r="L251" s="921"/>
      <c r="M251" s="925"/>
      <c r="N251" s="767"/>
      <c r="O251" s="1490"/>
      <c r="P251" s="911"/>
      <c r="Q251" s="911"/>
      <c r="R251" s="911"/>
      <c r="S251" s="911"/>
      <c r="T251" s="911"/>
      <c r="U251" s="911"/>
      <c r="V251" s="911"/>
      <c r="W251" s="911"/>
      <c r="X251" s="911"/>
      <c r="Y251" s="911"/>
      <c r="Z251" s="911"/>
      <c r="AA251" s="911"/>
      <c r="AB251" s="911"/>
      <c r="AC251" s="911"/>
      <c r="AE251" s="1091"/>
      <c r="AF251" s="1091"/>
      <c r="AG251" s="1509"/>
      <c r="AH251" s="582"/>
      <c r="AI251" s="1092"/>
      <c r="AJ251" s="1091"/>
      <c r="AK251" s="1167"/>
    </row>
    <row r="252" spans="1:37">
      <c r="B252" s="400"/>
    </row>
  </sheetData>
  <autoFilter ref="A15:AK229"/>
  <mergeCells count="19">
    <mergeCell ref="A8:G8"/>
    <mergeCell ref="A1:A2"/>
    <mergeCell ref="C1:J1"/>
    <mergeCell ref="Z1:AA1"/>
    <mergeCell ref="AB1:AC1"/>
    <mergeCell ref="C2:I2"/>
    <mergeCell ref="Z2:AA2"/>
    <mergeCell ref="AB2:AC2"/>
    <mergeCell ref="A3:G3"/>
    <mergeCell ref="A4:G4"/>
    <mergeCell ref="A5:G5"/>
    <mergeCell ref="A6:G6"/>
    <mergeCell ref="A7:G7"/>
    <mergeCell ref="B9:D9"/>
    <mergeCell ref="B10:G10"/>
    <mergeCell ref="B11:G11"/>
    <mergeCell ref="F236:G236"/>
    <mergeCell ref="C238:D238"/>
    <mergeCell ref="E238:F238"/>
  </mergeCells>
  <conditionalFormatting sqref="B235 B230:B233 B33:B50 B1:B17 B227:B228 B140:B143 B177:B220 B109:B135 B22:B24 B237:B1048576">
    <cfRule type="cellIs" dxfId="95" priority="97" operator="lessThan">
      <formula>0</formula>
    </cfRule>
    <cfRule type="cellIs" dxfId="94" priority="98" operator="lessThan">
      <formula>0</formula>
    </cfRule>
  </conditionalFormatting>
  <conditionalFormatting sqref="M1">
    <cfRule type="duplicateValues" dxfId="93" priority="94"/>
  </conditionalFormatting>
  <conditionalFormatting sqref="M2">
    <cfRule type="duplicateValues" dxfId="92" priority="93"/>
  </conditionalFormatting>
  <conditionalFormatting sqref="M230:M235 M3:M23 M46:M50 M110:M113 M227:M228 M33:M44 M181:M182 M140:M143 M241:M1048576 M124:M125 M133:M135 M185 M189 M196 M209:M213 M217:M220 M237:M238">
    <cfRule type="duplicateValues" dxfId="91" priority="99"/>
  </conditionalFormatting>
  <conditionalFormatting sqref="B81:B108">
    <cfRule type="cellIs" dxfId="90" priority="91" operator="lessThan">
      <formula>0</formula>
    </cfRule>
    <cfRule type="cellIs" dxfId="89" priority="92" operator="lessThan">
      <formula>0</formula>
    </cfRule>
  </conditionalFormatting>
  <conditionalFormatting sqref="M107:M109">
    <cfRule type="duplicateValues" dxfId="88" priority="100"/>
  </conditionalFormatting>
  <conditionalFormatting sqref="B229">
    <cfRule type="cellIs" dxfId="87" priority="88" operator="lessThan">
      <formula>0</formula>
    </cfRule>
    <cfRule type="cellIs" dxfId="86" priority="89" operator="lessThan">
      <formula>0</formula>
    </cfRule>
  </conditionalFormatting>
  <conditionalFormatting sqref="M229">
    <cfRule type="duplicateValues" dxfId="85" priority="90"/>
  </conditionalFormatting>
  <conditionalFormatting sqref="B221:B226">
    <cfRule type="cellIs" dxfId="84" priority="85" operator="lessThan">
      <formula>0</formula>
    </cfRule>
    <cfRule type="cellIs" dxfId="83" priority="86" operator="lessThan">
      <formula>0</formula>
    </cfRule>
  </conditionalFormatting>
  <conditionalFormatting sqref="M225:M226">
    <cfRule type="duplicateValues" dxfId="82" priority="87"/>
  </conditionalFormatting>
  <conditionalFormatting sqref="B25 B31:B32">
    <cfRule type="cellIs" dxfId="81" priority="82" operator="lessThan">
      <formula>0</formula>
    </cfRule>
    <cfRule type="cellIs" dxfId="80" priority="83" operator="lessThan">
      <formula>0</formula>
    </cfRule>
  </conditionalFormatting>
  <conditionalFormatting sqref="M25:M32">
    <cfRule type="duplicateValues" dxfId="79" priority="84"/>
  </conditionalFormatting>
  <conditionalFormatting sqref="M24">
    <cfRule type="duplicateValues" dxfId="78" priority="81"/>
  </conditionalFormatting>
  <conditionalFormatting sqref="B51:B53">
    <cfRule type="cellIs" dxfId="77" priority="78" operator="lessThan">
      <formula>0</formula>
    </cfRule>
    <cfRule type="cellIs" dxfId="76" priority="79" operator="lessThan">
      <formula>0</formula>
    </cfRule>
  </conditionalFormatting>
  <conditionalFormatting sqref="M51:M53">
    <cfRule type="duplicateValues" dxfId="75" priority="80"/>
  </conditionalFormatting>
  <conditionalFormatting sqref="B54 B58:B59">
    <cfRule type="cellIs" dxfId="74" priority="75" operator="lessThan">
      <formula>0</formula>
    </cfRule>
    <cfRule type="cellIs" dxfId="73" priority="76" operator="lessThan">
      <formula>0</formula>
    </cfRule>
  </conditionalFormatting>
  <conditionalFormatting sqref="M54:M59">
    <cfRule type="duplicateValues" dxfId="72" priority="77"/>
  </conditionalFormatting>
  <conditionalFormatting sqref="B60 B65:B66">
    <cfRule type="cellIs" dxfId="71" priority="72" operator="lessThan">
      <formula>0</formula>
    </cfRule>
    <cfRule type="cellIs" dxfId="70" priority="73" operator="lessThan">
      <formula>0</formula>
    </cfRule>
  </conditionalFormatting>
  <conditionalFormatting sqref="M60:M66">
    <cfRule type="duplicateValues" dxfId="69" priority="74"/>
  </conditionalFormatting>
  <conditionalFormatting sqref="B67 B73:B74">
    <cfRule type="cellIs" dxfId="68" priority="69" operator="lessThan">
      <formula>0</formula>
    </cfRule>
    <cfRule type="cellIs" dxfId="67" priority="70" operator="lessThan">
      <formula>0</formula>
    </cfRule>
  </conditionalFormatting>
  <conditionalFormatting sqref="M67:M74">
    <cfRule type="duplicateValues" dxfId="66" priority="71"/>
  </conditionalFormatting>
  <conditionalFormatting sqref="B75:B77">
    <cfRule type="cellIs" dxfId="65" priority="66" operator="lessThan">
      <formula>0</formula>
    </cfRule>
    <cfRule type="cellIs" dxfId="64" priority="67" operator="lessThan">
      <formula>0</formula>
    </cfRule>
  </conditionalFormatting>
  <conditionalFormatting sqref="M75:M77">
    <cfRule type="duplicateValues" dxfId="63" priority="68"/>
  </conditionalFormatting>
  <conditionalFormatting sqref="B78:B80">
    <cfRule type="cellIs" dxfId="62" priority="63" operator="lessThan">
      <formula>0</formula>
    </cfRule>
    <cfRule type="cellIs" dxfId="61" priority="64" operator="lessThan">
      <formula>0</formula>
    </cfRule>
  </conditionalFormatting>
  <conditionalFormatting sqref="M78:M80">
    <cfRule type="duplicateValues" dxfId="60" priority="65"/>
  </conditionalFormatting>
  <conditionalFormatting sqref="B144 B166:B167">
    <cfRule type="cellIs" dxfId="59" priority="60" operator="lessThan">
      <formula>0</formula>
    </cfRule>
    <cfRule type="cellIs" dxfId="58" priority="61" operator="lessThan">
      <formula>0</formula>
    </cfRule>
  </conditionalFormatting>
  <conditionalFormatting sqref="M144:M146 M153 M156 M158 M162:M167">
    <cfRule type="duplicateValues" dxfId="57" priority="62"/>
  </conditionalFormatting>
  <conditionalFormatting sqref="B168:B170">
    <cfRule type="cellIs" dxfId="56" priority="57" operator="lessThan">
      <formula>0</formula>
    </cfRule>
    <cfRule type="cellIs" dxfId="55" priority="58" operator="lessThan">
      <formula>0</formula>
    </cfRule>
  </conditionalFormatting>
  <conditionalFormatting sqref="M168:M170">
    <cfRule type="duplicateValues" dxfId="54" priority="59"/>
  </conditionalFormatting>
  <conditionalFormatting sqref="B171:B173">
    <cfRule type="cellIs" dxfId="53" priority="54" operator="lessThan">
      <formula>0</formula>
    </cfRule>
    <cfRule type="cellIs" dxfId="52" priority="55" operator="lessThan">
      <formula>0</formula>
    </cfRule>
  </conditionalFormatting>
  <conditionalFormatting sqref="M171:M173">
    <cfRule type="duplicateValues" dxfId="51" priority="56"/>
  </conditionalFormatting>
  <conditionalFormatting sqref="B174:B176">
    <cfRule type="cellIs" dxfId="50" priority="51" operator="lessThan">
      <formula>0</formula>
    </cfRule>
    <cfRule type="cellIs" dxfId="49" priority="52" operator="lessThan">
      <formula>0</formula>
    </cfRule>
  </conditionalFormatting>
  <conditionalFormatting sqref="M174:M176">
    <cfRule type="duplicateValues" dxfId="48" priority="53"/>
  </conditionalFormatting>
  <conditionalFormatting sqref="B136:B139">
    <cfRule type="cellIs" dxfId="47" priority="48" operator="lessThan">
      <formula>0</formula>
    </cfRule>
    <cfRule type="cellIs" dxfId="46" priority="49" operator="lessThan">
      <formula>0</formula>
    </cfRule>
  </conditionalFormatting>
  <conditionalFormatting sqref="M136:M139">
    <cfRule type="duplicateValues" dxfId="45" priority="50"/>
  </conditionalFormatting>
  <conditionalFormatting sqref="M81 M83 M86 M88 M91 M94 M98 M101 M103 M106">
    <cfRule type="duplicateValues" dxfId="44" priority="47"/>
  </conditionalFormatting>
  <conditionalFormatting sqref="B55:B57">
    <cfRule type="cellIs" dxfId="43" priority="45" operator="lessThan">
      <formula>0</formula>
    </cfRule>
    <cfRule type="cellIs" dxfId="42" priority="46" operator="lessThan">
      <formula>0</formula>
    </cfRule>
  </conditionalFormatting>
  <conditionalFormatting sqref="B18:B21">
    <cfRule type="cellIs" dxfId="41" priority="43" operator="lessThan">
      <formula>0</formula>
    </cfRule>
    <cfRule type="cellIs" dxfId="40" priority="44" operator="lessThan">
      <formula>0</formula>
    </cfRule>
  </conditionalFormatting>
  <conditionalFormatting sqref="B26:B30">
    <cfRule type="cellIs" dxfId="39" priority="41" operator="lessThan">
      <formula>0</formula>
    </cfRule>
    <cfRule type="cellIs" dxfId="38" priority="42" operator="lessThan">
      <formula>0</formula>
    </cfRule>
  </conditionalFormatting>
  <conditionalFormatting sqref="B68:B72">
    <cfRule type="cellIs" dxfId="37" priority="39" operator="lessThan">
      <formula>0</formula>
    </cfRule>
    <cfRule type="cellIs" dxfId="36" priority="40" operator="lessThan">
      <formula>0</formula>
    </cfRule>
  </conditionalFormatting>
  <conditionalFormatting sqref="B61:B64">
    <cfRule type="cellIs" dxfId="35" priority="37" operator="lessThan">
      <formula>0</formula>
    </cfRule>
    <cfRule type="cellIs" dxfId="34" priority="38" operator="lessThan">
      <formula>0</formula>
    </cfRule>
  </conditionalFormatting>
  <conditionalFormatting sqref="B145:B165">
    <cfRule type="cellIs" dxfId="33" priority="35" operator="lessThan">
      <formula>0</formula>
    </cfRule>
    <cfRule type="cellIs" dxfId="32" priority="36" operator="lessThan">
      <formula>0</formula>
    </cfRule>
  </conditionalFormatting>
  <conditionalFormatting sqref="M82">
    <cfRule type="duplicateValues" dxfId="31" priority="32"/>
  </conditionalFormatting>
  <conditionalFormatting sqref="M84:M85">
    <cfRule type="duplicateValues" dxfId="30" priority="31"/>
  </conditionalFormatting>
  <conditionalFormatting sqref="M87">
    <cfRule type="duplicateValues" dxfId="29" priority="30"/>
  </conditionalFormatting>
  <conditionalFormatting sqref="M89:M90">
    <cfRule type="duplicateValues" dxfId="28" priority="29"/>
  </conditionalFormatting>
  <conditionalFormatting sqref="M92:M93">
    <cfRule type="duplicateValues" dxfId="27" priority="28"/>
  </conditionalFormatting>
  <conditionalFormatting sqref="M95:M97">
    <cfRule type="duplicateValues" dxfId="26" priority="27"/>
  </conditionalFormatting>
  <conditionalFormatting sqref="M99:M100">
    <cfRule type="duplicateValues" dxfId="25" priority="26"/>
  </conditionalFormatting>
  <conditionalFormatting sqref="M102">
    <cfRule type="duplicateValues" dxfId="24" priority="25"/>
  </conditionalFormatting>
  <conditionalFormatting sqref="M104:M105">
    <cfRule type="duplicateValues" dxfId="23" priority="24"/>
  </conditionalFormatting>
  <conditionalFormatting sqref="M114:M123">
    <cfRule type="duplicateValues" dxfId="22" priority="23"/>
  </conditionalFormatting>
  <conditionalFormatting sqref="M126:M132">
    <cfRule type="duplicateValues" dxfId="21" priority="22"/>
  </conditionalFormatting>
  <conditionalFormatting sqref="M147:M152">
    <cfRule type="duplicateValues" dxfId="20" priority="21"/>
  </conditionalFormatting>
  <conditionalFormatting sqref="M154:M155">
    <cfRule type="duplicateValues" dxfId="19" priority="20"/>
  </conditionalFormatting>
  <conditionalFormatting sqref="M157">
    <cfRule type="duplicateValues" dxfId="18" priority="19"/>
  </conditionalFormatting>
  <conditionalFormatting sqref="M159:M161">
    <cfRule type="duplicateValues" dxfId="17" priority="18"/>
  </conditionalFormatting>
  <conditionalFormatting sqref="M179:M180">
    <cfRule type="duplicateValues" dxfId="16" priority="17"/>
  </conditionalFormatting>
  <conditionalFormatting sqref="M183:M184">
    <cfRule type="duplicateValues" dxfId="15" priority="16"/>
  </conditionalFormatting>
  <conditionalFormatting sqref="M186:M188">
    <cfRule type="duplicateValues" dxfId="14" priority="15"/>
  </conditionalFormatting>
  <conditionalFormatting sqref="M190:M195">
    <cfRule type="duplicateValues" dxfId="13" priority="14"/>
  </conditionalFormatting>
  <conditionalFormatting sqref="M197:M208">
    <cfRule type="duplicateValues" dxfId="12" priority="13"/>
  </conditionalFormatting>
  <conditionalFormatting sqref="M214:M216">
    <cfRule type="duplicateValues" dxfId="11" priority="12"/>
  </conditionalFormatting>
  <conditionalFormatting sqref="M222:M223">
    <cfRule type="duplicateValues" dxfId="10" priority="11"/>
  </conditionalFormatting>
  <conditionalFormatting sqref="K1:K1048576">
    <cfRule type="duplicateValues" dxfId="9" priority="9"/>
    <cfRule type="duplicateValues" dxfId="8" priority="10"/>
  </conditionalFormatting>
  <conditionalFormatting sqref="M241:M1048576 M237:M238 M1:M235">
    <cfRule type="duplicateValues" dxfId="7" priority="8"/>
  </conditionalFormatting>
  <conditionalFormatting sqref="P227:AC227">
    <cfRule type="duplicateValues" dxfId="6" priority="7"/>
  </conditionalFormatting>
  <conditionalFormatting sqref="P227:AC227">
    <cfRule type="duplicateValues" dxfId="5" priority="6"/>
  </conditionalFormatting>
  <conditionalFormatting sqref="M133">
    <cfRule type="duplicateValues" dxfId="4" priority="5"/>
  </conditionalFormatting>
  <conditionalFormatting sqref="M163">
    <cfRule type="duplicateValues" dxfId="3" priority="4"/>
  </conditionalFormatting>
  <conditionalFormatting sqref="M224">
    <cfRule type="duplicateValues" dxfId="2" priority="3"/>
  </conditionalFormatting>
  <conditionalFormatting sqref="H3:H6">
    <cfRule type="duplicateValues" dxfId="1" priority="1"/>
    <cfRule type="duplicateValues" dxfId="0" priority="2"/>
  </conditionalFormatting>
  <printOptions horizontalCentered="1" verticalCentered="1"/>
  <pageMargins left="0.4" right="0.77" top="0.28000000000000003" bottom="0.17" header="0.31496062992125984" footer="0.31496062992125984"/>
  <pageSetup scale="35" fitToWidth="2" fitToHeight="2"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zoomScale="82" zoomScaleNormal="82" workbookViewId="0">
      <selection sqref="A1:N1"/>
    </sheetView>
  </sheetViews>
  <sheetFormatPr baseColWidth="10" defaultRowHeight="12.75"/>
  <cols>
    <col min="1" max="1" width="33.28515625" customWidth="1"/>
    <col min="2" max="2" width="18.7109375" customWidth="1"/>
    <col min="3" max="3" width="18.5703125" customWidth="1"/>
    <col min="4" max="4" width="17" customWidth="1"/>
    <col min="5" max="5" width="16.28515625" customWidth="1"/>
    <col min="6" max="6" width="9.7109375" customWidth="1"/>
    <col min="8" max="8" width="12.28515625" customWidth="1"/>
    <col min="9" max="9" width="10.42578125" customWidth="1"/>
  </cols>
  <sheetData>
    <row r="1" spans="1:14" ht="22.5" customHeight="1">
      <c r="A1" s="1802" t="s">
        <v>672</v>
      </c>
      <c r="B1" s="1802"/>
      <c r="C1" s="1802"/>
      <c r="D1" s="1802"/>
      <c r="E1" s="1802"/>
      <c r="F1" s="1802"/>
      <c r="G1" s="1802"/>
      <c r="H1" s="1802"/>
      <c r="I1" s="1802"/>
      <c r="J1" s="1802"/>
      <c r="K1" s="1802"/>
      <c r="L1" s="1802"/>
      <c r="M1" s="1802"/>
      <c r="N1" s="1802"/>
    </row>
    <row r="2" spans="1:14">
      <c r="A2" s="1539"/>
      <c r="B2" s="1539"/>
      <c r="C2" s="1539"/>
      <c r="D2" s="1539"/>
      <c r="E2" s="1539"/>
      <c r="F2" s="1539"/>
      <c r="G2" s="1539"/>
      <c r="H2" s="1539"/>
      <c r="I2" s="1539"/>
      <c r="J2" s="1539"/>
      <c r="K2" s="1539"/>
      <c r="L2" s="1539"/>
      <c r="M2" s="1539"/>
      <c r="N2" s="1539"/>
    </row>
    <row r="3" spans="1:14" ht="15">
      <c r="A3" s="1798" t="s">
        <v>623</v>
      </c>
      <c r="B3" s="1799"/>
      <c r="C3" s="1799"/>
      <c r="D3" s="1799"/>
      <c r="E3" s="1799"/>
      <c r="F3" s="1799"/>
      <c r="G3" s="1799"/>
      <c r="H3" s="1799"/>
      <c r="I3" s="1799"/>
      <c r="J3" s="1799"/>
      <c r="K3" s="1799"/>
      <c r="L3" s="1799"/>
      <c r="M3" s="1799"/>
      <c r="N3" s="1799"/>
    </row>
    <row r="4" spans="1:14">
      <c r="A4" s="1540"/>
      <c r="B4" s="1540"/>
      <c r="C4" s="1540"/>
      <c r="D4" s="1540"/>
      <c r="E4" s="1540"/>
      <c r="F4" s="1540"/>
      <c r="G4" s="1540"/>
      <c r="H4" s="1540"/>
      <c r="I4" s="1540"/>
      <c r="J4" s="1540"/>
      <c r="K4" s="1540"/>
      <c r="L4" s="1540"/>
      <c r="M4" s="1540"/>
      <c r="N4" s="1540"/>
    </row>
    <row r="5" spans="1:14" ht="24">
      <c r="A5" s="1595" t="s">
        <v>624</v>
      </c>
      <c r="B5" s="1595" t="s">
        <v>625</v>
      </c>
      <c r="C5" s="1595" t="s">
        <v>124</v>
      </c>
      <c r="D5" s="1595" t="s">
        <v>125</v>
      </c>
      <c r="E5" s="1595" t="s">
        <v>626</v>
      </c>
      <c r="F5" s="1596" t="s">
        <v>627</v>
      </c>
      <c r="G5" s="1800" t="s">
        <v>124</v>
      </c>
      <c r="H5" s="1801"/>
      <c r="I5" s="1596" t="s">
        <v>628</v>
      </c>
      <c r="J5" s="1800" t="s">
        <v>125</v>
      </c>
      <c r="K5" s="1801"/>
      <c r="L5" s="1596" t="s">
        <v>629</v>
      </c>
      <c r="M5" s="1800" t="s">
        <v>626</v>
      </c>
      <c r="N5" s="1801"/>
    </row>
    <row r="6" spans="1:14" ht="25.5">
      <c r="A6" s="1541" t="s">
        <v>30</v>
      </c>
      <c r="B6" s="1542">
        <f>'1024'!B16</f>
        <v>621600000</v>
      </c>
      <c r="C6" s="1542">
        <f>'1024'!L35</f>
        <v>570546166</v>
      </c>
      <c r="D6" s="1542">
        <f>'1024'!N35</f>
        <v>548571000</v>
      </c>
      <c r="E6" s="1542">
        <f>'1024'!AB35</f>
        <v>41258001</v>
      </c>
      <c r="F6" s="1543">
        <f>C6/B6</f>
        <v>0.9178670624195624</v>
      </c>
      <c r="G6" s="1544">
        <f>C6/B6</f>
        <v>0.9178670624195624</v>
      </c>
      <c r="H6" s="1545">
        <f>C6/B6</f>
        <v>0.9178670624195624</v>
      </c>
      <c r="I6" s="1546">
        <f>D6/B6</f>
        <v>0.88251447876447875</v>
      </c>
      <c r="J6" s="1544">
        <f>D6/B6</f>
        <v>0.88251447876447875</v>
      </c>
      <c r="K6" s="1545">
        <f>D6/B6</f>
        <v>0.88251447876447875</v>
      </c>
      <c r="L6" s="1547">
        <f>E6/B6</f>
        <v>6.637387548262548E-2</v>
      </c>
      <c r="M6" s="1544">
        <f>E6/B6</f>
        <v>6.637387548262548E-2</v>
      </c>
      <c r="N6" s="1545">
        <f>E6/B6</f>
        <v>6.637387548262548E-2</v>
      </c>
    </row>
    <row r="7" spans="1:14">
      <c r="A7" s="1548" t="s">
        <v>630</v>
      </c>
      <c r="B7" s="1542">
        <f>'1024'!B36</f>
        <v>98400000</v>
      </c>
      <c r="C7" s="1542">
        <f>'1024'!L42</f>
        <v>98400000</v>
      </c>
      <c r="D7" s="1542">
        <f>'1024'!N42</f>
        <v>98400000</v>
      </c>
      <c r="E7" s="1542">
        <f>'1024'!AB42</f>
        <v>7358667</v>
      </c>
      <c r="F7" s="1543">
        <f>C7/B7</f>
        <v>1</v>
      </c>
      <c r="G7" s="1544">
        <f>C7/B7</f>
        <v>1</v>
      </c>
      <c r="H7" s="1545">
        <f>C7/B7</f>
        <v>1</v>
      </c>
      <c r="I7" s="1546">
        <f>D7/B7</f>
        <v>1</v>
      </c>
      <c r="J7" s="1544">
        <f>D7/B7</f>
        <v>1</v>
      </c>
      <c r="K7" s="1545">
        <f>D7/B7</f>
        <v>1</v>
      </c>
      <c r="L7" s="1547">
        <f>E7/B7</f>
        <v>7.4783201219512194E-2</v>
      </c>
      <c r="M7" s="1544">
        <f>E7/B7</f>
        <v>7.4783201219512194E-2</v>
      </c>
      <c r="N7" s="1545">
        <f>E7/B7</f>
        <v>7.4783201219512194E-2</v>
      </c>
    </row>
    <row r="8" spans="1:14">
      <c r="A8" s="1541" t="s">
        <v>631</v>
      </c>
      <c r="B8" s="1542">
        <f>'1024'!B43</f>
        <v>20000000</v>
      </c>
      <c r="C8" s="1542">
        <f>'1024'!L47</f>
        <v>0</v>
      </c>
      <c r="D8" s="1542">
        <f>'1024'!N47</f>
        <v>0</v>
      </c>
      <c r="E8" s="1542">
        <f>'1024'!AB47</f>
        <v>0</v>
      </c>
      <c r="F8" s="1543">
        <f>C8/B8</f>
        <v>0</v>
      </c>
      <c r="G8" s="1544">
        <f>C8/B8</f>
        <v>0</v>
      </c>
      <c r="H8" s="1545">
        <f>C8/B8</f>
        <v>0</v>
      </c>
      <c r="I8" s="1546">
        <f>D8/B8</f>
        <v>0</v>
      </c>
      <c r="J8" s="1544">
        <f>D8/B8</f>
        <v>0</v>
      </c>
      <c r="K8" s="1545">
        <f>D8/B8</f>
        <v>0</v>
      </c>
      <c r="L8" s="1547">
        <f>E8/B8</f>
        <v>0</v>
      </c>
      <c r="M8" s="1544">
        <f>E8/B8</f>
        <v>0</v>
      </c>
      <c r="N8" s="1545">
        <f>E8/B8</f>
        <v>0</v>
      </c>
    </row>
    <row r="9" spans="1:14">
      <c r="A9" s="1549" t="s">
        <v>632</v>
      </c>
      <c r="B9" s="1550">
        <f>SUM(B6:B8)</f>
        <v>740000000</v>
      </c>
      <c r="C9" s="1550">
        <f>SUM(C6:C8)</f>
        <v>668946166</v>
      </c>
      <c r="D9" s="1550">
        <f>SUM(D6:D8)</f>
        <v>646971000</v>
      </c>
      <c r="E9" s="1551">
        <f>SUM(E6:E8)</f>
        <v>48616668</v>
      </c>
      <c r="F9" s="1552">
        <f>C9/B9</f>
        <v>0.90398130540540544</v>
      </c>
      <c r="G9" s="1553">
        <f>C9/B9</f>
        <v>0.90398130540540544</v>
      </c>
      <c r="H9" s="1554">
        <f>C9/B9</f>
        <v>0.90398130540540544</v>
      </c>
      <c r="I9" s="1555">
        <f>D9/B9</f>
        <v>0.87428513513513517</v>
      </c>
      <c r="J9" s="1553">
        <f>D9/B9</f>
        <v>0.87428513513513517</v>
      </c>
      <c r="K9" s="1554">
        <f>D9/B9</f>
        <v>0.87428513513513517</v>
      </c>
      <c r="L9" s="1556">
        <f>E9/B9</f>
        <v>6.5698199999999998E-2</v>
      </c>
      <c r="M9" s="1553">
        <f>E9/B9</f>
        <v>6.5698199999999998E-2</v>
      </c>
      <c r="N9" s="1554">
        <f>E9/B9</f>
        <v>6.5698199999999998E-2</v>
      </c>
    </row>
    <row r="10" spans="1:14" ht="24">
      <c r="A10" s="1597" t="s">
        <v>633</v>
      </c>
      <c r="B10" s="1597" t="s">
        <v>625</v>
      </c>
      <c r="C10" s="1597" t="s">
        <v>124</v>
      </c>
      <c r="D10" s="1597" t="s">
        <v>125</v>
      </c>
      <c r="E10" s="1597" t="s">
        <v>626</v>
      </c>
      <c r="F10" s="1597" t="s">
        <v>627</v>
      </c>
      <c r="G10" s="1796" t="s">
        <v>124</v>
      </c>
      <c r="H10" s="1797"/>
      <c r="I10" s="1597" t="s">
        <v>628</v>
      </c>
      <c r="J10" s="1796" t="s">
        <v>125</v>
      </c>
      <c r="K10" s="1797"/>
      <c r="L10" s="1597" t="s">
        <v>629</v>
      </c>
      <c r="M10" s="1796" t="s">
        <v>626</v>
      </c>
      <c r="N10" s="1797"/>
    </row>
    <row r="11" spans="1:14" ht="25.5">
      <c r="A11" s="1541" t="s">
        <v>29</v>
      </c>
      <c r="B11" s="1542">
        <f>'1024'!B54</f>
        <v>740000000</v>
      </c>
      <c r="C11" s="1542">
        <f>'1024'!L49</f>
        <v>668946166</v>
      </c>
      <c r="D11" s="1542">
        <f>'1024'!N49</f>
        <v>646971000</v>
      </c>
      <c r="E11" s="1542">
        <f>'1024'!AB49</f>
        <v>48616668</v>
      </c>
      <c r="F11" s="1543">
        <f>C11/B11</f>
        <v>0.90398130540540544</v>
      </c>
      <c r="G11" s="1544">
        <f>C11/B11</f>
        <v>0.90398130540540544</v>
      </c>
      <c r="H11" s="1545">
        <f>C11/B11</f>
        <v>0.90398130540540544</v>
      </c>
      <c r="I11" s="1546">
        <f>D11/B11</f>
        <v>0.87428513513513517</v>
      </c>
      <c r="J11" s="1544">
        <f>D11/B11</f>
        <v>0.87428513513513517</v>
      </c>
      <c r="K11" s="1545">
        <f>D11/B11</f>
        <v>0.87428513513513517</v>
      </c>
      <c r="L11" s="1547">
        <f>E11/B11</f>
        <v>6.5698199999999998E-2</v>
      </c>
      <c r="M11" s="1544">
        <f>E11/B11</f>
        <v>6.5698199999999998E-2</v>
      </c>
      <c r="N11" s="1545">
        <f>E11/B11</f>
        <v>6.5698199999999998E-2</v>
      </c>
    </row>
    <row r="12" spans="1:14">
      <c r="A12" s="1557"/>
      <c r="B12" s="1558"/>
      <c r="C12" s="1558"/>
      <c r="D12" s="1558"/>
      <c r="E12" s="1558"/>
      <c r="F12" s="1559"/>
      <c r="G12" s="1560"/>
      <c r="H12" s="1561"/>
      <c r="I12" s="1559"/>
      <c r="J12" s="1560"/>
      <c r="K12" s="1561"/>
      <c r="L12" s="1562"/>
      <c r="M12" s="1560"/>
      <c r="N12" s="1561"/>
    </row>
    <row r="13" spans="1:14" ht="15">
      <c r="A13" s="1798" t="s">
        <v>634</v>
      </c>
      <c r="B13" s="1799"/>
      <c r="C13" s="1799"/>
      <c r="D13" s="1799"/>
      <c r="E13" s="1799"/>
      <c r="F13" s="1799"/>
      <c r="G13" s="1799"/>
      <c r="H13" s="1799"/>
      <c r="I13" s="1799"/>
      <c r="J13" s="1799"/>
      <c r="K13" s="1799"/>
      <c r="L13" s="1799"/>
      <c r="M13" s="1799"/>
      <c r="N13" s="1799"/>
    </row>
    <row r="14" spans="1:14">
      <c r="A14" s="1540"/>
      <c r="B14" s="1540"/>
      <c r="C14" s="1540"/>
      <c r="D14" s="1540"/>
      <c r="E14" s="1540"/>
      <c r="F14" s="1540"/>
      <c r="G14" s="1540"/>
      <c r="H14" s="1540"/>
      <c r="I14" s="1540"/>
      <c r="J14" s="1540"/>
      <c r="K14" s="1540"/>
      <c r="L14" s="1540"/>
      <c r="M14" s="1540"/>
      <c r="N14" s="1540"/>
    </row>
    <row r="15" spans="1:14" ht="24">
      <c r="A15" s="1595" t="s">
        <v>624</v>
      </c>
      <c r="B15" s="1595" t="s">
        <v>625</v>
      </c>
      <c r="C15" s="1595" t="s">
        <v>124</v>
      </c>
      <c r="D15" s="1595" t="s">
        <v>125</v>
      </c>
      <c r="E15" s="1595" t="s">
        <v>626</v>
      </c>
      <c r="F15" s="1596" t="s">
        <v>627</v>
      </c>
      <c r="G15" s="1800" t="s">
        <v>124</v>
      </c>
      <c r="H15" s="1801"/>
      <c r="I15" s="1596" t="s">
        <v>628</v>
      </c>
      <c r="J15" s="1800" t="s">
        <v>125</v>
      </c>
      <c r="K15" s="1801"/>
      <c r="L15" s="1596" t="s">
        <v>629</v>
      </c>
      <c r="M15" s="1800" t="s">
        <v>626</v>
      </c>
      <c r="N15" s="1801"/>
    </row>
    <row r="16" spans="1:14" ht="23.25" customHeight="1">
      <c r="A16" s="1541" t="s">
        <v>43</v>
      </c>
      <c r="B16" s="1542">
        <f>'1107'!B16</f>
        <v>3506366443</v>
      </c>
      <c r="C16" s="1542">
        <f>'1107'!L69+'1107'!L73+'1107'!L77</f>
        <v>1066381298</v>
      </c>
      <c r="D16" s="1542">
        <f>'1107'!N69+'1107'!N73+'1107'!N77</f>
        <v>816033183</v>
      </c>
      <c r="E16" s="1542">
        <f>'1107'!AB69+'1107'!AB73+'1107'!AB77</f>
        <v>93102668</v>
      </c>
      <c r="F16" s="1543">
        <f>IFERROR(C16/B16,0)</f>
        <v>0.30412716849058663</v>
      </c>
      <c r="G16" s="1544">
        <f>IFERROR(C16/B16,0)</f>
        <v>0.30412716849058663</v>
      </c>
      <c r="H16" s="1545">
        <f>IFERROR(C16/B16,0)</f>
        <v>0.30412716849058663</v>
      </c>
      <c r="I16" s="1546">
        <f>IFERROR(D16/B16,0)</f>
        <v>0.23272900772510616</v>
      </c>
      <c r="J16" s="1544">
        <f>IFERROR(D16/B16,0)</f>
        <v>0.23272900772510616</v>
      </c>
      <c r="K16" s="1545">
        <f>IFERROR(D16/B16,0)</f>
        <v>0.23272900772510616</v>
      </c>
      <c r="L16" s="1547">
        <f>IFERROR(E16/B16,0)</f>
        <v>2.6552463786512458E-2</v>
      </c>
      <c r="M16" s="1544">
        <f>IFERROR(E16/B16,0)</f>
        <v>2.6552463786512458E-2</v>
      </c>
      <c r="N16" s="1545">
        <f>IFERROR(E16/B16,0)</f>
        <v>2.6552463786512458E-2</v>
      </c>
    </row>
    <row r="17" spans="1:14" ht="23.25" customHeight="1">
      <c r="A17" s="1541" t="s">
        <v>49</v>
      </c>
      <c r="B17" s="1542">
        <f>'1107'!B98</f>
        <v>2849633557</v>
      </c>
      <c r="C17" s="1542">
        <f>'1107'!L150+'1107'!L154</f>
        <v>2043181714</v>
      </c>
      <c r="D17" s="1542">
        <f>'1107'!N150+'1107'!N154</f>
        <v>2035681714</v>
      </c>
      <c r="E17" s="1542">
        <f>'1107'!AB150+'1107'!AB154</f>
        <v>155849334</v>
      </c>
      <c r="F17" s="1543">
        <f>C17/B17</f>
        <v>0.71699805365535985</v>
      </c>
      <c r="G17" s="1544">
        <f>C17/B17</f>
        <v>0.71699805365535985</v>
      </c>
      <c r="H17" s="1545">
        <f>C17/B17</f>
        <v>0.71699805365535985</v>
      </c>
      <c r="I17" s="1546">
        <f>D17/B17</f>
        <v>0.71436613630529333</v>
      </c>
      <c r="J17" s="1544">
        <f>D17/B17</f>
        <v>0.71436613630529333</v>
      </c>
      <c r="K17" s="1545">
        <f>D17/B17</f>
        <v>0.71436613630529333</v>
      </c>
      <c r="L17" s="1547">
        <f>E17/B17</f>
        <v>5.4691008820121075E-2</v>
      </c>
      <c r="M17" s="1544">
        <f>E17/B17</f>
        <v>5.4691008820121075E-2</v>
      </c>
      <c r="N17" s="1545">
        <f>E17/B17</f>
        <v>5.4691008820121075E-2</v>
      </c>
    </row>
    <row r="18" spans="1:14" ht="38.25">
      <c r="A18" s="1541" t="s">
        <v>648</v>
      </c>
      <c r="B18" s="1542">
        <f>'1107'!B78</f>
        <v>620000000</v>
      </c>
      <c r="C18" s="1542">
        <f>'1107'!L97</f>
        <v>501965000</v>
      </c>
      <c r="D18" s="1542">
        <f>'1107'!N97</f>
        <v>126965000</v>
      </c>
      <c r="E18" s="1542">
        <f>'1107'!AB97</f>
        <v>11774500</v>
      </c>
      <c r="F18" s="1543">
        <f>C18/B18</f>
        <v>0.80962096774193548</v>
      </c>
      <c r="G18" s="1544">
        <f>C18/B18</f>
        <v>0.80962096774193548</v>
      </c>
      <c r="H18" s="1545">
        <f>C18/B18</f>
        <v>0.80962096774193548</v>
      </c>
      <c r="I18" s="1546">
        <f>D18/B18</f>
        <v>0.20478225806451614</v>
      </c>
      <c r="J18" s="1544">
        <f>D18/B18</f>
        <v>0.20478225806451614</v>
      </c>
      <c r="K18" s="1545">
        <f>D18/B18</f>
        <v>0.20478225806451614</v>
      </c>
      <c r="L18" s="1547">
        <f>E18/B18</f>
        <v>1.8991129032258063E-2</v>
      </c>
      <c r="M18" s="1544">
        <f>E18/B18</f>
        <v>1.8991129032258063E-2</v>
      </c>
      <c r="N18" s="1545">
        <f>E18/B18</f>
        <v>1.8991129032258063E-2</v>
      </c>
    </row>
    <row r="19" spans="1:14">
      <c r="A19" s="1549" t="s">
        <v>632</v>
      </c>
      <c r="B19" s="1550">
        <f>SUM(B16:B18)</f>
        <v>6976000000</v>
      </c>
      <c r="C19" s="1550">
        <f>SUM(C16:C18)</f>
        <v>3611528012</v>
      </c>
      <c r="D19" s="1550">
        <f>SUM(D16:D18)</f>
        <v>2978679897</v>
      </c>
      <c r="E19" s="1551">
        <f>SUM(E16:E18)</f>
        <v>260726502</v>
      </c>
      <c r="F19" s="1552">
        <f>C19/B19</f>
        <v>0.51770757052752292</v>
      </c>
      <c r="G19" s="1553">
        <f>C19/B19</f>
        <v>0.51770757052752292</v>
      </c>
      <c r="H19" s="1554">
        <f>C19/B19</f>
        <v>0.51770757052752292</v>
      </c>
      <c r="I19" s="1555">
        <f>D19/B19</f>
        <v>0.42698966413417433</v>
      </c>
      <c r="J19" s="1553">
        <f>D19/B19</f>
        <v>0.42698966413417433</v>
      </c>
      <c r="K19" s="1554">
        <f>D19/B19</f>
        <v>0.42698966413417433</v>
      </c>
      <c r="L19" s="1556">
        <f>E19/B19</f>
        <v>3.7374785263761465E-2</v>
      </c>
      <c r="M19" s="1553">
        <f>E19/B19</f>
        <v>3.7374785263761465E-2</v>
      </c>
      <c r="N19" s="1554">
        <f>E19/B19</f>
        <v>3.7374785263761465E-2</v>
      </c>
    </row>
    <row r="20" spans="1:14" ht="24">
      <c r="A20" s="1597" t="s">
        <v>633</v>
      </c>
      <c r="B20" s="1597" t="s">
        <v>625</v>
      </c>
      <c r="C20" s="1597" t="s">
        <v>124</v>
      </c>
      <c r="D20" s="1597" t="s">
        <v>125</v>
      </c>
      <c r="E20" s="1597" t="s">
        <v>626</v>
      </c>
      <c r="F20" s="1597" t="s">
        <v>627</v>
      </c>
      <c r="G20" s="1796" t="s">
        <v>124</v>
      </c>
      <c r="H20" s="1797"/>
      <c r="I20" s="1597" t="s">
        <v>628</v>
      </c>
      <c r="J20" s="1796" t="s">
        <v>125</v>
      </c>
      <c r="K20" s="1797"/>
      <c r="L20" s="1597" t="s">
        <v>629</v>
      </c>
      <c r="M20" s="1796" t="s">
        <v>626</v>
      </c>
      <c r="N20" s="1797"/>
    </row>
    <row r="21" spans="1:14" ht="38.25">
      <c r="A21" s="1541" t="s">
        <v>635</v>
      </c>
      <c r="B21" s="1542">
        <f>'1107'!B163</f>
        <v>6976000000</v>
      </c>
      <c r="C21" s="1542">
        <f>'1107'!L156</f>
        <v>3611528012</v>
      </c>
      <c r="D21" s="1542">
        <f>'1107'!N156</f>
        <v>2978679897</v>
      </c>
      <c r="E21" s="1542">
        <f>'1107'!AB156</f>
        <v>260726502</v>
      </c>
      <c r="F21" s="1543">
        <f>C21/B21</f>
        <v>0.51770757052752292</v>
      </c>
      <c r="G21" s="1544">
        <f>C21/B21</f>
        <v>0.51770757052752292</v>
      </c>
      <c r="H21" s="1545">
        <f>C21/B21</f>
        <v>0.51770757052752292</v>
      </c>
      <c r="I21" s="1546">
        <f>D21/B21</f>
        <v>0.42698966413417433</v>
      </c>
      <c r="J21" s="1544">
        <f>D21/B21</f>
        <v>0.42698966413417433</v>
      </c>
      <c r="K21" s="1545">
        <f>D21/B21</f>
        <v>0.42698966413417433</v>
      </c>
      <c r="L21" s="1547">
        <f>E21/B21</f>
        <v>3.7374785263761465E-2</v>
      </c>
      <c r="M21" s="1544">
        <f>E21/B21</f>
        <v>3.7374785263761465E-2</v>
      </c>
      <c r="N21" s="1545">
        <f>E21/B21</f>
        <v>3.7374785263761465E-2</v>
      </c>
    </row>
    <row r="22" spans="1:14">
      <c r="A22" s="1557"/>
      <c r="B22" s="1558"/>
      <c r="C22" s="1558"/>
      <c r="D22" s="1558"/>
      <c r="E22" s="1558"/>
      <c r="F22" s="1559"/>
      <c r="G22" s="1560"/>
      <c r="H22" s="1561"/>
      <c r="I22" s="1559"/>
      <c r="J22" s="1560"/>
      <c r="K22" s="1561"/>
      <c r="L22" s="1562"/>
      <c r="M22" s="1560"/>
      <c r="N22" s="1561"/>
    </row>
    <row r="23" spans="1:14" ht="15">
      <c r="A23" s="1798" t="s">
        <v>636</v>
      </c>
      <c r="B23" s="1799"/>
      <c r="C23" s="1799"/>
      <c r="D23" s="1799"/>
      <c r="E23" s="1799"/>
      <c r="F23" s="1799"/>
      <c r="G23" s="1799"/>
      <c r="H23" s="1799"/>
      <c r="I23" s="1799"/>
      <c r="J23" s="1799"/>
      <c r="K23" s="1799"/>
      <c r="L23" s="1799"/>
      <c r="M23" s="1799"/>
      <c r="N23" s="1799"/>
    </row>
    <row r="24" spans="1:14">
      <c r="A24" s="1540"/>
      <c r="B24" s="1540"/>
      <c r="C24" s="1540"/>
      <c r="D24" s="1540"/>
      <c r="E24" s="1540"/>
      <c r="F24" s="1540"/>
      <c r="G24" s="1540"/>
      <c r="H24" s="1540"/>
      <c r="I24" s="1540"/>
      <c r="J24" s="1540"/>
      <c r="K24" s="1540"/>
      <c r="L24" s="1540"/>
      <c r="M24" s="1540"/>
      <c r="N24" s="1540"/>
    </row>
    <row r="25" spans="1:14" ht="24">
      <c r="A25" s="1595" t="s">
        <v>624</v>
      </c>
      <c r="B25" s="1595" t="s">
        <v>625</v>
      </c>
      <c r="C25" s="1595" t="s">
        <v>124</v>
      </c>
      <c r="D25" s="1595" t="s">
        <v>125</v>
      </c>
      <c r="E25" s="1595" t="s">
        <v>626</v>
      </c>
      <c r="F25" s="1596" t="s">
        <v>627</v>
      </c>
      <c r="G25" s="1800" t="s">
        <v>124</v>
      </c>
      <c r="H25" s="1801"/>
      <c r="I25" s="1596" t="s">
        <v>628</v>
      </c>
      <c r="J25" s="1800" t="s">
        <v>125</v>
      </c>
      <c r="K25" s="1801"/>
      <c r="L25" s="1596" t="s">
        <v>629</v>
      </c>
      <c r="M25" s="1800" t="s">
        <v>626</v>
      </c>
      <c r="N25" s="1801"/>
    </row>
    <row r="26" spans="1:14" ht="51">
      <c r="A26" s="1599" t="s">
        <v>651</v>
      </c>
      <c r="B26" s="1542">
        <f>'1110'!B63</f>
        <v>567820000</v>
      </c>
      <c r="C26" s="1542">
        <f>'1110'!L81</f>
        <v>383460000</v>
      </c>
      <c r="D26" s="1542">
        <f>'1110'!N81</f>
        <v>383460000</v>
      </c>
      <c r="E26" s="1542">
        <f>'1110'!AB81</f>
        <v>52248667</v>
      </c>
      <c r="F26" s="1563">
        <f>IFERROR(C26/B26,0)</f>
        <v>0.67531964354901197</v>
      </c>
      <c r="G26" s="1544">
        <f>IFERROR(C26/B26,0)</f>
        <v>0.67531964354901197</v>
      </c>
      <c r="H26" s="1545">
        <f>IFERROR(C26/B26,0)</f>
        <v>0.67531964354901197</v>
      </c>
      <c r="I26" s="1564">
        <f>IFERROR(D26/B26,0)</f>
        <v>0.67531964354901197</v>
      </c>
      <c r="J26" s="1544">
        <f>IFERROR(D26/B26,0)</f>
        <v>0.67531964354901197</v>
      </c>
      <c r="K26" s="1545">
        <f>IFERROR(D26/B26,0)</f>
        <v>0.67531964354901197</v>
      </c>
      <c r="L26" s="1547">
        <f>IFERROR(E26/B26,0)</f>
        <v>9.2016249867915886E-2</v>
      </c>
      <c r="M26" s="1544">
        <f>IFERROR(E26/B26,0)</f>
        <v>9.2016249867915886E-2</v>
      </c>
      <c r="N26" s="1545">
        <f>IFERROR(E26/B26,0)</f>
        <v>9.2016249867915886E-2</v>
      </c>
    </row>
    <row r="27" spans="1:14" ht="25.5">
      <c r="A27" s="1541" t="s">
        <v>649</v>
      </c>
      <c r="B27" s="1542">
        <f>'1110'!B82</f>
        <v>2479052000</v>
      </c>
      <c r="C27" s="1542">
        <f>'1110'!L144+'1110'!L147</f>
        <v>2346767334</v>
      </c>
      <c r="D27" s="1542">
        <f>'1110'!N144+'1110'!N147</f>
        <v>2336907334</v>
      </c>
      <c r="E27" s="1542">
        <f>'1110'!AB144+'1110'!AB147</f>
        <v>228706633</v>
      </c>
      <c r="F27" s="1563">
        <f t="shared" ref="F27:F32" si="0">C27/B27</f>
        <v>0.94663901120266936</v>
      </c>
      <c r="G27" s="1544">
        <f t="shared" ref="G27:G32" si="1">C27/B27</f>
        <v>0.94663901120266936</v>
      </c>
      <c r="H27" s="1545">
        <f t="shared" ref="H27:H32" si="2">C27/B27</f>
        <v>0.94663901120266936</v>
      </c>
      <c r="I27" s="1564">
        <f t="shared" ref="I27:I32" si="3">D27/B27</f>
        <v>0.94266168438580555</v>
      </c>
      <c r="J27" s="1544">
        <f t="shared" ref="J27:J32" si="4">D27/B27</f>
        <v>0.94266168438580555</v>
      </c>
      <c r="K27" s="1545">
        <f t="shared" ref="K27:K32" si="5">D27/B27</f>
        <v>0.94266168438580555</v>
      </c>
      <c r="L27" s="1547">
        <f t="shared" ref="L27:L32" si="6">E27/B27</f>
        <v>9.2255682010704096E-2</v>
      </c>
      <c r="M27" s="1544">
        <f t="shared" ref="M27:M32" si="7">E27/B27</f>
        <v>9.2255682010704096E-2</v>
      </c>
      <c r="N27" s="1545">
        <f t="shared" ref="N27:N32" si="8">E27/B27</f>
        <v>9.2255682010704096E-2</v>
      </c>
    </row>
    <row r="28" spans="1:14" ht="25.5">
      <c r="A28" s="1541" t="s">
        <v>67</v>
      </c>
      <c r="B28" s="1542">
        <f>'1110'!B148</f>
        <v>259680000</v>
      </c>
      <c r="C28" s="1542">
        <f>'1110'!L156</f>
        <v>250180000</v>
      </c>
      <c r="D28" s="1542">
        <f>'1110'!N156</f>
        <v>249150000</v>
      </c>
      <c r="E28" s="1542">
        <f>'1110'!AB156</f>
        <v>24488667</v>
      </c>
      <c r="F28" s="1563">
        <f t="shared" si="0"/>
        <v>0.96341651263093042</v>
      </c>
      <c r="G28" s="1544">
        <f t="shared" si="1"/>
        <v>0.96341651263093042</v>
      </c>
      <c r="H28" s="1545">
        <f t="shared" si="2"/>
        <v>0.96341651263093042</v>
      </c>
      <c r="I28" s="1564">
        <f t="shared" si="3"/>
        <v>0.95945009242144175</v>
      </c>
      <c r="J28" s="1544">
        <f t="shared" si="4"/>
        <v>0.95945009242144175</v>
      </c>
      <c r="K28" s="1545">
        <f t="shared" si="5"/>
        <v>0.95945009242144175</v>
      </c>
      <c r="L28" s="1547">
        <f t="shared" si="6"/>
        <v>9.4303246303142324E-2</v>
      </c>
      <c r="M28" s="1544">
        <f t="shared" si="7"/>
        <v>9.4303246303142324E-2</v>
      </c>
      <c r="N28" s="1545">
        <f t="shared" si="8"/>
        <v>9.4303246303142324E-2</v>
      </c>
    </row>
    <row r="29" spans="1:14" ht="38.25">
      <c r="A29" s="1541" t="s">
        <v>650</v>
      </c>
      <c r="B29" s="1542">
        <f>'1110'!B54</f>
        <v>324680000</v>
      </c>
      <c r="C29" s="1542">
        <f>'1110'!L62</f>
        <v>267410000</v>
      </c>
      <c r="D29" s="1542">
        <f>'1110'!N62</f>
        <v>265350000</v>
      </c>
      <c r="E29" s="1542">
        <f>'1110'!AB62</f>
        <v>25787333</v>
      </c>
      <c r="F29" s="1563">
        <f t="shared" si="0"/>
        <v>0.82361094000246393</v>
      </c>
      <c r="G29" s="1544">
        <f t="shared" si="1"/>
        <v>0.82361094000246393</v>
      </c>
      <c r="H29" s="1545">
        <f t="shared" si="2"/>
        <v>0.82361094000246393</v>
      </c>
      <c r="I29" s="1564">
        <f t="shared" si="3"/>
        <v>0.8172662313662683</v>
      </c>
      <c r="J29" s="1544">
        <f t="shared" si="4"/>
        <v>0.8172662313662683</v>
      </c>
      <c r="K29" s="1545">
        <f t="shared" si="5"/>
        <v>0.8172662313662683</v>
      </c>
      <c r="L29" s="1547">
        <f t="shared" si="6"/>
        <v>7.9423841936676107E-2</v>
      </c>
      <c r="M29" s="1544">
        <f t="shared" si="7"/>
        <v>7.9423841936676107E-2</v>
      </c>
      <c r="N29" s="1545">
        <f t="shared" si="8"/>
        <v>7.9423841936676107E-2</v>
      </c>
    </row>
    <row r="30" spans="1:14" ht="25.5">
      <c r="A30" s="1541" t="s">
        <v>64</v>
      </c>
      <c r="B30" s="1542">
        <f>'1110'!B33</f>
        <v>508490000</v>
      </c>
      <c r="C30" s="1542">
        <f>'1110'!L45+'1110'!L53</f>
        <v>121809475</v>
      </c>
      <c r="D30" s="1542">
        <f>'1110'!N45+'1110'!N53</f>
        <v>30290000</v>
      </c>
      <c r="E30" s="1542">
        <f>'1110'!AB45+'1110'!AB53</f>
        <v>4986695</v>
      </c>
      <c r="F30" s="1563">
        <f t="shared" si="0"/>
        <v>0.23955136777517749</v>
      </c>
      <c r="G30" s="1544">
        <f t="shared" si="1"/>
        <v>0.23955136777517749</v>
      </c>
      <c r="H30" s="1545">
        <f t="shared" si="2"/>
        <v>0.23955136777517749</v>
      </c>
      <c r="I30" s="1564">
        <f t="shared" si="3"/>
        <v>5.9568526421365217E-2</v>
      </c>
      <c r="J30" s="1544">
        <f t="shared" si="4"/>
        <v>5.9568526421365217E-2</v>
      </c>
      <c r="K30" s="1545">
        <f t="shared" si="5"/>
        <v>5.9568526421365217E-2</v>
      </c>
      <c r="L30" s="1547">
        <f t="shared" si="6"/>
        <v>9.8068693582961317E-3</v>
      </c>
      <c r="M30" s="1544">
        <f t="shared" si="7"/>
        <v>9.8068693582961317E-3</v>
      </c>
      <c r="N30" s="1545">
        <f t="shared" si="8"/>
        <v>9.8068693582961317E-3</v>
      </c>
    </row>
    <row r="31" spans="1:14" ht="25.5">
      <c r="A31" s="1598" t="s">
        <v>58</v>
      </c>
      <c r="B31" s="1573">
        <f>'1110'!B16</f>
        <v>1438440000</v>
      </c>
      <c r="C31" s="1573">
        <f>'1110'!L26+'1110'!L29+'1110'!L32</f>
        <v>892353381</v>
      </c>
      <c r="D31" s="1573">
        <f>'1110'!N26+'1110'!N29+'1110'!N32</f>
        <v>330847598</v>
      </c>
      <c r="E31" s="1542">
        <f>'1110'!AB26+'1110'!AB29+'1110'!AB32</f>
        <v>64268816</v>
      </c>
      <c r="F31" s="1564">
        <f t="shared" si="0"/>
        <v>0.62036190664886959</v>
      </c>
      <c r="G31" s="1544">
        <f t="shared" si="1"/>
        <v>0.62036190664886959</v>
      </c>
      <c r="H31" s="1545">
        <f t="shared" si="2"/>
        <v>0.62036190664886959</v>
      </c>
      <c r="I31" s="1564">
        <f t="shared" si="3"/>
        <v>0.2300044478740858</v>
      </c>
      <c r="J31" s="1544">
        <f t="shared" si="4"/>
        <v>0.2300044478740858</v>
      </c>
      <c r="K31" s="1545">
        <f t="shared" si="5"/>
        <v>0.2300044478740858</v>
      </c>
      <c r="L31" s="1547">
        <f t="shared" si="6"/>
        <v>4.467952504101666E-2</v>
      </c>
      <c r="M31" s="1544">
        <f t="shared" si="7"/>
        <v>4.467952504101666E-2</v>
      </c>
      <c r="N31" s="1545">
        <f t="shared" si="8"/>
        <v>4.467952504101666E-2</v>
      </c>
    </row>
    <row r="32" spans="1:14">
      <c r="A32" s="1549" t="s">
        <v>632</v>
      </c>
      <c r="B32" s="1550">
        <f>SUM(B26:B31)</f>
        <v>5578162000</v>
      </c>
      <c r="C32" s="1550">
        <f>SUM(C26:C31)</f>
        <v>4261980190</v>
      </c>
      <c r="D32" s="1550">
        <f>SUM(D26:D31)</f>
        <v>3596004932</v>
      </c>
      <c r="E32" s="1550">
        <f>SUM(E26:E31)</f>
        <v>400486811</v>
      </c>
      <c r="F32" s="1565">
        <f t="shared" si="0"/>
        <v>0.76404740306932639</v>
      </c>
      <c r="G32" s="1553">
        <f t="shared" si="1"/>
        <v>0.76404740306932639</v>
      </c>
      <c r="H32" s="1554">
        <f t="shared" si="2"/>
        <v>0.76404740306932639</v>
      </c>
      <c r="I32" s="1566">
        <f t="shared" si="3"/>
        <v>0.64465767254518602</v>
      </c>
      <c r="J32" s="1553">
        <f t="shared" si="4"/>
        <v>0.64465767254518602</v>
      </c>
      <c r="K32" s="1554">
        <f t="shared" si="5"/>
        <v>0.64465767254518602</v>
      </c>
      <c r="L32" s="1556">
        <f t="shared" si="6"/>
        <v>7.1795478689934064E-2</v>
      </c>
      <c r="M32" s="1553">
        <f t="shared" si="7"/>
        <v>7.1795478689934064E-2</v>
      </c>
      <c r="N32" s="1554">
        <f t="shared" si="8"/>
        <v>7.1795478689934064E-2</v>
      </c>
    </row>
    <row r="33" spans="1:14" ht="24">
      <c r="A33" s="1597" t="s">
        <v>633</v>
      </c>
      <c r="B33" s="1597" t="s">
        <v>625</v>
      </c>
      <c r="C33" s="1597" t="s">
        <v>124</v>
      </c>
      <c r="D33" s="1597" t="s">
        <v>125</v>
      </c>
      <c r="E33" s="1597" t="s">
        <v>626</v>
      </c>
      <c r="F33" s="1597" t="s">
        <v>627</v>
      </c>
      <c r="G33" s="1796" t="s">
        <v>124</v>
      </c>
      <c r="H33" s="1797"/>
      <c r="I33" s="1597" t="s">
        <v>628</v>
      </c>
      <c r="J33" s="1796" t="s">
        <v>125</v>
      </c>
      <c r="K33" s="1797"/>
      <c r="L33" s="1597" t="s">
        <v>629</v>
      </c>
      <c r="M33" s="1796" t="s">
        <v>626</v>
      </c>
      <c r="N33" s="1797"/>
    </row>
    <row r="34" spans="1:14" ht="25.5">
      <c r="A34" s="1541" t="str">
        <f>'[6]1110'!A81</f>
        <v>10. Procesos articulados dentro del sistema integrado de gestión.</v>
      </c>
      <c r="B34" s="1542">
        <f>'1110'!B163</f>
        <v>5578162000</v>
      </c>
      <c r="C34" s="1542">
        <f>'1110'!L158</f>
        <v>4261980190</v>
      </c>
      <c r="D34" s="1542">
        <f>'1110'!N158</f>
        <v>3596004932</v>
      </c>
      <c r="E34" s="1542">
        <f>'1110'!AB158</f>
        <v>400486811</v>
      </c>
      <c r="F34" s="1563">
        <f>C34/B34</f>
        <v>0.76404740306932639</v>
      </c>
      <c r="G34" s="1544">
        <f>C34/B34</f>
        <v>0.76404740306932639</v>
      </c>
      <c r="H34" s="1545">
        <f>C34/B34</f>
        <v>0.76404740306932639</v>
      </c>
      <c r="I34" s="1564">
        <f>D34/B34</f>
        <v>0.64465767254518602</v>
      </c>
      <c r="J34" s="1544">
        <f>D34/B34</f>
        <v>0.64465767254518602</v>
      </c>
      <c r="K34" s="1545">
        <f>D34/B34</f>
        <v>0.64465767254518602</v>
      </c>
      <c r="L34" s="1547">
        <f>E34/B34</f>
        <v>7.1795478689934064E-2</v>
      </c>
      <c r="M34" s="1544">
        <f>E34/B34</f>
        <v>7.1795478689934064E-2</v>
      </c>
      <c r="N34" s="1545">
        <f>E34/B34</f>
        <v>7.1795478689934064E-2</v>
      </c>
    </row>
    <row r="35" spans="1:14">
      <c r="A35" s="1557"/>
      <c r="B35" s="1558"/>
      <c r="C35" s="1558"/>
      <c r="D35" s="1558"/>
      <c r="E35" s="1558"/>
      <c r="F35" s="1559"/>
      <c r="G35" s="1560"/>
      <c r="H35" s="1561"/>
      <c r="I35" s="1559"/>
      <c r="J35" s="1560"/>
      <c r="K35" s="1561"/>
      <c r="L35" s="1562"/>
      <c r="M35" s="1560"/>
      <c r="N35" s="1561"/>
    </row>
    <row r="36" spans="1:14" ht="15">
      <c r="A36" s="1798" t="s">
        <v>637</v>
      </c>
      <c r="B36" s="1799"/>
      <c r="C36" s="1799"/>
      <c r="D36" s="1799"/>
      <c r="E36" s="1799"/>
      <c r="F36" s="1799"/>
      <c r="G36" s="1799"/>
      <c r="H36" s="1799"/>
      <c r="I36" s="1799"/>
      <c r="J36" s="1799"/>
      <c r="K36" s="1799"/>
      <c r="L36" s="1799"/>
      <c r="M36" s="1799"/>
      <c r="N36" s="1799"/>
    </row>
    <row r="37" spans="1:14">
      <c r="A37" s="1540"/>
      <c r="B37" s="1540"/>
      <c r="C37" s="1540"/>
      <c r="D37" s="1540"/>
      <c r="E37" s="1540"/>
      <c r="F37" s="1540"/>
      <c r="G37" s="1540"/>
      <c r="H37" s="1540"/>
      <c r="I37" s="1540"/>
      <c r="J37" s="1540"/>
      <c r="K37" s="1540"/>
      <c r="L37" s="1540"/>
      <c r="M37" s="1540"/>
      <c r="N37" s="1540"/>
    </row>
    <row r="38" spans="1:14" ht="24">
      <c r="A38" s="1595" t="s">
        <v>624</v>
      </c>
      <c r="B38" s="1595" t="s">
        <v>625</v>
      </c>
      <c r="C38" s="1595" t="s">
        <v>124</v>
      </c>
      <c r="D38" s="1595" t="s">
        <v>125</v>
      </c>
      <c r="E38" s="1595" t="s">
        <v>626</v>
      </c>
      <c r="F38" s="1596" t="s">
        <v>627</v>
      </c>
      <c r="G38" s="1800" t="s">
        <v>124</v>
      </c>
      <c r="H38" s="1801"/>
      <c r="I38" s="1596" t="s">
        <v>628</v>
      </c>
      <c r="J38" s="1800" t="s">
        <v>125</v>
      </c>
      <c r="K38" s="1801"/>
      <c r="L38" s="1596" t="s">
        <v>629</v>
      </c>
      <c r="M38" s="1800" t="s">
        <v>626</v>
      </c>
      <c r="N38" s="1801"/>
    </row>
    <row r="39" spans="1:14" ht="25.5">
      <c r="A39" s="1599" t="s">
        <v>78</v>
      </c>
      <c r="B39" s="1542">
        <f>'1112'!B16</f>
        <v>1606700000</v>
      </c>
      <c r="C39" s="1542">
        <f>'1112'!L65</f>
        <v>1280943333</v>
      </c>
      <c r="D39" s="1542">
        <f>'1112'!N65</f>
        <v>1173843333</v>
      </c>
      <c r="E39" s="1542">
        <f>'1112'!AB65</f>
        <v>148024333</v>
      </c>
      <c r="F39" s="1563">
        <f>IFERROR(C39/B39,0)</f>
        <v>0.79725109416817075</v>
      </c>
      <c r="G39" s="1544">
        <f>IFERROR(C39/B39,0)</f>
        <v>0.79725109416817075</v>
      </c>
      <c r="H39" s="1545">
        <f>IFERROR(C39/B39,0)</f>
        <v>0.79725109416817075</v>
      </c>
      <c r="I39" s="1564">
        <f>IFERROR(D39/B39,0)</f>
        <v>0.73059272608452108</v>
      </c>
      <c r="J39" s="1544">
        <f>IFERROR(D39/B39,0)</f>
        <v>0.73059272608452108</v>
      </c>
      <c r="K39" s="1545">
        <f>IFERROR(D39/B39,0)</f>
        <v>0.73059272608452108</v>
      </c>
      <c r="L39" s="1547">
        <f>IFERROR(E39/B39,0)</f>
        <v>9.212941619468476E-2</v>
      </c>
      <c r="M39" s="1544">
        <f>IFERROR(E39/B39,0)</f>
        <v>9.212941619468476E-2</v>
      </c>
      <c r="N39" s="1545">
        <f>IFERROR(E39/B39,0)</f>
        <v>9.212941619468476E-2</v>
      </c>
    </row>
    <row r="40" spans="1:14" ht="25.5">
      <c r="A40" s="1599" t="s">
        <v>80</v>
      </c>
      <c r="B40" s="1542">
        <f>'1112'!B66</f>
        <v>594440000</v>
      </c>
      <c r="C40" s="1542">
        <f>'1112'!N81</f>
        <v>486140000</v>
      </c>
      <c r="D40" s="1542">
        <f>'1112'!N81</f>
        <v>486140000</v>
      </c>
      <c r="E40" s="1542">
        <f>'1112'!AB81</f>
        <v>33590667</v>
      </c>
      <c r="F40" s="1563">
        <f>C40/B40</f>
        <v>0.81781172195679963</v>
      </c>
      <c r="G40" s="1544">
        <f>C40/B40</f>
        <v>0.81781172195679963</v>
      </c>
      <c r="H40" s="1545">
        <f>C40/B40</f>
        <v>0.81781172195679963</v>
      </c>
      <c r="I40" s="1564">
        <f>D40/B40</f>
        <v>0.81781172195679963</v>
      </c>
      <c r="J40" s="1544">
        <f>D40/B40</f>
        <v>0.81781172195679963</v>
      </c>
      <c r="K40" s="1545">
        <f>D40/B40</f>
        <v>0.81781172195679963</v>
      </c>
      <c r="L40" s="1547">
        <f>E40/B40</f>
        <v>5.6508086602516654E-2</v>
      </c>
      <c r="M40" s="1544">
        <f>E40/B40</f>
        <v>5.6508086602516654E-2</v>
      </c>
      <c r="N40" s="1545">
        <f>E40/B40</f>
        <v>5.6508086602516654E-2</v>
      </c>
    </row>
    <row r="41" spans="1:14" ht="38.25">
      <c r="A41" s="1599" t="s">
        <v>652</v>
      </c>
      <c r="B41" s="1542">
        <f>'1112'!B82</f>
        <v>222860000</v>
      </c>
      <c r="C41" s="1542">
        <f>'1112'!L87</f>
        <v>222860000</v>
      </c>
      <c r="D41" s="1542">
        <f>'1112'!N87</f>
        <v>222860000</v>
      </c>
      <c r="E41" s="1542">
        <f>'1112'!AB87</f>
        <v>25184667</v>
      </c>
      <c r="F41" s="1563">
        <f>IFERROR(C41/B41,0)</f>
        <v>1</v>
      </c>
      <c r="G41" s="1544">
        <f>IFERROR(C41/B41,0)</f>
        <v>1</v>
      </c>
      <c r="H41" s="1545">
        <f>IFERROR(C41/B41,0)</f>
        <v>1</v>
      </c>
      <c r="I41" s="1564">
        <f>IFERROR(D41/B41,0)</f>
        <v>1</v>
      </c>
      <c r="J41" s="1544">
        <f>IFERROR(D41/B41,0)</f>
        <v>1</v>
      </c>
      <c r="K41" s="1545">
        <f>IFERROR(D41/B41,0)</f>
        <v>1</v>
      </c>
      <c r="L41" s="1547">
        <f>IFERROR(E41/B41,0)</f>
        <v>0.11300667235035448</v>
      </c>
      <c r="M41" s="1544">
        <f>IFERROR(E41/B41,0)</f>
        <v>0.11300667235035448</v>
      </c>
      <c r="N41" s="1545">
        <f>IFERROR(E41/B41,0)</f>
        <v>0.11300667235035448</v>
      </c>
    </row>
    <row r="42" spans="1:14">
      <c r="A42" s="1549" t="s">
        <v>632</v>
      </c>
      <c r="B42" s="1550">
        <f>SUM(B37:B41)</f>
        <v>2424000000</v>
      </c>
      <c r="C42" s="1550">
        <f>SUM(C37:C41)</f>
        <v>1989943333</v>
      </c>
      <c r="D42" s="1550">
        <f>SUM(D37:D41)</f>
        <v>1882843333</v>
      </c>
      <c r="E42" s="1550">
        <f>SUM(E37:E41)</f>
        <v>206799667</v>
      </c>
      <c r="F42" s="1565">
        <f>C42/B42</f>
        <v>0.82093371823432348</v>
      </c>
      <c r="G42" s="1553">
        <f>C42/B42</f>
        <v>0.82093371823432348</v>
      </c>
      <c r="H42" s="1554">
        <f>C42/B42</f>
        <v>0.82093371823432348</v>
      </c>
      <c r="I42" s="1566">
        <f>D42/B42</f>
        <v>0.77675054991749171</v>
      </c>
      <c r="J42" s="1553">
        <f>D42/B42</f>
        <v>0.77675054991749171</v>
      </c>
      <c r="K42" s="1554">
        <f>D42/B42</f>
        <v>0.77675054991749171</v>
      </c>
      <c r="L42" s="1556">
        <f>E42/B42</f>
        <v>8.5313393976897689E-2</v>
      </c>
      <c r="M42" s="1553">
        <f>E42/B42</f>
        <v>8.5313393976897689E-2</v>
      </c>
      <c r="N42" s="1554">
        <f>E42/B42</f>
        <v>8.5313393976897689E-2</v>
      </c>
    </row>
    <row r="43" spans="1:14" ht="24">
      <c r="A43" s="1597" t="s">
        <v>633</v>
      </c>
      <c r="B43" s="1597" t="s">
        <v>625</v>
      </c>
      <c r="C43" s="1597" t="s">
        <v>124</v>
      </c>
      <c r="D43" s="1597" t="s">
        <v>125</v>
      </c>
      <c r="E43" s="1597" t="s">
        <v>626</v>
      </c>
      <c r="F43" s="1597" t="s">
        <v>627</v>
      </c>
      <c r="G43" s="1796" t="s">
        <v>124</v>
      </c>
      <c r="H43" s="1797"/>
      <c r="I43" s="1597" t="s">
        <v>628</v>
      </c>
      <c r="J43" s="1796" t="s">
        <v>125</v>
      </c>
      <c r="K43" s="1797"/>
      <c r="L43" s="1597" t="s">
        <v>629</v>
      </c>
      <c r="M43" s="1796" t="s">
        <v>626</v>
      </c>
      <c r="N43" s="1797"/>
    </row>
    <row r="44" spans="1:14" ht="38.25">
      <c r="A44" s="1541" t="str">
        <f>'[6]1112'!A94</f>
        <v>15. Instrumentos técnicos de gestión para la preservación del patrimonio cultural</v>
      </c>
      <c r="B44" s="1542">
        <f>'1112'!B95</f>
        <v>2424000000</v>
      </c>
      <c r="C44" s="1542">
        <f>'1112'!L89</f>
        <v>1989943333</v>
      </c>
      <c r="D44" s="1542">
        <f>'1112'!N89</f>
        <v>1882843333</v>
      </c>
      <c r="E44" s="1542">
        <f>'1112'!AB89</f>
        <v>206799667</v>
      </c>
      <c r="F44" s="1563">
        <f>C44/B44</f>
        <v>0.82093371823432348</v>
      </c>
      <c r="G44" s="1544">
        <f>C44/B44</f>
        <v>0.82093371823432348</v>
      </c>
      <c r="H44" s="1545">
        <f>C44/B44</f>
        <v>0.82093371823432348</v>
      </c>
      <c r="I44" s="1564">
        <f>D44/B44</f>
        <v>0.77675054991749171</v>
      </c>
      <c r="J44" s="1544">
        <f>D44/B44</f>
        <v>0.77675054991749171</v>
      </c>
      <c r="K44" s="1545">
        <f>D44/B44</f>
        <v>0.77675054991749171</v>
      </c>
      <c r="L44" s="1547">
        <f>E44/B44</f>
        <v>8.5313393976897689E-2</v>
      </c>
      <c r="M44" s="1544">
        <f>E44/B44</f>
        <v>8.5313393976897689E-2</v>
      </c>
      <c r="N44" s="1545">
        <f>E44/B44</f>
        <v>8.5313393976897689E-2</v>
      </c>
    </row>
    <row r="45" spans="1:14">
      <c r="A45" s="1557"/>
      <c r="B45" s="1558"/>
      <c r="C45" s="1558"/>
      <c r="D45" s="1558"/>
      <c r="E45" s="1558"/>
      <c r="F45" s="1559"/>
      <c r="G45" s="1560"/>
      <c r="H45" s="1561"/>
      <c r="I45" s="1559"/>
      <c r="J45" s="1560"/>
      <c r="K45" s="1561"/>
      <c r="L45" s="1562"/>
      <c r="M45" s="1560"/>
      <c r="N45" s="1561"/>
    </row>
    <row r="46" spans="1:14" ht="15">
      <c r="A46" s="1798" t="s">
        <v>638</v>
      </c>
      <c r="B46" s="1799"/>
      <c r="C46" s="1799"/>
      <c r="D46" s="1799"/>
      <c r="E46" s="1799"/>
      <c r="F46" s="1799"/>
      <c r="G46" s="1799"/>
      <c r="H46" s="1799"/>
      <c r="I46" s="1799"/>
      <c r="J46" s="1799"/>
      <c r="K46" s="1799"/>
      <c r="L46" s="1799"/>
      <c r="M46" s="1799"/>
      <c r="N46" s="1799"/>
    </row>
    <row r="47" spans="1:14">
      <c r="A47" s="1540"/>
      <c r="B47" s="1540"/>
      <c r="C47" s="1540"/>
      <c r="D47" s="1540"/>
      <c r="E47" s="1540"/>
      <c r="F47" s="1540"/>
      <c r="G47" s="1540"/>
      <c r="H47" s="1540"/>
      <c r="I47" s="1540"/>
      <c r="J47" s="1540"/>
      <c r="K47" s="1540"/>
      <c r="L47" s="1540"/>
      <c r="M47" s="1540"/>
      <c r="N47" s="1540"/>
    </row>
    <row r="48" spans="1:14" ht="24">
      <c r="A48" s="1595" t="s">
        <v>624</v>
      </c>
      <c r="B48" s="1595" t="s">
        <v>625</v>
      </c>
      <c r="C48" s="1595" t="s">
        <v>124</v>
      </c>
      <c r="D48" s="1595" t="s">
        <v>125</v>
      </c>
      <c r="E48" s="1595" t="s">
        <v>626</v>
      </c>
      <c r="F48" s="1596" t="s">
        <v>627</v>
      </c>
      <c r="G48" s="1800" t="s">
        <v>124</v>
      </c>
      <c r="H48" s="1801"/>
      <c r="I48" s="1596" t="s">
        <v>628</v>
      </c>
      <c r="J48" s="1800" t="s">
        <v>125</v>
      </c>
      <c r="K48" s="1801"/>
      <c r="L48" s="1596" t="s">
        <v>629</v>
      </c>
      <c r="M48" s="1800" t="s">
        <v>626</v>
      </c>
      <c r="N48" s="1801"/>
    </row>
    <row r="49" spans="1:14" ht="25.5">
      <c r="A49" s="1601" t="str">
        <f>'[6]1114'!A16</f>
        <v xml:space="preserve">Bienes de Interés Cultural de tipo inmueble intervenidos </v>
      </c>
      <c r="B49" s="1600">
        <f>SUM(B50:B59)</f>
        <v>9990000000</v>
      </c>
      <c r="C49" s="1600">
        <f>SUM(C50:C59)</f>
        <v>2061309348</v>
      </c>
      <c r="D49" s="1600">
        <f>SUM(D50:D59)</f>
        <v>1196859348</v>
      </c>
      <c r="E49" s="1600">
        <f>SUM(E50:E59)</f>
        <v>118242139</v>
      </c>
      <c r="F49" s="1567">
        <f t="shared" ref="F49:F67" si="9">IFERROR(C49/B49,0)</f>
        <v>0.20633727207207206</v>
      </c>
      <c r="G49" s="1568">
        <f t="shared" ref="G49:G59" si="10">IFERROR(C49/B49,0)</f>
        <v>0.20633727207207206</v>
      </c>
      <c r="H49" s="1569">
        <f t="shared" ref="H49:H67" si="11">IFERROR(C49/B49,0)</f>
        <v>0.20633727207207206</v>
      </c>
      <c r="I49" s="1570">
        <f t="shared" ref="I49:I67" si="12">IFERROR(D49/B49,0)</f>
        <v>0.11980574054054054</v>
      </c>
      <c r="J49" s="1568">
        <f t="shared" ref="J49:J67" si="13">IFERROR(D49/B49,0)</f>
        <v>0.11980574054054054</v>
      </c>
      <c r="K49" s="1569">
        <f t="shared" ref="K49:K67" si="14">IFERROR(D49/B49,0)</f>
        <v>0.11980574054054054</v>
      </c>
      <c r="L49" s="1571">
        <f t="shared" ref="L49:L67" si="15">IFERROR(E49/B49,0)</f>
        <v>1.183604994994995E-2</v>
      </c>
      <c r="M49" s="1568">
        <f t="shared" ref="M49:M67" si="16">IFERROR(E49/B49,0)</f>
        <v>1.183604994994995E-2</v>
      </c>
      <c r="N49" s="1569">
        <f t="shared" ref="N49:N67" si="17">IFERROR(E49/B49,0)</f>
        <v>1.183604994994995E-2</v>
      </c>
    </row>
    <row r="50" spans="1:14">
      <c r="A50" s="1541" t="s">
        <v>639</v>
      </c>
      <c r="B50" s="1542">
        <f>'1114'!B17</f>
        <v>499999999</v>
      </c>
      <c r="C50" s="1542">
        <f>'1114'!L23</f>
        <v>0</v>
      </c>
      <c r="D50" s="1542">
        <f>'1114'!N23</f>
        <v>0</v>
      </c>
      <c r="E50" s="1542">
        <f>'1114'!AB23</f>
        <v>0</v>
      </c>
      <c r="F50" s="1563">
        <f t="shared" si="9"/>
        <v>0</v>
      </c>
      <c r="G50" s="1544">
        <f t="shared" si="10"/>
        <v>0</v>
      </c>
      <c r="H50" s="1545">
        <f t="shared" si="11"/>
        <v>0</v>
      </c>
      <c r="I50" s="1564">
        <f t="shared" si="12"/>
        <v>0</v>
      </c>
      <c r="J50" s="1544">
        <f t="shared" si="13"/>
        <v>0</v>
      </c>
      <c r="K50" s="1545">
        <f t="shared" si="14"/>
        <v>0</v>
      </c>
      <c r="L50" s="1547">
        <f t="shared" si="15"/>
        <v>0</v>
      </c>
      <c r="M50" s="1544">
        <f t="shared" si="16"/>
        <v>0</v>
      </c>
      <c r="N50" s="1545">
        <f t="shared" si="17"/>
        <v>0</v>
      </c>
    </row>
    <row r="51" spans="1:14">
      <c r="A51" s="1599" t="s">
        <v>654</v>
      </c>
      <c r="B51" s="1542">
        <f>'1114'!B24</f>
        <v>6000000001</v>
      </c>
      <c r="C51" s="1542">
        <f>'1114'!L32+'1114'!L35+'1114'!L38+'1114'!L41+'1114'!L44+'1114'!L47+'1114'!L50</f>
        <v>15846132</v>
      </c>
      <c r="D51" s="1542">
        <f>'1114'!N32+'1114'!N35+'1114'!N38+'1114'!N41+'1114'!N44+'1114'!N47+'1114'!N50</f>
        <v>15846132</v>
      </c>
      <c r="E51" s="1542">
        <f>'1114'!AB32+'1114'!AB35+'1114'!AB38+'1114'!AB41+'1114'!AB44+'1114'!AB47+'1114'!AB50</f>
        <v>6690589</v>
      </c>
      <c r="F51" s="1563">
        <f t="shared" si="9"/>
        <v>2.6410219995598298E-3</v>
      </c>
      <c r="G51" s="1544">
        <f t="shared" si="10"/>
        <v>2.6410219995598298E-3</v>
      </c>
      <c r="H51" s="1545">
        <f t="shared" si="11"/>
        <v>2.6410219995598298E-3</v>
      </c>
      <c r="I51" s="1564">
        <f t="shared" si="12"/>
        <v>2.6410219995598298E-3</v>
      </c>
      <c r="J51" s="1544">
        <f t="shared" si="13"/>
        <v>2.6410219995598298E-3</v>
      </c>
      <c r="K51" s="1545">
        <f t="shared" si="14"/>
        <v>2.6410219995598298E-3</v>
      </c>
      <c r="L51" s="1547">
        <f t="shared" si="15"/>
        <v>1.1150981664808169E-3</v>
      </c>
      <c r="M51" s="1544">
        <f t="shared" si="16"/>
        <v>1.1150981664808169E-3</v>
      </c>
      <c r="N51" s="1545">
        <f t="shared" si="17"/>
        <v>1.1150981664808169E-3</v>
      </c>
    </row>
    <row r="52" spans="1:14">
      <c r="A52" s="1599" t="s">
        <v>655</v>
      </c>
      <c r="B52" s="1542">
        <f>'1114'!B51</f>
        <v>100000000</v>
      </c>
      <c r="C52" s="1542">
        <f>'1114'!L53</f>
        <v>0</v>
      </c>
      <c r="D52" s="1542">
        <f>'1114'!N53</f>
        <v>0</v>
      </c>
      <c r="E52" s="1542">
        <f>'1114'!AB53</f>
        <v>0</v>
      </c>
      <c r="F52" s="1563">
        <f t="shared" si="9"/>
        <v>0</v>
      </c>
      <c r="G52" s="1544">
        <f t="shared" si="10"/>
        <v>0</v>
      </c>
      <c r="H52" s="1545">
        <f t="shared" si="11"/>
        <v>0</v>
      </c>
      <c r="I52" s="1564">
        <f t="shared" si="12"/>
        <v>0</v>
      </c>
      <c r="J52" s="1544">
        <f t="shared" si="13"/>
        <v>0</v>
      </c>
      <c r="K52" s="1545">
        <f t="shared" si="14"/>
        <v>0</v>
      </c>
      <c r="L52" s="1547">
        <f t="shared" si="15"/>
        <v>0</v>
      </c>
      <c r="M52" s="1544">
        <f t="shared" si="16"/>
        <v>0</v>
      </c>
      <c r="N52" s="1545">
        <f t="shared" si="17"/>
        <v>0</v>
      </c>
    </row>
    <row r="53" spans="1:14">
      <c r="A53" s="1599" t="s">
        <v>656</v>
      </c>
      <c r="B53" s="1542">
        <f>'1114'!B54</f>
        <v>330000000</v>
      </c>
      <c r="C53" s="1542">
        <f>'1114'!L59</f>
        <v>0</v>
      </c>
      <c r="D53" s="1542">
        <f>'1114'!N59</f>
        <v>0</v>
      </c>
      <c r="E53" s="1542">
        <f>'1114'!AB59</f>
        <v>0</v>
      </c>
      <c r="F53" s="1563">
        <f t="shared" si="9"/>
        <v>0</v>
      </c>
      <c r="G53" s="1544">
        <f t="shared" si="10"/>
        <v>0</v>
      </c>
      <c r="H53" s="1545">
        <f t="shared" si="11"/>
        <v>0</v>
      </c>
      <c r="I53" s="1564">
        <f t="shared" si="12"/>
        <v>0</v>
      </c>
      <c r="J53" s="1544">
        <f t="shared" si="13"/>
        <v>0</v>
      </c>
      <c r="K53" s="1545">
        <f t="shared" si="14"/>
        <v>0</v>
      </c>
      <c r="L53" s="1547">
        <f t="shared" si="15"/>
        <v>0</v>
      </c>
      <c r="M53" s="1544">
        <f t="shared" si="16"/>
        <v>0</v>
      </c>
      <c r="N53" s="1545">
        <f t="shared" si="17"/>
        <v>0</v>
      </c>
    </row>
    <row r="54" spans="1:14">
      <c r="A54" s="1599" t="s">
        <v>657</v>
      </c>
      <c r="B54" s="1542">
        <f>'1114'!B60</f>
        <v>860000000</v>
      </c>
      <c r="C54" s="1542">
        <f>'1114'!L66</f>
        <v>857985458</v>
      </c>
      <c r="D54" s="1542">
        <f>'1114'!N66</f>
        <v>985458</v>
      </c>
      <c r="E54" s="1542">
        <f>'1114'!AB66</f>
        <v>985458</v>
      </c>
      <c r="F54" s="1563">
        <f t="shared" si="9"/>
        <v>0.99765750930232555</v>
      </c>
      <c r="G54" s="1544">
        <f>IFERROR(C54/B54,0)</f>
        <v>0.99765750930232555</v>
      </c>
      <c r="H54" s="1545">
        <f t="shared" si="11"/>
        <v>0.99765750930232555</v>
      </c>
      <c r="I54" s="1564">
        <f t="shared" si="12"/>
        <v>1.1458813953488373E-3</v>
      </c>
      <c r="J54" s="1544">
        <f t="shared" si="13"/>
        <v>1.1458813953488373E-3</v>
      </c>
      <c r="K54" s="1545">
        <f t="shared" si="14"/>
        <v>1.1458813953488373E-3</v>
      </c>
      <c r="L54" s="1547">
        <f t="shared" si="15"/>
        <v>1.1458813953488373E-3</v>
      </c>
      <c r="M54" s="1544">
        <f t="shared" si="16"/>
        <v>1.1458813953488373E-3</v>
      </c>
      <c r="N54" s="1545">
        <f t="shared" si="17"/>
        <v>1.1458813953488373E-3</v>
      </c>
    </row>
    <row r="55" spans="1:14">
      <c r="A55" s="1599" t="s">
        <v>658</v>
      </c>
      <c r="B55" s="1542">
        <f>'1114'!B67</f>
        <v>400000000</v>
      </c>
      <c r="C55" s="1542">
        <f>'1114'!L74</f>
        <v>985458</v>
      </c>
      <c r="D55" s="1542">
        <f>'1114'!N74</f>
        <v>985458</v>
      </c>
      <c r="E55" s="1542">
        <f>'1114'!AB74</f>
        <v>985458</v>
      </c>
      <c r="F55" s="1563">
        <f t="shared" si="9"/>
        <v>2.463645E-3</v>
      </c>
      <c r="G55" s="1544">
        <f>IFERROR(C55/B55,0)</f>
        <v>2.463645E-3</v>
      </c>
      <c r="H55" s="1545">
        <f t="shared" si="11"/>
        <v>2.463645E-3</v>
      </c>
      <c r="I55" s="1564">
        <f t="shared" si="12"/>
        <v>2.463645E-3</v>
      </c>
      <c r="J55" s="1544">
        <f t="shared" si="13"/>
        <v>2.463645E-3</v>
      </c>
      <c r="K55" s="1545">
        <f t="shared" si="14"/>
        <v>2.463645E-3</v>
      </c>
      <c r="L55" s="1547">
        <f t="shared" si="15"/>
        <v>2.463645E-3</v>
      </c>
      <c r="M55" s="1544">
        <f t="shared" si="16"/>
        <v>2.463645E-3</v>
      </c>
      <c r="N55" s="1545">
        <f t="shared" si="17"/>
        <v>2.463645E-3</v>
      </c>
    </row>
    <row r="56" spans="1:14">
      <c r="A56" s="1599" t="s">
        <v>659</v>
      </c>
      <c r="B56" s="1542">
        <f>'1114'!B75</f>
        <v>350000000</v>
      </c>
      <c r="C56" s="1542">
        <f>'1114'!L77</f>
        <v>0</v>
      </c>
      <c r="D56" s="1542">
        <f>'1114'!N77</f>
        <v>0</v>
      </c>
      <c r="E56" s="1542">
        <f>'1114'!AB77</f>
        <v>0</v>
      </c>
      <c r="F56" s="1563">
        <f t="shared" si="9"/>
        <v>0</v>
      </c>
      <c r="G56" s="1544">
        <f>IFERROR(C56/B56,0)</f>
        <v>0</v>
      </c>
      <c r="H56" s="1545">
        <f t="shared" si="11"/>
        <v>0</v>
      </c>
      <c r="I56" s="1564">
        <f t="shared" si="12"/>
        <v>0</v>
      </c>
      <c r="J56" s="1544">
        <f t="shared" si="13"/>
        <v>0</v>
      </c>
      <c r="K56" s="1545">
        <f t="shared" si="14"/>
        <v>0</v>
      </c>
      <c r="L56" s="1547">
        <f t="shared" si="15"/>
        <v>0</v>
      </c>
      <c r="M56" s="1544">
        <f t="shared" si="16"/>
        <v>0</v>
      </c>
      <c r="N56" s="1545">
        <f t="shared" si="17"/>
        <v>0</v>
      </c>
    </row>
    <row r="57" spans="1:14">
      <c r="A57" s="1541" t="s">
        <v>640</v>
      </c>
      <c r="B57" s="1542"/>
      <c r="C57" s="1542"/>
      <c r="D57" s="1542"/>
      <c r="E57" s="1542"/>
      <c r="F57" s="1563">
        <f t="shared" si="9"/>
        <v>0</v>
      </c>
      <c r="G57" s="1544">
        <f>IFERROR(C57/B57,0)</f>
        <v>0</v>
      </c>
      <c r="H57" s="1545">
        <f t="shared" si="11"/>
        <v>0</v>
      </c>
      <c r="I57" s="1564">
        <f t="shared" si="12"/>
        <v>0</v>
      </c>
      <c r="J57" s="1544">
        <f t="shared" si="13"/>
        <v>0</v>
      </c>
      <c r="K57" s="1545">
        <f t="shared" si="14"/>
        <v>0</v>
      </c>
      <c r="L57" s="1547">
        <f t="shared" si="15"/>
        <v>0</v>
      </c>
      <c r="M57" s="1544">
        <f t="shared" si="16"/>
        <v>0</v>
      </c>
      <c r="N57" s="1545">
        <f t="shared" si="17"/>
        <v>0</v>
      </c>
    </row>
    <row r="58" spans="1:14">
      <c r="A58" s="1599" t="s">
        <v>660</v>
      </c>
      <c r="B58" s="1542"/>
      <c r="C58" s="1542"/>
      <c r="D58" s="1542"/>
      <c r="E58" s="1542"/>
      <c r="F58" s="1563">
        <f t="shared" si="9"/>
        <v>0</v>
      </c>
      <c r="G58" s="1544">
        <f>IFERROR(C58/B58,0)</f>
        <v>0</v>
      </c>
      <c r="H58" s="1545">
        <f t="shared" si="11"/>
        <v>0</v>
      </c>
      <c r="I58" s="1564">
        <f t="shared" si="12"/>
        <v>0</v>
      </c>
      <c r="J58" s="1544">
        <f t="shared" si="13"/>
        <v>0</v>
      </c>
      <c r="K58" s="1545">
        <f t="shared" si="14"/>
        <v>0</v>
      </c>
      <c r="L58" s="1547">
        <f t="shared" si="15"/>
        <v>0</v>
      </c>
      <c r="M58" s="1544">
        <f t="shared" si="16"/>
        <v>0</v>
      </c>
      <c r="N58" s="1545">
        <f t="shared" si="17"/>
        <v>0</v>
      </c>
    </row>
    <row r="59" spans="1:14">
      <c r="A59" s="1599" t="s">
        <v>819</v>
      </c>
      <c r="B59" s="1542">
        <f>'1114'!B78+'1114'!B81</f>
        <v>1450000000</v>
      </c>
      <c r="C59" s="1542">
        <f>'1114'!L80+'1114'!L109</f>
        <v>1186492300</v>
      </c>
      <c r="D59" s="1542">
        <f>'1114'!N80+'1114'!N109</f>
        <v>1179042300</v>
      </c>
      <c r="E59" s="1542">
        <f>'1114'!AB80+'1114'!AB109</f>
        <v>109580634</v>
      </c>
      <c r="F59" s="1563">
        <f t="shared" si="9"/>
        <v>0.81827055172413798</v>
      </c>
      <c r="G59" s="1544">
        <f t="shared" si="10"/>
        <v>0.81827055172413798</v>
      </c>
      <c r="H59" s="1545">
        <f t="shared" si="11"/>
        <v>0.81827055172413798</v>
      </c>
      <c r="I59" s="1564">
        <f t="shared" si="12"/>
        <v>0.81313262068965519</v>
      </c>
      <c r="J59" s="1544">
        <f t="shared" si="13"/>
        <v>0.81313262068965519</v>
      </c>
      <c r="K59" s="1545">
        <f t="shared" si="14"/>
        <v>0.81313262068965519</v>
      </c>
      <c r="L59" s="1547">
        <f t="shared" si="15"/>
        <v>7.557285103448276E-2</v>
      </c>
      <c r="M59" s="1544">
        <f t="shared" si="16"/>
        <v>7.557285103448276E-2</v>
      </c>
      <c r="N59" s="1545">
        <f t="shared" si="17"/>
        <v>7.557285103448276E-2</v>
      </c>
    </row>
    <row r="60" spans="1:14" ht="27.75" customHeight="1">
      <c r="A60" s="1601" t="str">
        <f>'[6]1114'!A144</f>
        <v>Monumentos en espacios públicos a intervenir</v>
      </c>
      <c r="B60" s="1600">
        <f>SUM(B61:B65)</f>
        <v>3343000000</v>
      </c>
      <c r="C60" s="1600">
        <f>SUM(C61:C65)</f>
        <v>714420800</v>
      </c>
      <c r="D60" s="1600">
        <f>SUM(D61:D65)</f>
        <v>602870800</v>
      </c>
      <c r="E60" s="1600">
        <f>SUM(E61:E65)</f>
        <v>57266468</v>
      </c>
      <c r="F60" s="1567">
        <f t="shared" si="9"/>
        <v>0.21370649117559079</v>
      </c>
      <c r="G60" s="1568">
        <f t="shared" ref="G60:G67" si="18">IFERROR(C60/B60,0)</f>
        <v>0.21370649117559079</v>
      </c>
      <c r="H60" s="1569">
        <f t="shared" si="11"/>
        <v>0.21370649117559079</v>
      </c>
      <c r="I60" s="1570">
        <f t="shared" si="12"/>
        <v>0.18033825904875861</v>
      </c>
      <c r="J60" s="1568">
        <f t="shared" si="13"/>
        <v>0.18033825904875861</v>
      </c>
      <c r="K60" s="1569">
        <f t="shared" si="14"/>
        <v>0.18033825904875861</v>
      </c>
      <c r="L60" s="1571">
        <f t="shared" si="15"/>
        <v>1.7130262638348787E-2</v>
      </c>
      <c r="M60" s="1568">
        <f t="shared" si="16"/>
        <v>1.7130262638348787E-2</v>
      </c>
      <c r="N60" s="1569">
        <f t="shared" si="17"/>
        <v>1.7130262638348787E-2</v>
      </c>
    </row>
    <row r="61" spans="1:14" s="9" customFormat="1" ht="38.25">
      <c r="A61" s="1599" t="s">
        <v>662</v>
      </c>
      <c r="B61" s="1542">
        <f>'1114'!B141</f>
        <v>100000000</v>
      </c>
      <c r="C61" s="1542">
        <f>'1114'!L143</f>
        <v>100000000</v>
      </c>
      <c r="D61" s="1542">
        <f>'1114'!N143</f>
        <v>0</v>
      </c>
      <c r="E61" s="1542">
        <f>'1114'!AB143</f>
        <v>0</v>
      </c>
      <c r="F61" s="1563">
        <f t="shared" si="9"/>
        <v>1</v>
      </c>
      <c r="G61" s="1544">
        <f t="shared" si="18"/>
        <v>1</v>
      </c>
      <c r="H61" s="1545">
        <f t="shared" si="11"/>
        <v>1</v>
      </c>
      <c r="I61" s="1564">
        <f t="shared" si="12"/>
        <v>0</v>
      </c>
      <c r="J61" s="1544">
        <f t="shared" si="13"/>
        <v>0</v>
      </c>
      <c r="K61" s="1545">
        <f t="shared" si="14"/>
        <v>0</v>
      </c>
      <c r="L61" s="1547">
        <f t="shared" si="15"/>
        <v>0</v>
      </c>
      <c r="M61" s="1544">
        <f t="shared" si="16"/>
        <v>0</v>
      </c>
      <c r="N61" s="1545">
        <f t="shared" si="17"/>
        <v>0</v>
      </c>
    </row>
    <row r="62" spans="1:14" s="9" customFormat="1" ht="25.5">
      <c r="A62" s="1599" t="s">
        <v>666</v>
      </c>
      <c r="B62" s="1542">
        <f>'1114'!B144</f>
        <v>1003000000</v>
      </c>
      <c r="C62" s="1542">
        <f>'1114'!L167</f>
        <v>614420800</v>
      </c>
      <c r="D62" s="1542">
        <f>'1114'!N167</f>
        <v>602870800</v>
      </c>
      <c r="E62" s="1542">
        <f>'1114'!AB167</f>
        <v>57266468</v>
      </c>
      <c r="F62" s="1563">
        <f t="shared" si="9"/>
        <v>0.61258305084745768</v>
      </c>
      <c r="G62" s="1544">
        <f t="shared" si="18"/>
        <v>0.61258305084745768</v>
      </c>
      <c r="H62" s="1545">
        <f t="shared" si="11"/>
        <v>0.61258305084745768</v>
      </c>
      <c r="I62" s="1564">
        <f t="shared" si="12"/>
        <v>0.60106759720837488</v>
      </c>
      <c r="J62" s="1544">
        <f t="shared" si="13"/>
        <v>0.60106759720837488</v>
      </c>
      <c r="K62" s="1545">
        <f t="shared" si="14"/>
        <v>0.60106759720837488</v>
      </c>
      <c r="L62" s="1547">
        <f t="shared" si="15"/>
        <v>5.7095182452642071E-2</v>
      </c>
      <c r="M62" s="1544">
        <f t="shared" si="16"/>
        <v>5.7095182452642071E-2</v>
      </c>
      <c r="N62" s="1545">
        <f t="shared" si="17"/>
        <v>5.7095182452642071E-2</v>
      </c>
    </row>
    <row r="63" spans="1:14" s="9" customFormat="1">
      <c r="A63" s="1599" t="s">
        <v>663</v>
      </c>
      <c r="B63" s="1542">
        <f>'1114'!B168</f>
        <v>140000000</v>
      </c>
      <c r="C63" s="1542">
        <f>'1114'!L170</f>
        <v>0</v>
      </c>
      <c r="D63" s="1542">
        <f>'1114'!N170</f>
        <v>0</v>
      </c>
      <c r="E63" s="1542">
        <f>'1114'!AB170</f>
        <v>0</v>
      </c>
      <c r="F63" s="1563">
        <f t="shared" si="9"/>
        <v>0</v>
      </c>
      <c r="G63" s="1544">
        <f t="shared" si="18"/>
        <v>0</v>
      </c>
      <c r="H63" s="1545">
        <f t="shared" si="11"/>
        <v>0</v>
      </c>
      <c r="I63" s="1564">
        <f t="shared" si="12"/>
        <v>0</v>
      </c>
      <c r="J63" s="1544">
        <f t="shared" si="13"/>
        <v>0</v>
      </c>
      <c r="K63" s="1545">
        <f t="shared" si="14"/>
        <v>0</v>
      </c>
      <c r="L63" s="1547">
        <f t="shared" si="15"/>
        <v>0</v>
      </c>
      <c r="M63" s="1544">
        <f t="shared" si="16"/>
        <v>0</v>
      </c>
      <c r="N63" s="1545">
        <f t="shared" si="17"/>
        <v>0</v>
      </c>
    </row>
    <row r="64" spans="1:14" s="9" customFormat="1">
      <c r="A64" s="1599" t="s">
        <v>664</v>
      </c>
      <c r="B64" s="1542">
        <f>'1114'!B171</f>
        <v>2000000000</v>
      </c>
      <c r="C64" s="1542">
        <f>'1114'!L173</f>
        <v>0</v>
      </c>
      <c r="D64" s="1542">
        <f>'1114'!N173</f>
        <v>0</v>
      </c>
      <c r="E64" s="1542">
        <f>'1114'!AB173</f>
        <v>0</v>
      </c>
      <c r="F64" s="1563">
        <f t="shared" si="9"/>
        <v>0</v>
      </c>
      <c r="G64" s="1544">
        <f t="shared" si="18"/>
        <v>0</v>
      </c>
      <c r="H64" s="1545">
        <f t="shared" si="11"/>
        <v>0</v>
      </c>
      <c r="I64" s="1564">
        <f t="shared" si="12"/>
        <v>0</v>
      </c>
      <c r="J64" s="1544">
        <f t="shared" si="13"/>
        <v>0</v>
      </c>
      <c r="K64" s="1545">
        <f t="shared" si="14"/>
        <v>0</v>
      </c>
      <c r="L64" s="1547">
        <f t="shared" si="15"/>
        <v>0</v>
      </c>
      <c r="M64" s="1544">
        <f t="shared" si="16"/>
        <v>0</v>
      </c>
      <c r="N64" s="1545">
        <f t="shared" si="17"/>
        <v>0</v>
      </c>
    </row>
    <row r="65" spans="1:14" ht="25.5">
      <c r="A65" s="1599" t="s">
        <v>665</v>
      </c>
      <c r="B65" s="1542">
        <f>'1114'!B174</f>
        <v>100000000</v>
      </c>
      <c r="C65" s="1542">
        <f>'1114'!L176</f>
        <v>0</v>
      </c>
      <c r="D65" s="1542">
        <f>'1114'!N176</f>
        <v>0</v>
      </c>
      <c r="E65" s="1542">
        <f>'1114'!AB176</f>
        <v>0</v>
      </c>
      <c r="F65" s="1563">
        <f t="shared" si="9"/>
        <v>0</v>
      </c>
      <c r="G65" s="1544">
        <f t="shared" si="18"/>
        <v>0</v>
      </c>
      <c r="H65" s="1545">
        <f t="shared" si="11"/>
        <v>0</v>
      </c>
      <c r="I65" s="1564">
        <f t="shared" si="12"/>
        <v>0</v>
      </c>
      <c r="J65" s="1544">
        <f t="shared" si="13"/>
        <v>0</v>
      </c>
      <c r="K65" s="1545">
        <f t="shared" si="14"/>
        <v>0</v>
      </c>
      <c r="L65" s="1547">
        <f t="shared" si="15"/>
        <v>0</v>
      </c>
      <c r="M65" s="1544">
        <f t="shared" si="16"/>
        <v>0</v>
      </c>
      <c r="N65" s="1545">
        <f t="shared" si="17"/>
        <v>0</v>
      </c>
    </row>
    <row r="66" spans="1:14">
      <c r="A66" s="1602" t="s">
        <v>91</v>
      </c>
      <c r="B66" s="1600">
        <f>SUM(B67:B68)</f>
        <v>1672000000</v>
      </c>
      <c r="C66" s="1600">
        <f>SUM(C67:C68)</f>
        <v>698162400</v>
      </c>
      <c r="D66" s="1600">
        <f>SUM(D67:D68)</f>
        <v>697502400</v>
      </c>
      <c r="E66" s="1600">
        <f>SUM(E67:E68)</f>
        <v>64126734</v>
      </c>
      <c r="F66" s="1567">
        <f t="shared" si="9"/>
        <v>0.41756124401913874</v>
      </c>
      <c r="G66" s="1568">
        <f t="shared" si="18"/>
        <v>0.41756124401913874</v>
      </c>
      <c r="H66" s="1569">
        <f t="shared" si="11"/>
        <v>0.41756124401913874</v>
      </c>
      <c r="I66" s="1570">
        <f t="shared" si="12"/>
        <v>0.41716650717703352</v>
      </c>
      <c r="J66" s="1568">
        <f t="shared" si="13"/>
        <v>0.41716650717703352</v>
      </c>
      <c r="K66" s="1569">
        <f t="shared" si="14"/>
        <v>0.41716650717703352</v>
      </c>
      <c r="L66" s="1571">
        <f t="shared" si="15"/>
        <v>3.8353309808612443E-2</v>
      </c>
      <c r="M66" s="1568">
        <f t="shared" si="16"/>
        <v>3.8353309808612443E-2</v>
      </c>
      <c r="N66" s="1569">
        <f t="shared" si="17"/>
        <v>3.8353309808612443E-2</v>
      </c>
    </row>
    <row r="67" spans="1:14">
      <c r="A67" s="1599" t="s">
        <v>91</v>
      </c>
      <c r="B67" s="1542">
        <f>'1114'!B111</f>
        <v>912000000</v>
      </c>
      <c r="C67" s="1542">
        <f>'1114'!L135</f>
        <v>698162400</v>
      </c>
      <c r="D67" s="1542">
        <f>'1114'!N135</f>
        <v>697502400</v>
      </c>
      <c r="E67" s="1542">
        <f>'1114'!AB135</f>
        <v>64126734</v>
      </c>
      <c r="F67" s="1563">
        <f t="shared" si="9"/>
        <v>0.76552894736842103</v>
      </c>
      <c r="G67" s="1544">
        <f t="shared" si="18"/>
        <v>0.76552894736842103</v>
      </c>
      <c r="H67" s="1545">
        <f t="shared" si="11"/>
        <v>0.76552894736842103</v>
      </c>
      <c r="I67" s="1564">
        <f t="shared" si="12"/>
        <v>0.76480526315789477</v>
      </c>
      <c r="J67" s="1544">
        <f t="shared" si="13"/>
        <v>0.76480526315789477</v>
      </c>
      <c r="K67" s="1545">
        <f t="shared" si="14"/>
        <v>0.76480526315789477</v>
      </c>
      <c r="L67" s="1547">
        <f t="shared" si="15"/>
        <v>7.0314401315789476E-2</v>
      </c>
      <c r="M67" s="1544">
        <f t="shared" si="16"/>
        <v>7.0314401315789476E-2</v>
      </c>
      <c r="N67" s="1545">
        <f t="shared" si="17"/>
        <v>7.0314401315789476E-2</v>
      </c>
    </row>
    <row r="68" spans="1:14" ht="38.25">
      <c r="A68" s="1599" t="s">
        <v>668</v>
      </c>
      <c r="B68" s="1542">
        <f>'1114'!B136</f>
        <v>760000000</v>
      </c>
      <c r="C68" s="1542">
        <f>'1114'!L139</f>
        <v>0</v>
      </c>
      <c r="D68" s="1542">
        <f>'1114'!N139</f>
        <v>0</v>
      </c>
      <c r="E68" s="1542">
        <f>'1114'!AB139</f>
        <v>0</v>
      </c>
      <c r="F68" s="1563"/>
      <c r="G68" s="1544"/>
      <c r="H68" s="1545"/>
      <c r="I68" s="1564"/>
      <c r="J68" s="1544"/>
      <c r="K68" s="1545"/>
      <c r="L68" s="1547"/>
      <c r="M68" s="1544"/>
      <c r="N68" s="1545"/>
    </row>
    <row r="69" spans="1:14">
      <c r="A69" s="1599" t="s">
        <v>667</v>
      </c>
      <c r="B69" s="1542">
        <f>'1114'!B227</f>
        <v>38000000</v>
      </c>
      <c r="C69" s="1542">
        <f>'1114'!L229</f>
        <v>0</v>
      </c>
      <c r="D69" s="1542">
        <f>'1114'!N229</f>
        <v>0</v>
      </c>
      <c r="E69" s="1542">
        <f>'1114'!AB229</f>
        <v>0</v>
      </c>
      <c r="F69" s="1563">
        <f>IFERROR(C69/B69,0)</f>
        <v>0</v>
      </c>
      <c r="G69" s="1544">
        <f>IFERROR(C69/B69,0)</f>
        <v>0</v>
      </c>
      <c r="H69" s="1545">
        <f>IFERROR(C69/B69,0)</f>
        <v>0</v>
      </c>
      <c r="I69" s="1564">
        <f>IFERROR(D69/B69,0)</f>
        <v>0</v>
      </c>
      <c r="J69" s="1544">
        <f>IFERROR(D69/B69,0)</f>
        <v>0</v>
      </c>
      <c r="K69" s="1545">
        <f>IFERROR(D69/B69,0)</f>
        <v>0</v>
      </c>
      <c r="L69" s="1547">
        <f>IFERROR(E69/B69,0)</f>
        <v>0</v>
      </c>
      <c r="M69" s="1544">
        <f>IFERROR(E69/B69,0)</f>
        <v>0</v>
      </c>
      <c r="N69" s="1545">
        <f>IFERROR(E69/B69,0)</f>
        <v>0</v>
      </c>
    </row>
    <row r="70" spans="1:14" ht="51">
      <c r="A70" s="1601" t="s">
        <v>661</v>
      </c>
      <c r="B70" s="1600">
        <f>'1114'!B177</f>
        <v>1954000000</v>
      </c>
      <c r="C70" s="1600">
        <f>'1114'!L220+'1114'!L226</f>
        <v>1824168500</v>
      </c>
      <c r="D70" s="1600">
        <f>'1114'!N220+'1114'!N226</f>
        <v>1824168500</v>
      </c>
      <c r="E70" s="1600">
        <f>'1114'!AB220+'1114'!AB226</f>
        <v>192642602</v>
      </c>
      <c r="F70" s="1567">
        <f>IFERROR(C70/B70,0)</f>
        <v>0.93355603889457528</v>
      </c>
      <c r="G70" s="1568">
        <f>IFERROR(C70/B70,0)</f>
        <v>0.93355603889457528</v>
      </c>
      <c r="H70" s="1569">
        <f>IFERROR(C70/B70,0)</f>
        <v>0.93355603889457528</v>
      </c>
      <c r="I70" s="1570">
        <f>IFERROR(D70/B70,0)</f>
        <v>0.93355603889457528</v>
      </c>
      <c r="J70" s="1568">
        <f>IFERROR(D70/B70,0)</f>
        <v>0.93355603889457528</v>
      </c>
      <c r="K70" s="1569">
        <f>IFERROR(D70/B70,0)</f>
        <v>0.93355603889457528</v>
      </c>
      <c r="L70" s="1571">
        <f>IFERROR(E70/B70,0)</f>
        <v>9.8588844421699073E-2</v>
      </c>
      <c r="M70" s="1568">
        <f>IFERROR(E70/B70,0)</f>
        <v>9.8588844421699073E-2</v>
      </c>
      <c r="N70" s="1569">
        <f>IFERROR(E70/B70,0)</f>
        <v>9.8588844421699073E-2</v>
      </c>
    </row>
    <row r="71" spans="1:14">
      <c r="A71" s="1549" t="s">
        <v>632</v>
      </c>
      <c r="B71" s="1550">
        <f>SUM(B50:B70)-B60</f>
        <v>18669000000</v>
      </c>
      <c r="C71" s="1550">
        <f>SUM(C50:C70)-C60-C66</f>
        <v>5298061048</v>
      </c>
      <c r="D71" s="1550">
        <f>SUM(D50:D70)-D60-D66</f>
        <v>4321401048</v>
      </c>
      <c r="E71" s="1550">
        <f>SUM(E50:E70)-E60-E66</f>
        <v>432277943</v>
      </c>
      <c r="F71" s="1574">
        <f>C71/B71</f>
        <v>0.28378922534683165</v>
      </c>
      <c r="G71" s="1553">
        <f>C71/B71</f>
        <v>0.28378922534683165</v>
      </c>
      <c r="H71" s="1554">
        <f>C71/B71</f>
        <v>0.28378922534683165</v>
      </c>
      <c r="I71" s="1566">
        <f>D71/B71</f>
        <v>0.23147469323477424</v>
      </c>
      <c r="J71" s="1553">
        <f>D71/B71</f>
        <v>0.23147469323477424</v>
      </c>
      <c r="K71" s="1554">
        <f>D71/B71</f>
        <v>0.23147469323477424</v>
      </c>
      <c r="L71" s="1556">
        <f>E71/B71</f>
        <v>2.3154852589854839E-2</v>
      </c>
      <c r="M71" s="1553">
        <f>E71/B71</f>
        <v>2.3154852589854839E-2</v>
      </c>
      <c r="N71" s="1554">
        <f>E71/B71</f>
        <v>2.3154852589854839E-2</v>
      </c>
    </row>
    <row r="72" spans="1:14" ht="24">
      <c r="A72" s="1597" t="s">
        <v>633</v>
      </c>
      <c r="B72" s="1597" t="s">
        <v>625</v>
      </c>
      <c r="C72" s="1597" t="s">
        <v>124</v>
      </c>
      <c r="D72" s="1597" t="s">
        <v>125</v>
      </c>
      <c r="E72" s="1597" t="s">
        <v>626</v>
      </c>
      <c r="F72" s="1597" t="s">
        <v>627</v>
      </c>
      <c r="G72" s="1796" t="s">
        <v>124</v>
      </c>
      <c r="H72" s="1797"/>
      <c r="I72" s="1597" t="s">
        <v>628</v>
      </c>
      <c r="J72" s="1796" t="s">
        <v>125</v>
      </c>
      <c r="K72" s="1797"/>
      <c r="L72" s="1597" t="s">
        <v>629</v>
      </c>
      <c r="M72" s="1796" t="s">
        <v>626</v>
      </c>
      <c r="N72" s="1797"/>
    </row>
    <row r="73" spans="1:14" ht="51">
      <c r="A73" s="1572" t="str">
        <f>'[6]1114'!A263</f>
        <v>4. Obras de Intervención en Bienes muebles - inmuebles y sectores que conforman el patrimonio cultural del D.C.</v>
      </c>
      <c r="B73" s="1542">
        <f>'1114'!B236</f>
        <v>16997000000</v>
      </c>
      <c r="C73" s="1542">
        <f>'1114'!L231</f>
        <v>5298061048</v>
      </c>
      <c r="D73" s="1542">
        <f>'1114'!N231</f>
        <v>4321401048</v>
      </c>
      <c r="E73" s="1542">
        <f>'1114'!AB231</f>
        <v>432277943</v>
      </c>
      <c r="F73" s="1563">
        <f>IFERROR(C73/B73,0)</f>
        <v>0.31170565676295819</v>
      </c>
      <c r="G73" s="1544">
        <f>IFERROR(C73/B73,0)</f>
        <v>0.31170565676295819</v>
      </c>
      <c r="H73" s="1545">
        <f>IFERROR(C73/B73,0)</f>
        <v>0.31170565676295819</v>
      </c>
      <c r="I73" s="1564">
        <f>IFERROR(D73/B73,0)</f>
        <v>0.25424492839912927</v>
      </c>
      <c r="J73" s="1544">
        <f>IFERROR(D73/B73,0)</f>
        <v>0.25424492839912927</v>
      </c>
      <c r="K73" s="1545">
        <f>IFERROR(D73/B73,0)</f>
        <v>0.25424492839912927</v>
      </c>
      <c r="L73" s="1547">
        <f>IFERROR(E73/B73,0)</f>
        <v>2.5432602400423603E-2</v>
      </c>
      <c r="M73" s="1544">
        <f>IFERROR(E73/B73,0)</f>
        <v>2.5432602400423603E-2</v>
      </c>
      <c r="N73" s="1545">
        <f>IFERROR(E73/B73,0)</f>
        <v>2.5432602400423603E-2</v>
      </c>
    </row>
    <row r="74" spans="1:14">
      <c r="A74" s="148"/>
      <c r="B74" s="607"/>
      <c r="C74" s="148"/>
      <c r="D74" s="148"/>
      <c r="E74" s="148"/>
      <c r="F74" s="148"/>
      <c r="G74" s="148"/>
      <c r="H74" s="148"/>
      <c r="I74" s="148"/>
      <c r="J74" s="148"/>
      <c r="K74" s="148"/>
      <c r="L74" s="148"/>
      <c r="M74" s="148"/>
      <c r="N74" s="148"/>
    </row>
    <row r="75" spans="1:14">
      <c r="A75" s="148"/>
      <c r="B75" s="607"/>
      <c r="C75" s="607"/>
      <c r="D75" s="148"/>
      <c r="E75" s="148"/>
      <c r="F75" s="148"/>
      <c r="G75" s="148"/>
      <c r="H75" s="148"/>
      <c r="I75" s="148"/>
      <c r="J75" s="148"/>
      <c r="K75" s="148"/>
      <c r="L75" s="148"/>
      <c r="M75" s="148"/>
      <c r="N75" s="148"/>
    </row>
    <row r="76" spans="1:14">
      <c r="A76" s="148"/>
      <c r="B76" s="148"/>
      <c r="C76" s="148"/>
      <c r="D76" s="148"/>
      <c r="E76" s="148"/>
      <c r="F76" s="148"/>
      <c r="G76" s="148"/>
      <c r="H76" s="148"/>
      <c r="I76" s="148"/>
      <c r="J76" s="148"/>
      <c r="K76" s="148"/>
      <c r="L76" s="148"/>
      <c r="M76" s="148"/>
      <c r="N76" s="148"/>
    </row>
    <row r="77" spans="1:14">
      <c r="A77" s="148"/>
      <c r="B77" s="148"/>
      <c r="C77" s="148"/>
      <c r="D77" s="148"/>
      <c r="E77" s="148"/>
      <c r="F77" s="148"/>
      <c r="G77" s="148"/>
      <c r="H77" s="148"/>
      <c r="I77" s="148"/>
      <c r="J77" s="148"/>
      <c r="K77" s="148"/>
      <c r="L77" s="148"/>
      <c r="M77" s="148"/>
      <c r="N77" s="148"/>
    </row>
    <row r="78" spans="1:14">
      <c r="A78" s="1804" t="s">
        <v>653</v>
      </c>
      <c r="B78" s="1804"/>
      <c r="C78" s="1804"/>
      <c r="D78" s="1804"/>
      <c r="E78" s="1804"/>
      <c r="F78" s="1804"/>
      <c r="G78" s="148"/>
      <c r="H78" s="148"/>
      <c r="I78" s="148"/>
      <c r="J78" s="148"/>
      <c r="K78" s="148"/>
      <c r="L78" s="148"/>
      <c r="M78" s="148"/>
      <c r="N78" s="148"/>
    </row>
    <row r="79" spans="1:14">
      <c r="A79" s="1575"/>
      <c r="B79" s="1575"/>
      <c r="C79" s="1575"/>
      <c r="D79" s="1575"/>
      <c r="E79" s="1575"/>
      <c r="F79" s="1575"/>
      <c r="G79" s="148"/>
      <c r="H79" s="148"/>
      <c r="I79" s="148"/>
      <c r="J79" s="148"/>
      <c r="K79" s="148"/>
      <c r="L79" s="148"/>
      <c r="M79" s="148"/>
      <c r="N79" s="148"/>
    </row>
    <row r="80" spans="1:14">
      <c r="A80" s="1576" t="s">
        <v>641</v>
      </c>
      <c r="B80" s="1576" t="s">
        <v>625</v>
      </c>
      <c r="C80" s="1576" t="s">
        <v>642</v>
      </c>
      <c r="D80" s="1792" t="s">
        <v>643</v>
      </c>
      <c r="E80" s="1792"/>
      <c r="F80" s="1792"/>
      <c r="G80" s="148"/>
      <c r="H80" s="148"/>
      <c r="I80" s="148"/>
      <c r="J80" s="148"/>
      <c r="K80" s="148"/>
      <c r="L80" s="148"/>
      <c r="M80" s="148"/>
      <c r="N80" s="148"/>
    </row>
    <row r="81" spans="1:14">
      <c r="A81" s="1577">
        <v>1024</v>
      </c>
      <c r="B81" s="1578">
        <f>'1024'!B49</f>
        <v>740000000</v>
      </c>
      <c r="C81" s="1578">
        <f>'1024'!N49</f>
        <v>646971000</v>
      </c>
      <c r="D81" s="1793">
        <f t="shared" ref="D81:D86" si="19">C81/B81</f>
        <v>0.87428513513513517</v>
      </c>
      <c r="E81" s="1794"/>
      <c r="F81" s="1795"/>
      <c r="G81" s="148"/>
      <c r="H81" s="148"/>
      <c r="I81" s="148"/>
      <c r="J81" s="148"/>
      <c r="K81" s="148"/>
      <c r="L81" s="148"/>
      <c r="M81" s="148"/>
      <c r="N81" s="148"/>
    </row>
    <row r="82" spans="1:14">
      <c r="A82" s="1577">
        <v>1107</v>
      </c>
      <c r="B82" s="1579">
        <f>'1107'!B156</f>
        <v>6976000000</v>
      </c>
      <c r="C82" s="1578">
        <f>'1107'!N156</f>
        <v>2978679897</v>
      </c>
      <c r="D82" s="1803">
        <f t="shared" si="19"/>
        <v>0.42698966413417433</v>
      </c>
      <c r="E82" s="1803"/>
      <c r="F82" s="1803"/>
      <c r="G82" s="148"/>
      <c r="H82" s="148"/>
      <c r="I82" s="148"/>
      <c r="J82" s="148"/>
      <c r="K82" s="148"/>
      <c r="L82" s="148"/>
      <c r="M82" s="148"/>
      <c r="N82" s="148"/>
    </row>
    <row r="83" spans="1:14">
      <c r="A83" s="1577">
        <v>1110</v>
      </c>
      <c r="B83" s="1579">
        <f>'1110'!B158</f>
        <v>5578162000</v>
      </c>
      <c r="C83" s="1578">
        <f>'1110'!N158</f>
        <v>3596004932</v>
      </c>
      <c r="D83" s="1803">
        <f t="shared" si="19"/>
        <v>0.64465767254518602</v>
      </c>
      <c r="E83" s="1803"/>
      <c r="F83" s="1803"/>
      <c r="G83" s="148"/>
      <c r="H83" s="148"/>
      <c r="I83" s="148"/>
      <c r="J83" s="148"/>
      <c r="K83" s="148"/>
      <c r="L83" s="148"/>
      <c r="M83" s="148"/>
      <c r="N83" s="148"/>
    </row>
    <row r="84" spans="1:14">
      <c r="A84" s="1577">
        <v>1112</v>
      </c>
      <c r="B84" s="1579">
        <f>'1112'!B89</f>
        <v>2424000000</v>
      </c>
      <c r="C84" s="1578">
        <f>'1112'!N89</f>
        <v>1882843333</v>
      </c>
      <c r="D84" s="1803">
        <f t="shared" si="19"/>
        <v>0.77675054991749171</v>
      </c>
      <c r="E84" s="1803"/>
      <c r="F84" s="1803"/>
      <c r="G84" s="148"/>
      <c r="H84" s="148"/>
      <c r="I84" s="148"/>
      <c r="J84" s="148"/>
      <c r="K84" s="148"/>
      <c r="L84" s="148"/>
      <c r="M84" s="148"/>
      <c r="N84" s="148"/>
    </row>
    <row r="85" spans="1:14">
      <c r="A85" s="1577">
        <v>1114</v>
      </c>
      <c r="B85" s="1578">
        <f>'1114'!B231</f>
        <v>16997000000</v>
      </c>
      <c r="C85" s="1578">
        <f>'1114'!N231</f>
        <v>4321401048</v>
      </c>
      <c r="D85" s="1803">
        <f t="shared" si="19"/>
        <v>0.25424492839912927</v>
      </c>
      <c r="E85" s="1803"/>
      <c r="F85" s="1803"/>
      <c r="G85" s="148"/>
      <c r="H85" s="148"/>
      <c r="I85" s="148"/>
      <c r="J85" s="148"/>
      <c r="K85" s="148"/>
      <c r="L85" s="148"/>
      <c r="M85" s="148"/>
      <c r="N85" s="148"/>
    </row>
    <row r="86" spans="1:14">
      <c r="A86" s="1580" t="s">
        <v>644</v>
      </c>
      <c r="B86" s="1581">
        <f>SUM(B81:B85)</f>
        <v>32715162000</v>
      </c>
      <c r="C86" s="1581">
        <f>SUM(C81:C85)</f>
        <v>13425900210</v>
      </c>
      <c r="D86" s="1806">
        <f t="shared" si="19"/>
        <v>0.41038770371976152</v>
      </c>
      <c r="E86" s="1806"/>
      <c r="F86" s="1806"/>
      <c r="G86" s="148"/>
      <c r="H86" s="1582"/>
      <c r="I86" s="148"/>
      <c r="J86" s="148"/>
      <c r="K86" s="148"/>
      <c r="L86" s="148"/>
      <c r="M86" s="148"/>
      <c r="N86" s="148"/>
    </row>
    <row r="87" spans="1:14">
      <c r="A87" s="1575"/>
      <c r="B87" s="1575"/>
      <c r="C87" s="1575"/>
      <c r="D87" s="1575"/>
      <c r="E87" s="1575"/>
      <c r="F87" s="1575"/>
      <c r="G87" s="148"/>
      <c r="H87" s="148"/>
      <c r="I87" s="148"/>
      <c r="J87" s="148"/>
      <c r="K87" s="148"/>
      <c r="L87" s="148"/>
      <c r="M87" s="148"/>
      <c r="N87" s="148"/>
    </row>
    <row r="88" spans="1:14">
      <c r="A88" s="148"/>
      <c r="B88" s="148"/>
      <c r="C88" s="1582"/>
      <c r="D88" s="148"/>
      <c r="E88" s="148"/>
      <c r="F88" s="148"/>
      <c r="G88" s="148"/>
      <c r="H88" s="148"/>
      <c r="I88" s="148"/>
      <c r="J88" s="148"/>
      <c r="K88" s="148"/>
      <c r="L88" s="148"/>
      <c r="M88" s="148"/>
      <c r="N88" s="148"/>
    </row>
    <row r="89" spans="1:14">
      <c r="A89" s="1807" t="s">
        <v>645</v>
      </c>
      <c r="B89" s="1808"/>
      <c r="C89" s="1808"/>
      <c r="D89" s="1808"/>
      <c r="E89" s="1808"/>
      <c r="F89" s="1809"/>
      <c r="G89" s="148"/>
      <c r="H89" s="148"/>
      <c r="I89" s="148"/>
      <c r="J89" s="148"/>
      <c r="K89" s="148"/>
      <c r="L89" s="148"/>
      <c r="M89" s="148"/>
      <c r="N89" s="148"/>
    </row>
    <row r="90" spans="1:14">
      <c r="A90" s="148"/>
      <c r="B90" s="148"/>
      <c r="C90" s="148"/>
      <c r="D90" s="148"/>
      <c r="E90" s="148"/>
      <c r="F90" s="148"/>
      <c r="G90" s="148"/>
      <c r="H90" s="148"/>
      <c r="I90" s="148"/>
      <c r="J90" s="148"/>
      <c r="K90" s="148"/>
      <c r="L90" s="148"/>
      <c r="M90" s="148"/>
      <c r="N90" s="148"/>
    </row>
    <row r="91" spans="1:14">
      <c r="A91" s="1576" t="s">
        <v>646</v>
      </c>
      <c r="B91" s="1576" t="s">
        <v>625</v>
      </c>
      <c r="C91" s="1576" t="s">
        <v>642</v>
      </c>
      <c r="D91" s="1792" t="s">
        <v>643</v>
      </c>
      <c r="E91" s="1792"/>
      <c r="F91" s="1792"/>
      <c r="G91" s="148"/>
      <c r="H91" s="148"/>
      <c r="I91" s="148"/>
      <c r="J91" s="148"/>
      <c r="K91" s="148"/>
      <c r="L91" s="148"/>
      <c r="M91" s="148"/>
      <c r="N91" s="148"/>
    </row>
    <row r="92" spans="1:14">
      <c r="A92" s="1583" t="s">
        <v>669</v>
      </c>
      <c r="B92" s="1578">
        <v>4477753000</v>
      </c>
      <c r="C92" s="1578">
        <v>783404549</v>
      </c>
      <c r="D92" s="1793">
        <f>C92/B92</f>
        <v>0.17495483761609898</v>
      </c>
      <c r="E92" s="1794"/>
      <c r="F92" s="1795"/>
      <c r="G92" s="148"/>
      <c r="H92" s="148"/>
      <c r="I92" s="148"/>
      <c r="J92" s="148"/>
      <c r="K92" s="148"/>
      <c r="L92" s="148"/>
      <c r="M92" s="148"/>
      <c r="N92" s="148"/>
    </row>
    <row r="93" spans="1:14">
      <c r="A93" s="1583" t="s">
        <v>670</v>
      </c>
      <c r="B93" s="1578">
        <v>1804247000</v>
      </c>
      <c r="C93" s="1578">
        <v>486214572</v>
      </c>
      <c r="D93" s="1793">
        <f>C93/B93</f>
        <v>0.26948337561320596</v>
      </c>
      <c r="E93" s="1794"/>
      <c r="F93" s="1795"/>
      <c r="G93" s="148"/>
      <c r="H93" s="148"/>
      <c r="I93" s="148"/>
      <c r="J93" s="148"/>
      <c r="K93" s="148"/>
      <c r="L93" s="148"/>
      <c r="M93" s="148"/>
      <c r="N93" s="148"/>
    </row>
    <row r="94" spans="1:14" ht="24.75" customHeight="1">
      <c r="A94" s="1588" t="s">
        <v>647</v>
      </c>
      <c r="B94" s="1584">
        <f>SUM(B92:B93)</f>
        <v>6282000000</v>
      </c>
      <c r="C94" s="1584">
        <f>SUM(C92:C93)</f>
        <v>1269619121</v>
      </c>
      <c r="D94" s="1805">
        <f>C94/B94</f>
        <v>0.20210428541865647</v>
      </c>
      <c r="E94" s="1805"/>
      <c r="F94" s="1805"/>
      <c r="G94" s="148"/>
      <c r="H94" s="148"/>
      <c r="I94" s="148"/>
      <c r="J94" s="148"/>
      <c r="K94" s="148"/>
      <c r="L94" s="148"/>
      <c r="M94" s="148"/>
      <c r="N94" s="148"/>
    </row>
    <row r="95" spans="1:14">
      <c r="A95" s="1585"/>
      <c r="B95" s="1586"/>
      <c r="C95" s="1586"/>
      <c r="D95" s="1587"/>
      <c r="E95" s="1587"/>
      <c r="F95" s="1587"/>
      <c r="G95" s="148"/>
      <c r="H95" s="148"/>
      <c r="I95" s="148"/>
      <c r="J95" s="148"/>
      <c r="K95" s="148"/>
      <c r="L95" s="148"/>
      <c r="M95" s="148"/>
      <c r="N95" s="148"/>
    </row>
    <row r="96" spans="1:14">
      <c r="A96" s="926"/>
      <c r="B96" s="148"/>
      <c r="C96" s="148"/>
      <c r="D96" s="148"/>
      <c r="E96" s="148"/>
      <c r="F96" s="148"/>
      <c r="G96" s="148"/>
      <c r="H96" s="148"/>
      <c r="I96" s="148"/>
      <c r="J96" s="148"/>
      <c r="K96" s="148"/>
      <c r="L96" s="148"/>
      <c r="M96" s="148"/>
      <c r="N96" s="148"/>
    </row>
    <row r="97" spans="1:14" ht="24.75" customHeight="1">
      <c r="A97" s="1588" t="s">
        <v>671</v>
      </c>
      <c r="B97" s="1589">
        <f>B86+B94</f>
        <v>38997162000</v>
      </c>
      <c r="C97" s="1589">
        <f>C86+C94</f>
        <v>14695519331</v>
      </c>
      <c r="D97" s="1805">
        <f>C97/B97</f>
        <v>0.37683561001182597</v>
      </c>
      <c r="E97" s="1805"/>
      <c r="F97" s="1805"/>
      <c r="G97" s="148"/>
      <c r="H97" s="148"/>
      <c r="I97" s="148"/>
      <c r="J97" s="148"/>
      <c r="K97" s="148"/>
      <c r="L97" s="148"/>
      <c r="M97" s="148"/>
      <c r="N97" s="148"/>
    </row>
    <row r="98" spans="1:14">
      <c r="A98" s="148"/>
      <c r="B98" s="148"/>
      <c r="C98" s="148"/>
      <c r="D98" s="148"/>
      <c r="E98" s="148"/>
      <c r="F98" s="148"/>
      <c r="G98" s="148"/>
      <c r="H98" s="148"/>
      <c r="I98" s="148"/>
      <c r="J98" s="148"/>
      <c r="K98" s="148"/>
      <c r="L98" s="148"/>
      <c r="M98" s="148"/>
      <c r="N98" s="148"/>
    </row>
    <row r="99" spans="1:14">
      <c r="B99" s="1603" t="s">
        <v>625</v>
      </c>
      <c r="C99" s="1603" t="s">
        <v>809</v>
      </c>
      <c r="D99" s="1792" t="s">
        <v>643</v>
      </c>
      <c r="E99" s="1792"/>
      <c r="F99" s="1792"/>
    </row>
    <row r="100" spans="1:14">
      <c r="B100" s="1578">
        <v>32715162000</v>
      </c>
      <c r="C100" s="1610">
        <f>C11+C21+C34+C44+C73</f>
        <v>15830458749</v>
      </c>
      <c r="D100" s="1793">
        <f>C100/B100</f>
        <v>0.48388752435338694</v>
      </c>
      <c r="E100" s="1794"/>
      <c r="F100" s="1795"/>
    </row>
    <row r="102" spans="1:14">
      <c r="B102" s="1603" t="s">
        <v>625</v>
      </c>
      <c r="C102" s="1603" t="s">
        <v>810</v>
      </c>
      <c r="D102" s="1792" t="s">
        <v>643</v>
      </c>
      <c r="E102" s="1792"/>
      <c r="F102" s="1792"/>
    </row>
    <row r="103" spans="1:14">
      <c r="B103" s="1578">
        <v>32715162000</v>
      </c>
      <c r="C103" s="1610">
        <f>E11+E21+E34+E44+E73</f>
        <v>1348907591</v>
      </c>
      <c r="D103" s="1793">
        <f>C103/B103</f>
        <v>4.123187869282139E-2</v>
      </c>
      <c r="E103" s="1794"/>
      <c r="F103" s="1795"/>
    </row>
    <row r="106" spans="1:14">
      <c r="C106" s="132"/>
    </row>
  </sheetData>
  <mergeCells count="54">
    <mergeCell ref="D92:F92"/>
    <mergeCell ref="D93:F93"/>
    <mergeCell ref="D94:F94"/>
    <mergeCell ref="D97:F97"/>
    <mergeCell ref="D85:F85"/>
    <mergeCell ref="D86:F86"/>
    <mergeCell ref="A89:F89"/>
    <mergeCell ref="D91:F91"/>
    <mergeCell ref="G43:H43"/>
    <mergeCell ref="J43:K43"/>
    <mergeCell ref="M43:N43"/>
    <mergeCell ref="D84:F84"/>
    <mergeCell ref="A46:N46"/>
    <mergeCell ref="G48:H48"/>
    <mergeCell ref="J48:K48"/>
    <mergeCell ref="M48:N48"/>
    <mergeCell ref="G72:H72"/>
    <mergeCell ref="J72:K72"/>
    <mergeCell ref="M72:N72"/>
    <mergeCell ref="A78:F78"/>
    <mergeCell ref="D80:F80"/>
    <mergeCell ref="D81:F81"/>
    <mergeCell ref="D82:F82"/>
    <mergeCell ref="D83:F83"/>
    <mergeCell ref="G33:H33"/>
    <mergeCell ref="J33:K33"/>
    <mergeCell ref="M33:N33"/>
    <mergeCell ref="A36:N36"/>
    <mergeCell ref="G38:H38"/>
    <mergeCell ref="J38:K38"/>
    <mergeCell ref="M38:N38"/>
    <mergeCell ref="J10:K10"/>
    <mergeCell ref="M10:N10"/>
    <mergeCell ref="A1:N1"/>
    <mergeCell ref="A3:N3"/>
    <mergeCell ref="G5:H5"/>
    <mergeCell ref="J5:K5"/>
    <mergeCell ref="M5:N5"/>
    <mergeCell ref="D99:F99"/>
    <mergeCell ref="D100:F100"/>
    <mergeCell ref="D102:F102"/>
    <mergeCell ref="D103:F103"/>
    <mergeCell ref="G10:H10"/>
    <mergeCell ref="A13:N13"/>
    <mergeCell ref="G15:H15"/>
    <mergeCell ref="J15:K15"/>
    <mergeCell ref="M15:N15"/>
    <mergeCell ref="G20:H20"/>
    <mergeCell ref="J20:K20"/>
    <mergeCell ref="M20:N20"/>
    <mergeCell ref="A23:N23"/>
    <mergeCell ref="G25:H25"/>
    <mergeCell ref="J25:K25"/>
    <mergeCell ref="M25:N25"/>
  </mergeCells>
  <conditionalFormatting sqref="G6">
    <cfRule type="iconSet" priority="293">
      <iconSet iconSet="3TrafficLights2" showValue="0">
        <cfvo type="percent" val="0"/>
        <cfvo type="num" val="0.6"/>
        <cfvo type="num" val="0.8"/>
      </iconSet>
    </cfRule>
  </conditionalFormatting>
  <conditionalFormatting sqref="H6">
    <cfRule type="iconSet" priority="292">
      <iconSet iconSet="5Arrows" showValue="0">
        <cfvo type="percent" val="0"/>
        <cfvo type="num" val="0.6"/>
        <cfvo type="num" val="0.7"/>
        <cfvo type="num" val="0.8"/>
        <cfvo type="num" val="0.9"/>
      </iconSet>
    </cfRule>
  </conditionalFormatting>
  <conditionalFormatting sqref="F49:F53 F6 L49:L53 I49:I53 I55:I59 L55:L59 F55:F59 I65 L65 F65 F70 L70 I70 F67:F68 L67:L68 I67:I68">
    <cfRule type="dataBar" priority="291">
      <dataBar>
        <cfvo type="num" val="0"/>
        <cfvo type="num" val="1.1000000000000001"/>
        <color rgb="FF63C384"/>
      </dataBar>
      <extLst>
        <ext xmlns:x14="http://schemas.microsoft.com/office/spreadsheetml/2009/9/main" uri="{B025F937-C7B1-47D3-B67F-A62EFF666E3E}">
          <x14:id>{E2447B98-D96C-4E51-8249-6DAFFA072E95}</x14:id>
        </ext>
      </extLst>
    </cfRule>
  </conditionalFormatting>
  <conditionalFormatting sqref="J6">
    <cfRule type="iconSet" priority="290">
      <iconSet iconSet="3TrafficLights2" showValue="0">
        <cfvo type="percent" val="0"/>
        <cfvo type="num" val="0.6"/>
        <cfvo type="num" val="0.8"/>
      </iconSet>
    </cfRule>
  </conditionalFormatting>
  <conditionalFormatting sqref="K6">
    <cfRule type="iconSet" priority="289">
      <iconSet iconSet="5Arrows" showValue="0">
        <cfvo type="percent" val="0"/>
        <cfvo type="num" val="0.6"/>
        <cfvo type="num" val="0.7"/>
        <cfvo type="num" val="0.8"/>
        <cfvo type="num" val="0.9"/>
      </iconSet>
    </cfRule>
  </conditionalFormatting>
  <conditionalFormatting sqref="I6">
    <cfRule type="dataBar" priority="288">
      <dataBar>
        <cfvo type="num" val="0"/>
        <cfvo type="num" val="1.1000000000000001"/>
        <color rgb="FF63C384"/>
      </dataBar>
      <extLst>
        <ext xmlns:x14="http://schemas.microsoft.com/office/spreadsheetml/2009/9/main" uri="{B025F937-C7B1-47D3-B67F-A62EFF666E3E}">
          <x14:id>{C2D532E5-1B7C-480C-922C-653A82A2DDF0}</x14:id>
        </ext>
      </extLst>
    </cfRule>
  </conditionalFormatting>
  <conditionalFormatting sqref="M6">
    <cfRule type="iconSet" priority="287">
      <iconSet iconSet="3TrafficLights2" showValue="0">
        <cfvo type="percent" val="0"/>
        <cfvo type="num" val="0.6"/>
        <cfvo type="num" val="0.8"/>
      </iconSet>
    </cfRule>
  </conditionalFormatting>
  <conditionalFormatting sqref="N6">
    <cfRule type="iconSet" priority="286">
      <iconSet iconSet="5Arrows" showValue="0">
        <cfvo type="percent" val="0"/>
        <cfvo type="num" val="0.6"/>
        <cfvo type="num" val="0.7"/>
        <cfvo type="num" val="0.8"/>
        <cfvo type="num" val="0.9"/>
      </iconSet>
    </cfRule>
  </conditionalFormatting>
  <conditionalFormatting sqref="L6">
    <cfRule type="dataBar" priority="285">
      <dataBar>
        <cfvo type="num" val="0"/>
        <cfvo type="num" val="1.1000000000000001"/>
        <color rgb="FF63C384"/>
      </dataBar>
      <extLst>
        <ext xmlns:x14="http://schemas.microsoft.com/office/spreadsheetml/2009/9/main" uri="{B025F937-C7B1-47D3-B67F-A62EFF666E3E}">
          <x14:id>{9A5EDCC3-08C0-4FA7-B8DE-5928750D7291}</x14:id>
        </ext>
      </extLst>
    </cfRule>
  </conditionalFormatting>
  <conditionalFormatting sqref="G7">
    <cfRule type="iconSet" priority="284">
      <iconSet iconSet="3TrafficLights2" showValue="0">
        <cfvo type="percent" val="0"/>
        <cfvo type="num" val="0.6"/>
        <cfvo type="num" val="0.8"/>
      </iconSet>
    </cfRule>
  </conditionalFormatting>
  <conditionalFormatting sqref="H7">
    <cfRule type="iconSet" priority="283">
      <iconSet iconSet="5Arrows" showValue="0">
        <cfvo type="percent" val="0"/>
        <cfvo type="num" val="0.6"/>
        <cfvo type="num" val="0.7"/>
        <cfvo type="num" val="0.8"/>
        <cfvo type="num" val="0.9"/>
      </iconSet>
    </cfRule>
  </conditionalFormatting>
  <conditionalFormatting sqref="F7">
    <cfRule type="dataBar" priority="282">
      <dataBar>
        <cfvo type="num" val="0"/>
        <cfvo type="num" val="1.1000000000000001"/>
        <color rgb="FF63C384"/>
      </dataBar>
      <extLst>
        <ext xmlns:x14="http://schemas.microsoft.com/office/spreadsheetml/2009/9/main" uri="{B025F937-C7B1-47D3-B67F-A62EFF666E3E}">
          <x14:id>{A0239914-0CEE-4CCB-8399-5F6FE19EFCC0}</x14:id>
        </ext>
      </extLst>
    </cfRule>
  </conditionalFormatting>
  <conditionalFormatting sqref="J7">
    <cfRule type="iconSet" priority="281">
      <iconSet iconSet="3TrafficLights2" showValue="0">
        <cfvo type="percent" val="0"/>
        <cfvo type="num" val="0.6"/>
        <cfvo type="num" val="0.8"/>
      </iconSet>
    </cfRule>
  </conditionalFormatting>
  <conditionalFormatting sqref="K7">
    <cfRule type="iconSet" priority="280">
      <iconSet iconSet="5Arrows" showValue="0">
        <cfvo type="percent" val="0"/>
        <cfvo type="num" val="0.6"/>
        <cfvo type="num" val="0.7"/>
        <cfvo type="num" val="0.8"/>
        <cfvo type="num" val="0.9"/>
      </iconSet>
    </cfRule>
  </conditionalFormatting>
  <conditionalFormatting sqref="I7">
    <cfRule type="dataBar" priority="279">
      <dataBar>
        <cfvo type="num" val="0"/>
        <cfvo type="num" val="1.1000000000000001"/>
        <color rgb="FF63C384"/>
      </dataBar>
      <extLst>
        <ext xmlns:x14="http://schemas.microsoft.com/office/spreadsheetml/2009/9/main" uri="{B025F937-C7B1-47D3-B67F-A62EFF666E3E}">
          <x14:id>{0DFE4C40-C3FC-447C-86F9-479B60F27E9D}</x14:id>
        </ext>
      </extLst>
    </cfRule>
  </conditionalFormatting>
  <conditionalFormatting sqref="M7">
    <cfRule type="iconSet" priority="278">
      <iconSet iconSet="3TrafficLights2" showValue="0">
        <cfvo type="percent" val="0"/>
        <cfvo type="num" val="0.6"/>
        <cfvo type="num" val="0.8"/>
      </iconSet>
    </cfRule>
  </conditionalFormatting>
  <conditionalFormatting sqref="N7">
    <cfRule type="iconSet" priority="277">
      <iconSet iconSet="5Arrows" showValue="0">
        <cfvo type="percent" val="0"/>
        <cfvo type="num" val="0.6"/>
        <cfvo type="num" val="0.7"/>
        <cfvo type="num" val="0.8"/>
        <cfvo type="num" val="0.9"/>
      </iconSet>
    </cfRule>
  </conditionalFormatting>
  <conditionalFormatting sqref="L7">
    <cfRule type="dataBar" priority="276">
      <dataBar>
        <cfvo type="num" val="0"/>
        <cfvo type="num" val="1.1000000000000001"/>
        <color rgb="FF63C384"/>
      </dataBar>
      <extLst>
        <ext xmlns:x14="http://schemas.microsoft.com/office/spreadsheetml/2009/9/main" uri="{B025F937-C7B1-47D3-B67F-A62EFF666E3E}">
          <x14:id>{1F72F77C-72DD-4DC0-993A-4A62562778BC}</x14:id>
        </ext>
      </extLst>
    </cfRule>
  </conditionalFormatting>
  <conditionalFormatting sqref="G8">
    <cfRule type="iconSet" priority="275">
      <iconSet iconSet="3TrafficLights2" showValue="0">
        <cfvo type="percent" val="0"/>
        <cfvo type="num" val="0.6"/>
        <cfvo type="num" val="0.8"/>
      </iconSet>
    </cfRule>
  </conditionalFormatting>
  <conditionalFormatting sqref="H8">
    <cfRule type="iconSet" priority="274">
      <iconSet iconSet="5Arrows" showValue="0">
        <cfvo type="percent" val="0"/>
        <cfvo type="num" val="0.6"/>
        <cfvo type="num" val="0.7"/>
        <cfvo type="num" val="0.8"/>
        <cfvo type="num" val="0.9"/>
      </iconSet>
    </cfRule>
  </conditionalFormatting>
  <conditionalFormatting sqref="F8">
    <cfRule type="dataBar" priority="273">
      <dataBar>
        <cfvo type="num" val="0"/>
        <cfvo type="num" val="1.1000000000000001"/>
        <color rgb="FF63C384"/>
      </dataBar>
      <extLst>
        <ext xmlns:x14="http://schemas.microsoft.com/office/spreadsheetml/2009/9/main" uri="{B025F937-C7B1-47D3-B67F-A62EFF666E3E}">
          <x14:id>{13929A6E-DD03-4D35-A383-37858081BB35}</x14:id>
        </ext>
      </extLst>
    </cfRule>
  </conditionalFormatting>
  <conditionalFormatting sqref="J8">
    <cfRule type="iconSet" priority="272">
      <iconSet iconSet="3TrafficLights2" showValue="0">
        <cfvo type="percent" val="0"/>
        <cfvo type="num" val="0.6"/>
        <cfvo type="num" val="0.8"/>
      </iconSet>
    </cfRule>
  </conditionalFormatting>
  <conditionalFormatting sqref="K8">
    <cfRule type="iconSet" priority="271">
      <iconSet iconSet="5Arrows" showValue="0">
        <cfvo type="percent" val="0"/>
        <cfvo type="num" val="0.6"/>
        <cfvo type="num" val="0.7"/>
        <cfvo type="num" val="0.8"/>
        <cfvo type="num" val="0.9"/>
      </iconSet>
    </cfRule>
  </conditionalFormatting>
  <conditionalFormatting sqref="I8">
    <cfRule type="dataBar" priority="270">
      <dataBar>
        <cfvo type="num" val="0"/>
        <cfvo type="num" val="1.1000000000000001"/>
        <color rgb="FF63C384"/>
      </dataBar>
      <extLst>
        <ext xmlns:x14="http://schemas.microsoft.com/office/spreadsheetml/2009/9/main" uri="{B025F937-C7B1-47D3-B67F-A62EFF666E3E}">
          <x14:id>{ADCEFA98-11A3-4CF8-800F-04F593269AA7}</x14:id>
        </ext>
      </extLst>
    </cfRule>
  </conditionalFormatting>
  <conditionalFormatting sqref="M8">
    <cfRule type="iconSet" priority="269">
      <iconSet iconSet="3TrafficLights2" showValue="0">
        <cfvo type="percent" val="0"/>
        <cfvo type="num" val="0.6"/>
        <cfvo type="num" val="0.8"/>
      </iconSet>
    </cfRule>
  </conditionalFormatting>
  <conditionalFormatting sqref="N8">
    <cfRule type="iconSet" priority="268">
      <iconSet iconSet="5Arrows" showValue="0">
        <cfvo type="percent" val="0"/>
        <cfvo type="num" val="0.6"/>
        <cfvo type="num" val="0.7"/>
        <cfvo type="num" val="0.8"/>
        <cfvo type="num" val="0.9"/>
      </iconSet>
    </cfRule>
  </conditionalFormatting>
  <conditionalFormatting sqref="L8">
    <cfRule type="dataBar" priority="267">
      <dataBar>
        <cfvo type="num" val="0"/>
        <cfvo type="num" val="1.1000000000000001"/>
        <color rgb="FF63C384"/>
      </dataBar>
      <extLst>
        <ext xmlns:x14="http://schemas.microsoft.com/office/spreadsheetml/2009/9/main" uri="{B025F937-C7B1-47D3-B67F-A62EFF666E3E}">
          <x14:id>{29C8DEB2-2279-4B4B-8012-95D88698D968}</x14:id>
        </ext>
      </extLst>
    </cfRule>
  </conditionalFormatting>
  <conditionalFormatting sqref="G9">
    <cfRule type="iconSet" priority="266">
      <iconSet iconSet="3TrafficLights2" showValue="0">
        <cfvo type="percent" val="0"/>
        <cfvo type="num" val="0.6"/>
        <cfvo type="num" val="0.8"/>
      </iconSet>
    </cfRule>
  </conditionalFormatting>
  <conditionalFormatting sqref="H9">
    <cfRule type="iconSet" priority="265">
      <iconSet iconSet="5Arrows" showValue="0">
        <cfvo type="percent" val="0"/>
        <cfvo type="num" val="0.6"/>
        <cfvo type="num" val="0.7"/>
        <cfvo type="num" val="0.8"/>
        <cfvo type="num" val="0.9"/>
      </iconSet>
    </cfRule>
  </conditionalFormatting>
  <conditionalFormatting sqref="F9">
    <cfRule type="dataBar" priority="264">
      <dataBar>
        <cfvo type="num" val="0"/>
        <cfvo type="num" val="1.1000000000000001"/>
        <color rgb="FF63C384"/>
      </dataBar>
      <extLst>
        <ext xmlns:x14="http://schemas.microsoft.com/office/spreadsheetml/2009/9/main" uri="{B025F937-C7B1-47D3-B67F-A62EFF666E3E}">
          <x14:id>{7B2A6733-42DB-44AD-8430-521F8F345BAB}</x14:id>
        </ext>
      </extLst>
    </cfRule>
  </conditionalFormatting>
  <conditionalFormatting sqref="J9">
    <cfRule type="iconSet" priority="263">
      <iconSet iconSet="3TrafficLights2" showValue="0">
        <cfvo type="percent" val="0"/>
        <cfvo type="num" val="0.6"/>
        <cfvo type="num" val="0.8"/>
      </iconSet>
    </cfRule>
  </conditionalFormatting>
  <conditionalFormatting sqref="K9">
    <cfRule type="iconSet" priority="262">
      <iconSet iconSet="5Arrows" showValue="0">
        <cfvo type="percent" val="0"/>
        <cfvo type="num" val="0.6"/>
        <cfvo type="num" val="0.7"/>
        <cfvo type="num" val="0.8"/>
        <cfvo type="num" val="0.9"/>
      </iconSet>
    </cfRule>
  </conditionalFormatting>
  <conditionalFormatting sqref="I9">
    <cfRule type="dataBar" priority="261">
      <dataBar>
        <cfvo type="num" val="0"/>
        <cfvo type="num" val="1.1000000000000001"/>
        <color rgb="FF63C384"/>
      </dataBar>
      <extLst>
        <ext xmlns:x14="http://schemas.microsoft.com/office/spreadsheetml/2009/9/main" uri="{B025F937-C7B1-47D3-B67F-A62EFF666E3E}">
          <x14:id>{A3F17A18-4E05-438E-8EF4-50AAF9B580D4}</x14:id>
        </ext>
      </extLst>
    </cfRule>
  </conditionalFormatting>
  <conditionalFormatting sqref="M9">
    <cfRule type="iconSet" priority="260">
      <iconSet iconSet="3TrafficLights2" showValue="0">
        <cfvo type="percent" val="0"/>
        <cfvo type="num" val="0.6"/>
        <cfvo type="num" val="0.8"/>
      </iconSet>
    </cfRule>
  </conditionalFormatting>
  <conditionalFormatting sqref="N9">
    <cfRule type="iconSet" priority="259">
      <iconSet iconSet="5Arrows" showValue="0">
        <cfvo type="percent" val="0"/>
        <cfvo type="num" val="0.6"/>
        <cfvo type="num" val="0.7"/>
        <cfvo type="num" val="0.8"/>
        <cfvo type="num" val="0.9"/>
      </iconSet>
    </cfRule>
  </conditionalFormatting>
  <conditionalFormatting sqref="L9">
    <cfRule type="dataBar" priority="258">
      <dataBar>
        <cfvo type="num" val="0"/>
        <cfvo type="num" val="1.1000000000000001"/>
        <color rgb="FF63C384"/>
      </dataBar>
      <extLst>
        <ext xmlns:x14="http://schemas.microsoft.com/office/spreadsheetml/2009/9/main" uri="{B025F937-C7B1-47D3-B67F-A62EFF666E3E}">
          <x14:id>{557B1B9F-9C4D-4319-97DA-3DF66C373487}</x14:id>
        </ext>
      </extLst>
    </cfRule>
  </conditionalFormatting>
  <conditionalFormatting sqref="F11:F12">
    <cfRule type="dataBar" priority="257">
      <dataBar>
        <cfvo type="num" val="0"/>
        <cfvo type="num" val="1.1000000000000001"/>
        <color rgb="FF63C384"/>
      </dataBar>
      <extLst>
        <ext xmlns:x14="http://schemas.microsoft.com/office/spreadsheetml/2009/9/main" uri="{B025F937-C7B1-47D3-B67F-A62EFF666E3E}">
          <x14:id>{BB8F1DA8-7544-4342-8388-49BBDB34CFD8}</x14:id>
        </ext>
      </extLst>
    </cfRule>
  </conditionalFormatting>
  <conditionalFormatting sqref="G11:G12">
    <cfRule type="iconSet" priority="256">
      <iconSet iconSet="3TrafficLights2" showValue="0">
        <cfvo type="percent" val="0"/>
        <cfvo type="num" val="0.6"/>
        <cfvo type="num" val="0.8"/>
      </iconSet>
    </cfRule>
  </conditionalFormatting>
  <conditionalFormatting sqref="H11:H12">
    <cfRule type="iconSet" priority="255">
      <iconSet iconSet="5Arrows" showValue="0">
        <cfvo type="percent" val="0"/>
        <cfvo type="num" val="0.6"/>
        <cfvo type="num" val="0.7"/>
        <cfvo type="num" val="0.8"/>
        <cfvo type="num" val="0.9"/>
      </iconSet>
    </cfRule>
  </conditionalFormatting>
  <conditionalFormatting sqref="J11:J12">
    <cfRule type="iconSet" priority="254">
      <iconSet iconSet="3TrafficLights2" showValue="0">
        <cfvo type="percent" val="0"/>
        <cfvo type="num" val="0.6"/>
        <cfvo type="num" val="0.8"/>
      </iconSet>
    </cfRule>
  </conditionalFormatting>
  <conditionalFormatting sqref="K11:K12">
    <cfRule type="iconSet" priority="253">
      <iconSet iconSet="5Arrows" showValue="0">
        <cfvo type="percent" val="0"/>
        <cfvo type="num" val="0.6"/>
        <cfvo type="num" val="0.7"/>
        <cfvo type="num" val="0.8"/>
        <cfvo type="num" val="0.9"/>
      </iconSet>
    </cfRule>
  </conditionalFormatting>
  <conditionalFormatting sqref="I11:I12">
    <cfRule type="dataBar" priority="252">
      <dataBar>
        <cfvo type="num" val="0"/>
        <cfvo type="num" val="1.1000000000000001"/>
        <color rgb="FF63C384"/>
      </dataBar>
      <extLst>
        <ext xmlns:x14="http://schemas.microsoft.com/office/spreadsheetml/2009/9/main" uri="{B025F937-C7B1-47D3-B67F-A62EFF666E3E}">
          <x14:id>{A117401D-49CC-4479-8BA4-E600E570CC52}</x14:id>
        </ext>
      </extLst>
    </cfRule>
  </conditionalFormatting>
  <conditionalFormatting sqref="M11:M12">
    <cfRule type="iconSet" priority="251">
      <iconSet iconSet="3TrafficLights2" showValue="0">
        <cfvo type="percent" val="0"/>
        <cfvo type="num" val="0.6"/>
        <cfvo type="num" val="0.8"/>
      </iconSet>
    </cfRule>
  </conditionalFormatting>
  <conditionalFormatting sqref="N11:N12">
    <cfRule type="iconSet" priority="250">
      <iconSet iconSet="5Arrows" showValue="0">
        <cfvo type="percent" val="0"/>
        <cfvo type="num" val="0.6"/>
        <cfvo type="num" val="0.7"/>
        <cfvo type="num" val="0.8"/>
        <cfvo type="num" val="0.9"/>
      </iconSet>
    </cfRule>
  </conditionalFormatting>
  <conditionalFormatting sqref="L11:L12">
    <cfRule type="dataBar" priority="249">
      <dataBar>
        <cfvo type="num" val="0"/>
        <cfvo type="num" val="1.1000000000000001"/>
        <color rgb="FF63C384"/>
      </dataBar>
      <extLst>
        <ext xmlns:x14="http://schemas.microsoft.com/office/spreadsheetml/2009/9/main" uri="{B025F937-C7B1-47D3-B67F-A62EFF666E3E}">
          <x14:id>{49C7012A-B31E-4ADF-A374-6EB241CE7B36}</x14:id>
        </ext>
      </extLst>
    </cfRule>
  </conditionalFormatting>
  <conditionalFormatting sqref="G16">
    <cfRule type="iconSet" priority="248">
      <iconSet iconSet="3TrafficLights2" showValue="0">
        <cfvo type="percent" val="0"/>
        <cfvo type="num" val="0.6"/>
        <cfvo type="num" val="0.8"/>
      </iconSet>
    </cfRule>
  </conditionalFormatting>
  <conditionalFormatting sqref="H16">
    <cfRule type="iconSet" priority="247">
      <iconSet iconSet="5Arrows" showValue="0">
        <cfvo type="percent" val="0"/>
        <cfvo type="num" val="0.6"/>
        <cfvo type="num" val="0.7"/>
        <cfvo type="num" val="0.8"/>
        <cfvo type="num" val="0.9"/>
      </iconSet>
    </cfRule>
  </conditionalFormatting>
  <conditionalFormatting sqref="F16">
    <cfRule type="dataBar" priority="246">
      <dataBar>
        <cfvo type="num" val="0"/>
        <cfvo type="num" val="1.1000000000000001"/>
        <color rgb="FF63C384"/>
      </dataBar>
      <extLst>
        <ext xmlns:x14="http://schemas.microsoft.com/office/spreadsheetml/2009/9/main" uri="{B025F937-C7B1-47D3-B67F-A62EFF666E3E}">
          <x14:id>{5D445730-5BAE-4FF4-B27D-003A7E69232E}</x14:id>
        </ext>
      </extLst>
    </cfRule>
  </conditionalFormatting>
  <conditionalFormatting sqref="J16">
    <cfRule type="iconSet" priority="245">
      <iconSet iconSet="3TrafficLights2" showValue="0">
        <cfvo type="percent" val="0"/>
        <cfvo type="num" val="0.6"/>
        <cfvo type="num" val="0.8"/>
      </iconSet>
    </cfRule>
  </conditionalFormatting>
  <conditionalFormatting sqref="K16">
    <cfRule type="iconSet" priority="244">
      <iconSet iconSet="5Arrows" showValue="0">
        <cfvo type="percent" val="0"/>
        <cfvo type="num" val="0.6"/>
        <cfvo type="num" val="0.7"/>
        <cfvo type="num" val="0.8"/>
        <cfvo type="num" val="0.9"/>
      </iconSet>
    </cfRule>
  </conditionalFormatting>
  <conditionalFormatting sqref="I16">
    <cfRule type="dataBar" priority="243">
      <dataBar>
        <cfvo type="num" val="0"/>
        <cfvo type="num" val="1.1000000000000001"/>
        <color rgb="FF63C384"/>
      </dataBar>
      <extLst>
        <ext xmlns:x14="http://schemas.microsoft.com/office/spreadsheetml/2009/9/main" uri="{B025F937-C7B1-47D3-B67F-A62EFF666E3E}">
          <x14:id>{22BCA6FB-9E3D-4931-BF3B-E25CAA97205F}</x14:id>
        </ext>
      </extLst>
    </cfRule>
  </conditionalFormatting>
  <conditionalFormatting sqref="M16">
    <cfRule type="iconSet" priority="242">
      <iconSet iconSet="3TrafficLights2" showValue="0">
        <cfvo type="percent" val="0"/>
        <cfvo type="num" val="0.6"/>
        <cfvo type="num" val="0.8"/>
      </iconSet>
    </cfRule>
  </conditionalFormatting>
  <conditionalFormatting sqref="N16">
    <cfRule type="iconSet" priority="241">
      <iconSet iconSet="5Arrows" showValue="0">
        <cfvo type="percent" val="0"/>
        <cfvo type="num" val="0.6"/>
        <cfvo type="num" val="0.7"/>
        <cfvo type="num" val="0.8"/>
        <cfvo type="num" val="0.9"/>
      </iconSet>
    </cfRule>
  </conditionalFormatting>
  <conditionalFormatting sqref="L16">
    <cfRule type="dataBar" priority="240">
      <dataBar>
        <cfvo type="num" val="0"/>
        <cfvo type="num" val="1.1000000000000001"/>
        <color rgb="FF63C384"/>
      </dataBar>
      <extLst>
        <ext xmlns:x14="http://schemas.microsoft.com/office/spreadsheetml/2009/9/main" uri="{B025F937-C7B1-47D3-B67F-A62EFF666E3E}">
          <x14:id>{1F5A34CA-A96C-4E32-B605-0843192CB974}</x14:id>
        </ext>
      </extLst>
    </cfRule>
  </conditionalFormatting>
  <conditionalFormatting sqref="G17">
    <cfRule type="iconSet" priority="239">
      <iconSet iconSet="3TrafficLights2" showValue="0">
        <cfvo type="percent" val="0"/>
        <cfvo type="num" val="0.6"/>
        <cfvo type="num" val="0.8"/>
      </iconSet>
    </cfRule>
  </conditionalFormatting>
  <conditionalFormatting sqref="H17">
    <cfRule type="iconSet" priority="238">
      <iconSet iconSet="5Arrows" showValue="0">
        <cfvo type="percent" val="0"/>
        <cfvo type="num" val="0.6"/>
        <cfvo type="num" val="0.7"/>
        <cfvo type="num" val="0.8"/>
        <cfvo type="num" val="0.9"/>
      </iconSet>
    </cfRule>
  </conditionalFormatting>
  <conditionalFormatting sqref="F17">
    <cfRule type="dataBar" priority="237">
      <dataBar>
        <cfvo type="num" val="0"/>
        <cfvo type="num" val="1.1000000000000001"/>
        <color rgb="FF63C384"/>
      </dataBar>
      <extLst>
        <ext xmlns:x14="http://schemas.microsoft.com/office/spreadsheetml/2009/9/main" uri="{B025F937-C7B1-47D3-B67F-A62EFF666E3E}">
          <x14:id>{C015A28D-284E-406F-9744-D03494B26819}</x14:id>
        </ext>
      </extLst>
    </cfRule>
  </conditionalFormatting>
  <conditionalFormatting sqref="J17">
    <cfRule type="iconSet" priority="236">
      <iconSet iconSet="3TrafficLights2" showValue="0">
        <cfvo type="percent" val="0"/>
        <cfvo type="num" val="0.6"/>
        <cfvo type="num" val="0.8"/>
      </iconSet>
    </cfRule>
  </conditionalFormatting>
  <conditionalFormatting sqref="K17">
    <cfRule type="iconSet" priority="235">
      <iconSet iconSet="5Arrows" showValue="0">
        <cfvo type="percent" val="0"/>
        <cfvo type="num" val="0.6"/>
        <cfvo type="num" val="0.7"/>
        <cfvo type="num" val="0.8"/>
        <cfvo type="num" val="0.9"/>
      </iconSet>
    </cfRule>
  </conditionalFormatting>
  <conditionalFormatting sqref="I17">
    <cfRule type="dataBar" priority="234">
      <dataBar>
        <cfvo type="num" val="0"/>
        <cfvo type="num" val="1.1000000000000001"/>
        <color rgb="FF63C384"/>
      </dataBar>
      <extLst>
        <ext xmlns:x14="http://schemas.microsoft.com/office/spreadsheetml/2009/9/main" uri="{B025F937-C7B1-47D3-B67F-A62EFF666E3E}">
          <x14:id>{F9996B71-F08A-40BC-8D77-899BF90824E0}</x14:id>
        </ext>
      </extLst>
    </cfRule>
  </conditionalFormatting>
  <conditionalFormatting sqref="M17">
    <cfRule type="iconSet" priority="233">
      <iconSet iconSet="3TrafficLights2" showValue="0">
        <cfvo type="percent" val="0"/>
        <cfvo type="num" val="0.6"/>
        <cfvo type="num" val="0.8"/>
      </iconSet>
    </cfRule>
  </conditionalFormatting>
  <conditionalFormatting sqref="N17">
    <cfRule type="iconSet" priority="232">
      <iconSet iconSet="5Arrows" showValue="0">
        <cfvo type="percent" val="0"/>
        <cfvo type="num" val="0.6"/>
        <cfvo type="num" val="0.7"/>
        <cfvo type="num" val="0.8"/>
        <cfvo type="num" val="0.9"/>
      </iconSet>
    </cfRule>
  </conditionalFormatting>
  <conditionalFormatting sqref="L17">
    <cfRule type="dataBar" priority="231">
      <dataBar>
        <cfvo type="num" val="0"/>
        <cfvo type="num" val="1.1000000000000001"/>
        <color rgb="FF63C384"/>
      </dataBar>
      <extLst>
        <ext xmlns:x14="http://schemas.microsoft.com/office/spreadsheetml/2009/9/main" uri="{B025F937-C7B1-47D3-B67F-A62EFF666E3E}">
          <x14:id>{8C85687A-4D22-4099-8DB2-88652B14912C}</x14:id>
        </ext>
      </extLst>
    </cfRule>
  </conditionalFormatting>
  <conditionalFormatting sqref="G18">
    <cfRule type="iconSet" priority="230">
      <iconSet iconSet="3TrafficLights2" showValue="0">
        <cfvo type="percent" val="0"/>
        <cfvo type="num" val="0.6"/>
        <cfvo type="num" val="0.8"/>
      </iconSet>
    </cfRule>
  </conditionalFormatting>
  <conditionalFormatting sqref="H18">
    <cfRule type="iconSet" priority="229">
      <iconSet iconSet="5Arrows" showValue="0">
        <cfvo type="percent" val="0"/>
        <cfvo type="num" val="0.6"/>
        <cfvo type="num" val="0.7"/>
        <cfvo type="num" val="0.8"/>
        <cfvo type="num" val="0.9"/>
      </iconSet>
    </cfRule>
  </conditionalFormatting>
  <conditionalFormatting sqref="F18">
    <cfRule type="dataBar" priority="228">
      <dataBar>
        <cfvo type="num" val="0"/>
        <cfvo type="num" val="1.1000000000000001"/>
        <color rgb="FF63C384"/>
      </dataBar>
      <extLst>
        <ext xmlns:x14="http://schemas.microsoft.com/office/spreadsheetml/2009/9/main" uri="{B025F937-C7B1-47D3-B67F-A62EFF666E3E}">
          <x14:id>{C592FB22-FC49-4065-87E1-5E1C75E91DA3}</x14:id>
        </ext>
      </extLst>
    </cfRule>
  </conditionalFormatting>
  <conditionalFormatting sqref="J18">
    <cfRule type="iconSet" priority="227">
      <iconSet iconSet="3TrafficLights2" showValue="0">
        <cfvo type="percent" val="0"/>
        <cfvo type="num" val="0.6"/>
        <cfvo type="num" val="0.8"/>
      </iconSet>
    </cfRule>
  </conditionalFormatting>
  <conditionalFormatting sqref="K18">
    <cfRule type="iconSet" priority="226">
      <iconSet iconSet="5Arrows" showValue="0">
        <cfvo type="percent" val="0"/>
        <cfvo type="num" val="0.6"/>
        <cfvo type="num" val="0.7"/>
        <cfvo type="num" val="0.8"/>
        <cfvo type="num" val="0.9"/>
      </iconSet>
    </cfRule>
  </conditionalFormatting>
  <conditionalFormatting sqref="I18">
    <cfRule type="dataBar" priority="225">
      <dataBar>
        <cfvo type="num" val="0"/>
        <cfvo type="num" val="1.1000000000000001"/>
        <color rgb="FF63C384"/>
      </dataBar>
      <extLst>
        <ext xmlns:x14="http://schemas.microsoft.com/office/spreadsheetml/2009/9/main" uri="{B025F937-C7B1-47D3-B67F-A62EFF666E3E}">
          <x14:id>{2925FAC5-3E9D-4292-9232-77D98F087C26}</x14:id>
        </ext>
      </extLst>
    </cfRule>
  </conditionalFormatting>
  <conditionalFormatting sqref="M18">
    <cfRule type="iconSet" priority="224">
      <iconSet iconSet="3TrafficLights2" showValue="0">
        <cfvo type="percent" val="0"/>
        <cfvo type="num" val="0.6"/>
        <cfvo type="num" val="0.8"/>
      </iconSet>
    </cfRule>
  </conditionalFormatting>
  <conditionalFormatting sqref="N18">
    <cfRule type="iconSet" priority="223">
      <iconSet iconSet="5Arrows" showValue="0">
        <cfvo type="percent" val="0"/>
        <cfvo type="num" val="0.6"/>
        <cfvo type="num" val="0.7"/>
        <cfvo type="num" val="0.8"/>
        <cfvo type="num" val="0.9"/>
      </iconSet>
    </cfRule>
  </conditionalFormatting>
  <conditionalFormatting sqref="L18">
    <cfRule type="dataBar" priority="222">
      <dataBar>
        <cfvo type="num" val="0"/>
        <cfvo type="num" val="1.1000000000000001"/>
        <color rgb="FF63C384"/>
      </dataBar>
      <extLst>
        <ext xmlns:x14="http://schemas.microsoft.com/office/spreadsheetml/2009/9/main" uri="{B025F937-C7B1-47D3-B67F-A62EFF666E3E}">
          <x14:id>{9C64AF3F-84DB-4D7C-8F47-070144B41CA4}</x14:id>
        </ext>
      </extLst>
    </cfRule>
  </conditionalFormatting>
  <conditionalFormatting sqref="G19">
    <cfRule type="iconSet" priority="221">
      <iconSet iconSet="3TrafficLights2" showValue="0">
        <cfvo type="percent" val="0"/>
        <cfvo type="num" val="0.6"/>
        <cfvo type="num" val="0.8"/>
      </iconSet>
    </cfRule>
  </conditionalFormatting>
  <conditionalFormatting sqref="H19">
    <cfRule type="iconSet" priority="220">
      <iconSet iconSet="5Arrows" showValue="0">
        <cfvo type="percent" val="0"/>
        <cfvo type="num" val="0.6"/>
        <cfvo type="num" val="0.7"/>
        <cfvo type="num" val="0.8"/>
        <cfvo type="num" val="0.9"/>
      </iconSet>
    </cfRule>
  </conditionalFormatting>
  <conditionalFormatting sqref="F19">
    <cfRule type="dataBar" priority="219">
      <dataBar>
        <cfvo type="num" val="0"/>
        <cfvo type="num" val="1.1000000000000001"/>
        <color rgb="FF63C384"/>
      </dataBar>
      <extLst>
        <ext xmlns:x14="http://schemas.microsoft.com/office/spreadsheetml/2009/9/main" uri="{B025F937-C7B1-47D3-B67F-A62EFF666E3E}">
          <x14:id>{85B379C4-7010-4194-949E-8F54164F35ED}</x14:id>
        </ext>
      </extLst>
    </cfRule>
  </conditionalFormatting>
  <conditionalFormatting sqref="J19">
    <cfRule type="iconSet" priority="218">
      <iconSet iconSet="3TrafficLights2" showValue="0">
        <cfvo type="percent" val="0"/>
        <cfvo type="num" val="0.6"/>
        <cfvo type="num" val="0.8"/>
      </iconSet>
    </cfRule>
  </conditionalFormatting>
  <conditionalFormatting sqref="K19">
    <cfRule type="iconSet" priority="217">
      <iconSet iconSet="5Arrows" showValue="0">
        <cfvo type="percent" val="0"/>
        <cfvo type="num" val="0.6"/>
        <cfvo type="num" val="0.7"/>
        <cfvo type="num" val="0.8"/>
        <cfvo type="num" val="0.9"/>
      </iconSet>
    </cfRule>
  </conditionalFormatting>
  <conditionalFormatting sqref="I19">
    <cfRule type="dataBar" priority="216">
      <dataBar>
        <cfvo type="num" val="0"/>
        <cfvo type="num" val="1.1000000000000001"/>
        <color rgb="FF63C384"/>
      </dataBar>
      <extLst>
        <ext xmlns:x14="http://schemas.microsoft.com/office/spreadsheetml/2009/9/main" uri="{B025F937-C7B1-47D3-B67F-A62EFF666E3E}">
          <x14:id>{9375FE6C-4B11-42F8-8624-9924B1C9E460}</x14:id>
        </ext>
      </extLst>
    </cfRule>
  </conditionalFormatting>
  <conditionalFormatting sqref="M19">
    <cfRule type="iconSet" priority="215">
      <iconSet iconSet="3TrafficLights2" showValue="0">
        <cfvo type="percent" val="0"/>
        <cfvo type="num" val="0.6"/>
        <cfvo type="num" val="0.8"/>
      </iconSet>
    </cfRule>
  </conditionalFormatting>
  <conditionalFormatting sqref="N19">
    <cfRule type="iconSet" priority="214">
      <iconSet iconSet="5Arrows" showValue="0">
        <cfvo type="percent" val="0"/>
        <cfvo type="num" val="0.6"/>
        <cfvo type="num" val="0.7"/>
        <cfvo type="num" val="0.8"/>
        <cfvo type="num" val="0.9"/>
      </iconSet>
    </cfRule>
  </conditionalFormatting>
  <conditionalFormatting sqref="L19">
    <cfRule type="dataBar" priority="213">
      <dataBar>
        <cfvo type="num" val="0"/>
        <cfvo type="num" val="1.1000000000000001"/>
        <color rgb="FF63C384"/>
      </dataBar>
      <extLst>
        <ext xmlns:x14="http://schemas.microsoft.com/office/spreadsheetml/2009/9/main" uri="{B025F937-C7B1-47D3-B67F-A62EFF666E3E}">
          <x14:id>{6B043F20-4D07-412E-9DC1-66E7C1D144F8}</x14:id>
        </ext>
      </extLst>
    </cfRule>
  </conditionalFormatting>
  <conditionalFormatting sqref="F21">
    <cfRule type="dataBar" priority="212">
      <dataBar>
        <cfvo type="num" val="0"/>
        <cfvo type="num" val="1.1000000000000001"/>
        <color rgb="FF63C384"/>
      </dataBar>
      <extLst>
        <ext xmlns:x14="http://schemas.microsoft.com/office/spreadsheetml/2009/9/main" uri="{B025F937-C7B1-47D3-B67F-A62EFF666E3E}">
          <x14:id>{9F289604-01B5-469F-98F1-645A4C7AE84E}</x14:id>
        </ext>
      </extLst>
    </cfRule>
  </conditionalFormatting>
  <conditionalFormatting sqref="G21">
    <cfRule type="iconSet" priority="211">
      <iconSet iconSet="3TrafficLights2" showValue="0">
        <cfvo type="percent" val="0"/>
        <cfvo type="num" val="0.6"/>
        <cfvo type="num" val="0.8"/>
      </iconSet>
    </cfRule>
  </conditionalFormatting>
  <conditionalFormatting sqref="H21">
    <cfRule type="iconSet" priority="210">
      <iconSet iconSet="5Arrows" showValue="0">
        <cfvo type="percent" val="0"/>
        <cfvo type="num" val="0.6"/>
        <cfvo type="num" val="0.7"/>
        <cfvo type="num" val="0.8"/>
        <cfvo type="num" val="0.9"/>
      </iconSet>
    </cfRule>
  </conditionalFormatting>
  <conditionalFormatting sqref="J21">
    <cfRule type="iconSet" priority="209">
      <iconSet iconSet="3TrafficLights2" showValue="0">
        <cfvo type="percent" val="0"/>
        <cfvo type="num" val="0.6"/>
        <cfvo type="num" val="0.8"/>
      </iconSet>
    </cfRule>
  </conditionalFormatting>
  <conditionalFormatting sqref="K21">
    <cfRule type="iconSet" priority="208">
      <iconSet iconSet="5Arrows" showValue="0">
        <cfvo type="percent" val="0"/>
        <cfvo type="num" val="0.6"/>
        <cfvo type="num" val="0.7"/>
        <cfvo type="num" val="0.8"/>
        <cfvo type="num" val="0.9"/>
      </iconSet>
    </cfRule>
  </conditionalFormatting>
  <conditionalFormatting sqref="I21">
    <cfRule type="dataBar" priority="207">
      <dataBar>
        <cfvo type="num" val="0"/>
        <cfvo type="num" val="1.1000000000000001"/>
        <color rgb="FF63C384"/>
      </dataBar>
      <extLst>
        <ext xmlns:x14="http://schemas.microsoft.com/office/spreadsheetml/2009/9/main" uri="{B025F937-C7B1-47D3-B67F-A62EFF666E3E}">
          <x14:id>{177B80C6-6660-472F-9C61-C70C78F191FE}</x14:id>
        </ext>
      </extLst>
    </cfRule>
  </conditionalFormatting>
  <conditionalFormatting sqref="M21">
    <cfRule type="iconSet" priority="206">
      <iconSet iconSet="3TrafficLights2" showValue="0">
        <cfvo type="percent" val="0"/>
        <cfvo type="num" val="0.6"/>
        <cfvo type="num" val="0.8"/>
      </iconSet>
    </cfRule>
  </conditionalFormatting>
  <conditionalFormatting sqref="N21">
    <cfRule type="iconSet" priority="205">
      <iconSet iconSet="5Arrows" showValue="0">
        <cfvo type="percent" val="0"/>
        <cfvo type="num" val="0.6"/>
        <cfvo type="num" val="0.7"/>
        <cfvo type="num" val="0.8"/>
        <cfvo type="num" val="0.9"/>
      </iconSet>
    </cfRule>
  </conditionalFormatting>
  <conditionalFormatting sqref="L21">
    <cfRule type="dataBar" priority="204">
      <dataBar>
        <cfvo type="num" val="0"/>
        <cfvo type="num" val="1.1000000000000001"/>
        <color rgb="FF63C384"/>
      </dataBar>
      <extLst>
        <ext xmlns:x14="http://schemas.microsoft.com/office/spreadsheetml/2009/9/main" uri="{B025F937-C7B1-47D3-B67F-A62EFF666E3E}">
          <x14:id>{6787DA30-3535-4DD5-ADA7-6A3B6D4B32CE}</x14:id>
        </ext>
      </extLst>
    </cfRule>
  </conditionalFormatting>
  <conditionalFormatting sqref="F22">
    <cfRule type="dataBar" priority="203">
      <dataBar>
        <cfvo type="num" val="0"/>
        <cfvo type="num" val="1.1000000000000001"/>
        <color rgb="FF63C384"/>
      </dataBar>
      <extLst>
        <ext xmlns:x14="http://schemas.microsoft.com/office/spreadsheetml/2009/9/main" uri="{B025F937-C7B1-47D3-B67F-A62EFF666E3E}">
          <x14:id>{15A17EF1-9D61-4408-B875-C16D335DEC2D}</x14:id>
        </ext>
      </extLst>
    </cfRule>
  </conditionalFormatting>
  <conditionalFormatting sqref="G22">
    <cfRule type="iconSet" priority="202">
      <iconSet iconSet="3TrafficLights2" showValue="0">
        <cfvo type="percent" val="0"/>
        <cfvo type="num" val="0.6"/>
        <cfvo type="num" val="0.8"/>
      </iconSet>
    </cfRule>
  </conditionalFormatting>
  <conditionalFormatting sqref="H22">
    <cfRule type="iconSet" priority="201">
      <iconSet iconSet="5Arrows" showValue="0">
        <cfvo type="percent" val="0"/>
        <cfvo type="num" val="0.6"/>
        <cfvo type="num" val="0.7"/>
        <cfvo type="num" val="0.8"/>
        <cfvo type="num" val="0.9"/>
      </iconSet>
    </cfRule>
  </conditionalFormatting>
  <conditionalFormatting sqref="J22">
    <cfRule type="iconSet" priority="200">
      <iconSet iconSet="3TrafficLights2" showValue="0">
        <cfvo type="percent" val="0"/>
        <cfvo type="num" val="0.6"/>
        <cfvo type="num" val="0.8"/>
      </iconSet>
    </cfRule>
  </conditionalFormatting>
  <conditionalFormatting sqref="K22">
    <cfRule type="iconSet" priority="199">
      <iconSet iconSet="5Arrows" showValue="0">
        <cfvo type="percent" val="0"/>
        <cfvo type="num" val="0.6"/>
        <cfvo type="num" val="0.7"/>
        <cfvo type="num" val="0.8"/>
        <cfvo type="num" val="0.9"/>
      </iconSet>
    </cfRule>
  </conditionalFormatting>
  <conditionalFormatting sqref="I22">
    <cfRule type="dataBar" priority="198">
      <dataBar>
        <cfvo type="num" val="0"/>
        <cfvo type="num" val="1.1000000000000001"/>
        <color rgb="FF63C384"/>
      </dataBar>
      <extLst>
        <ext xmlns:x14="http://schemas.microsoft.com/office/spreadsheetml/2009/9/main" uri="{B025F937-C7B1-47D3-B67F-A62EFF666E3E}">
          <x14:id>{16DA3FAB-72AE-40FD-AFE6-BE781D1D3F3D}</x14:id>
        </ext>
      </extLst>
    </cfRule>
  </conditionalFormatting>
  <conditionalFormatting sqref="M22">
    <cfRule type="iconSet" priority="197">
      <iconSet iconSet="3TrafficLights2" showValue="0">
        <cfvo type="percent" val="0"/>
        <cfvo type="num" val="0.6"/>
        <cfvo type="num" val="0.8"/>
      </iconSet>
    </cfRule>
  </conditionalFormatting>
  <conditionalFormatting sqref="N22">
    <cfRule type="iconSet" priority="196">
      <iconSet iconSet="5Arrows" showValue="0">
        <cfvo type="percent" val="0"/>
        <cfvo type="num" val="0.6"/>
        <cfvo type="num" val="0.7"/>
        <cfvo type="num" val="0.8"/>
        <cfvo type="num" val="0.9"/>
      </iconSet>
    </cfRule>
  </conditionalFormatting>
  <conditionalFormatting sqref="L22">
    <cfRule type="dataBar" priority="195">
      <dataBar>
        <cfvo type="num" val="0"/>
        <cfvo type="num" val="1.1000000000000001"/>
        <color rgb="FF63C384"/>
      </dataBar>
      <extLst>
        <ext xmlns:x14="http://schemas.microsoft.com/office/spreadsheetml/2009/9/main" uri="{B025F937-C7B1-47D3-B67F-A62EFF666E3E}">
          <x14:id>{A85C0626-5644-4849-B1EA-0469B72E3D89}</x14:id>
        </ext>
      </extLst>
    </cfRule>
  </conditionalFormatting>
  <conditionalFormatting sqref="G26">
    <cfRule type="iconSet" priority="194">
      <iconSet iconSet="3TrafficLights2" showValue="0">
        <cfvo type="percent" val="0"/>
        <cfvo type="num" val="0.6"/>
        <cfvo type="num" val="0.8"/>
      </iconSet>
    </cfRule>
  </conditionalFormatting>
  <conditionalFormatting sqref="H26">
    <cfRule type="iconSet" priority="193">
      <iconSet iconSet="5Arrows" showValue="0">
        <cfvo type="percent" val="0"/>
        <cfvo type="num" val="0.6"/>
        <cfvo type="num" val="0.7"/>
        <cfvo type="num" val="0.8"/>
        <cfvo type="num" val="0.9"/>
      </iconSet>
    </cfRule>
  </conditionalFormatting>
  <conditionalFormatting sqref="F26">
    <cfRule type="dataBar" priority="192">
      <dataBar>
        <cfvo type="num" val="0"/>
        <cfvo type="num" val="1.1000000000000001"/>
        <color rgb="FF63C384"/>
      </dataBar>
      <extLst>
        <ext xmlns:x14="http://schemas.microsoft.com/office/spreadsheetml/2009/9/main" uri="{B025F937-C7B1-47D3-B67F-A62EFF666E3E}">
          <x14:id>{A8D53FD0-0688-4600-9B4F-B75735F44371}</x14:id>
        </ext>
      </extLst>
    </cfRule>
  </conditionalFormatting>
  <conditionalFormatting sqref="J26">
    <cfRule type="iconSet" priority="191">
      <iconSet iconSet="3TrafficLights2" showValue="0">
        <cfvo type="percent" val="0"/>
        <cfvo type="num" val="0.6"/>
        <cfvo type="num" val="0.8"/>
      </iconSet>
    </cfRule>
  </conditionalFormatting>
  <conditionalFormatting sqref="K26">
    <cfRule type="iconSet" priority="190">
      <iconSet iconSet="5Arrows" showValue="0">
        <cfvo type="percent" val="0"/>
        <cfvo type="num" val="0.6"/>
        <cfvo type="num" val="0.7"/>
        <cfvo type="num" val="0.8"/>
        <cfvo type="num" val="0.9"/>
      </iconSet>
    </cfRule>
  </conditionalFormatting>
  <conditionalFormatting sqref="I26">
    <cfRule type="dataBar" priority="189">
      <dataBar>
        <cfvo type="num" val="0"/>
        <cfvo type="num" val="1.1000000000000001"/>
        <color rgb="FF63C384"/>
      </dataBar>
      <extLst>
        <ext xmlns:x14="http://schemas.microsoft.com/office/spreadsheetml/2009/9/main" uri="{B025F937-C7B1-47D3-B67F-A62EFF666E3E}">
          <x14:id>{B08F70F5-3D09-4FBC-AEA8-A9B5DB9E8748}</x14:id>
        </ext>
      </extLst>
    </cfRule>
  </conditionalFormatting>
  <conditionalFormatting sqref="M26">
    <cfRule type="iconSet" priority="188">
      <iconSet iconSet="3TrafficLights2" showValue="0">
        <cfvo type="percent" val="0"/>
        <cfvo type="num" val="0.6"/>
        <cfvo type="num" val="0.8"/>
      </iconSet>
    </cfRule>
  </conditionalFormatting>
  <conditionalFormatting sqref="N26">
    <cfRule type="iconSet" priority="187">
      <iconSet iconSet="5Arrows" showValue="0">
        <cfvo type="percent" val="0"/>
        <cfvo type="num" val="0.6"/>
        <cfvo type="num" val="0.7"/>
        <cfvo type="num" val="0.8"/>
        <cfvo type="num" val="0.9"/>
      </iconSet>
    </cfRule>
  </conditionalFormatting>
  <conditionalFormatting sqref="L26">
    <cfRule type="dataBar" priority="186">
      <dataBar>
        <cfvo type="num" val="0"/>
        <cfvo type="num" val="1.1000000000000001"/>
        <color rgb="FF63C384"/>
      </dataBar>
      <extLst>
        <ext xmlns:x14="http://schemas.microsoft.com/office/spreadsheetml/2009/9/main" uri="{B025F937-C7B1-47D3-B67F-A62EFF666E3E}">
          <x14:id>{4E69ADCE-589B-4F23-B22C-55853965CC71}</x14:id>
        </ext>
      </extLst>
    </cfRule>
  </conditionalFormatting>
  <conditionalFormatting sqref="G27">
    <cfRule type="iconSet" priority="185">
      <iconSet iconSet="3TrafficLights2" showValue="0">
        <cfvo type="percent" val="0"/>
        <cfvo type="num" val="0.6"/>
        <cfvo type="num" val="0.8"/>
      </iconSet>
    </cfRule>
  </conditionalFormatting>
  <conditionalFormatting sqref="H27">
    <cfRule type="iconSet" priority="184">
      <iconSet iconSet="5Arrows" showValue="0">
        <cfvo type="percent" val="0"/>
        <cfvo type="num" val="0.6"/>
        <cfvo type="num" val="0.7"/>
        <cfvo type="num" val="0.8"/>
        <cfvo type="num" val="0.9"/>
      </iconSet>
    </cfRule>
  </conditionalFormatting>
  <conditionalFormatting sqref="F27">
    <cfRule type="dataBar" priority="183">
      <dataBar>
        <cfvo type="num" val="0"/>
        <cfvo type="num" val="1.1000000000000001"/>
        <color rgb="FF63C384"/>
      </dataBar>
      <extLst>
        <ext xmlns:x14="http://schemas.microsoft.com/office/spreadsheetml/2009/9/main" uri="{B025F937-C7B1-47D3-B67F-A62EFF666E3E}">
          <x14:id>{D890ACFE-49A1-4EB9-9A6E-7EABC9D13AE6}</x14:id>
        </ext>
      </extLst>
    </cfRule>
  </conditionalFormatting>
  <conditionalFormatting sqref="J27">
    <cfRule type="iconSet" priority="182">
      <iconSet iconSet="3TrafficLights2" showValue="0">
        <cfvo type="percent" val="0"/>
        <cfvo type="num" val="0.6"/>
        <cfvo type="num" val="0.8"/>
      </iconSet>
    </cfRule>
  </conditionalFormatting>
  <conditionalFormatting sqref="K27">
    <cfRule type="iconSet" priority="181">
      <iconSet iconSet="5Arrows" showValue="0">
        <cfvo type="percent" val="0"/>
        <cfvo type="num" val="0.6"/>
        <cfvo type="num" val="0.7"/>
        <cfvo type="num" val="0.8"/>
        <cfvo type="num" val="0.9"/>
      </iconSet>
    </cfRule>
  </conditionalFormatting>
  <conditionalFormatting sqref="I27">
    <cfRule type="dataBar" priority="180">
      <dataBar>
        <cfvo type="num" val="0"/>
        <cfvo type="num" val="1.1000000000000001"/>
        <color rgb="FF63C384"/>
      </dataBar>
      <extLst>
        <ext xmlns:x14="http://schemas.microsoft.com/office/spreadsheetml/2009/9/main" uri="{B025F937-C7B1-47D3-B67F-A62EFF666E3E}">
          <x14:id>{027B8A89-0319-4F3E-ADFB-154A3A37134A}</x14:id>
        </ext>
      </extLst>
    </cfRule>
  </conditionalFormatting>
  <conditionalFormatting sqref="M27">
    <cfRule type="iconSet" priority="179">
      <iconSet iconSet="3TrafficLights2" showValue="0">
        <cfvo type="percent" val="0"/>
        <cfvo type="num" val="0.6"/>
        <cfvo type="num" val="0.8"/>
      </iconSet>
    </cfRule>
  </conditionalFormatting>
  <conditionalFormatting sqref="N27">
    <cfRule type="iconSet" priority="178">
      <iconSet iconSet="5Arrows" showValue="0">
        <cfvo type="percent" val="0"/>
        <cfvo type="num" val="0.6"/>
        <cfvo type="num" val="0.7"/>
        <cfvo type="num" val="0.8"/>
        <cfvo type="num" val="0.9"/>
      </iconSet>
    </cfRule>
  </conditionalFormatting>
  <conditionalFormatting sqref="L27">
    <cfRule type="dataBar" priority="177">
      <dataBar>
        <cfvo type="num" val="0"/>
        <cfvo type="num" val="1.1000000000000001"/>
        <color rgb="FF63C384"/>
      </dataBar>
      <extLst>
        <ext xmlns:x14="http://schemas.microsoft.com/office/spreadsheetml/2009/9/main" uri="{B025F937-C7B1-47D3-B67F-A62EFF666E3E}">
          <x14:id>{5E2D8DC2-1D62-4A04-8688-050C3DF52C58}</x14:id>
        </ext>
      </extLst>
    </cfRule>
  </conditionalFormatting>
  <conditionalFormatting sqref="G28">
    <cfRule type="iconSet" priority="176">
      <iconSet iconSet="3TrafficLights2" showValue="0">
        <cfvo type="percent" val="0"/>
        <cfvo type="num" val="0.6"/>
        <cfvo type="num" val="0.8"/>
      </iconSet>
    </cfRule>
  </conditionalFormatting>
  <conditionalFormatting sqref="H28">
    <cfRule type="iconSet" priority="175">
      <iconSet iconSet="5Arrows" showValue="0">
        <cfvo type="percent" val="0"/>
        <cfvo type="num" val="0.6"/>
        <cfvo type="num" val="0.7"/>
        <cfvo type="num" val="0.8"/>
        <cfvo type="num" val="0.9"/>
      </iconSet>
    </cfRule>
  </conditionalFormatting>
  <conditionalFormatting sqref="F28">
    <cfRule type="dataBar" priority="174">
      <dataBar>
        <cfvo type="num" val="0"/>
        <cfvo type="num" val="1.1000000000000001"/>
        <color rgb="FF63C384"/>
      </dataBar>
      <extLst>
        <ext xmlns:x14="http://schemas.microsoft.com/office/spreadsheetml/2009/9/main" uri="{B025F937-C7B1-47D3-B67F-A62EFF666E3E}">
          <x14:id>{F572B8B4-555C-4EF0-B770-B8EA057592DA}</x14:id>
        </ext>
      </extLst>
    </cfRule>
  </conditionalFormatting>
  <conditionalFormatting sqref="J28">
    <cfRule type="iconSet" priority="173">
      <iconSet iconSet="3TrafficLights2" showValue="0">
        <cfvo type="percent" val="0"/>
        <cfvo type="num" val="0.6"/>
        <cfvo type="num" val="0.8"/>
      </iconSet>
    </cfRule>
  </conditionalFormatting>
  <conditionalFormatting sqref="K28">
    <cfRule type="iconSet" priority="172">
      <iconSet iconSet="5Arrows" showValue="0">
        <cfvo type="percent" val="0"/>
        <cfvo type="num" val="0.6"/>
        <cfvo type="num" val="0.7"/>
        <cfvo type="num" val="0.8"/>
        <cfvo type="num" val="0.9"/>
      </iconSet>
    </cfRule>
  </conditionalFormatting>
  <conditionalFormatting sqref="I28">
    <cfRule type="dataBar" priority="171">
      <dataBar>
        <cfvo type="num" val="0"/>
        <cfvo type="num" val="1.1000000000000001"/>
        <color rgb="FF63C384"/>
      </dataBar>
      <extLst>
        <ext xmlns:x14="http://schemas.microsoft.com/office/spreadsheetml/2009/9/main" uri="{B025F937-C7B1-47D3-B67F-A62EFF666E3E}">
          <x14:id>{2760E459-0F85-4ECB-90B9-B494B5DCAC18}</x14:id>
        </ext>
      </extLst>
    </cfRule>
  </conditionalFormatting>
  <conditionalFormatting sqref="M28">
    <cfRule type="iconSet" priority="170">
      <iconSet iconSet="3TrafficLights2" showValue="0">
        <cfvo type="percent" val="0"/>
        <cfvo type="num" val="0.6"/>
        <cfvo type="num" val="0.8"/>
      </iconSet>
    </cfRule>
  </conditionalFormatting>
  <conditionalFormatting sqref="N28">
    <cfRule type="iconSet" priority="169">
      <iconSet iconSet="5Arrows" showValue="0">
        <cfvo type="percent" val="0"/>
        <cfvo type="num" val="0.6"/>
        <cfvo type="num" val="0.7"/>
        <cfvo type="num" val="0.8"/>
        <cfvo type="num" val="0.9"/>
      </iconSet>
    </cfRule>
  </conditionalFormatting>
  <conditionalFormatting sqref="L28">
    <cfRule type="dataBar" priority="168">
      <dataBar>
        <cfvo type="num" val="0"/>
        <cfvo type="num" val="1.1000000000000001"/>
        <color rgb="FF63C384"/>
      </dataBar>
      <extLst>
        <ext xmlns:x14="http://schemas.microsoft.com/office/spreadsheetml/2009/9/main" uri="{B025F937-C7B1-47D3-B67F-A62EFF666E3E}">
          <x14:id>{0B6D7745-4EAF-4495-91B3-961758DF360D}</x14:id>
        </ext>
      </extLst>
    </cfRule>
  </conditionalFormatting>
  <conditionalFormatting sqref="G29:G31">
    <cfRule type="iconSet" priority="167">
      <iconSet iconSet="3TrafficLights2" showValue="0">
        <cfvo type="percent" val="0"/>
        <cfvo type="num" val="0.6"/>
        <cfvo type="num" val="0.8"/>
      </iconSet>
    </cfRule>
  </conditionalFormatting>
  <conditionalFormatting sqref="H29:H31">
    <cfRule type="iconSet" priority="166">
      <iconSet iconSet="5Arrows" showValue="0">
        <cfvo type="percent" val="0"/>
        <cfvo type="num" val="0.6"/>
        <cfvo type="num" val="0.7"/>
        <cfvo type="num" val="0.8"/>
        <cfvo type="num" val="0.9"/>
      </iconSet>
    </cfRule>
  </conditionalFormatting>
  <conditionalFormatting sqref="F29:F31">
    <cfRule type="dataBar" priority="165">
      <dataBar>
        <cfvo type="num" val="0"/>
        <cfvo type="num" val="1.1000000000000001"/>
        <color rgb="FF63C384"/>
      </dataBar>
      <extLst>
        <ext xmlns:x14="http://schemas.microsoft.com/office/spreadsheetml/2009/9/main" uri="{B025F937-C7B1-47D3-B67F-A62EFF666E3E}">
          <x14:id>{1430655F-C325-4DFB-8D0A-EAB138C219E7}</x14:id>
        </ext>
      </extLst>
    </cfRule>
  </conditionalFormatting>
  <conditionalFormatting sqref="J29:J30">
    <cfRule type="iconSet" priority="164">
      <iconSet iconSet="3TrafficLights2" showValue="0">
        <cfvo type="percent" val="0"/>
        <cfvo type="num" val="0.6"/>
        <cfvo type="num" val="0.8"/>
      </iconSet>
    </cfRule>
  </conditionalFormatting>
  <conditionalFormatting sqref="K29:K30">
    <cfRule type="iconSet" priority="163">
      <iconSet iconSet="5Arrows" showValue="0">
        <cfvo type="percent" val="0"/>
        <cfvo type="num" val="0.6"/>
        <cfvo type="num" val="0.7"/>
        <cfvo type="num" val="0.8"/>
        <cfvo type="num" val="0.9"/>
      </iconSet>
    </cfRule>
  </conditionalFormatting>
  <conditionalFormatting sqref="I29:I31">
    <cfRule type="dataBar" priority="162">
      <dataBar>
        <cfvo type="num" val="0"/>
        <cfvo type="num" val="1.1000000000000001"/>
        <color rgb="FF63C384"/>
      </dataBar>
      <extLst>
        <ext xmlns:x14="http://schemas.microsoft.com/office/spreadsheetml/2009/9/main" uri="{B025F937-C7B1-47D3-B67F-A62EFF666E3E}">
          <x14:id>{E77A3214-B4FD-494D-8E2B-2286BAC61F58}</x14:id>
        </ext>
      </extLst>
    </cfRule>
  </conditionalFormatting>
  <conditionalFormatting sqref="M29:M30">
    <cfRule type="iconSet" priority="161">
      <iconSet iconSet="3TrafficLights2" showValue="0">
        <cfvo type="percent" val="0"/>
        <cfvo type="num" val="0.6"/>
        <cfvo type="num" val="0.8"/>
      </iconSet>
    </cfRule>
  </conditionalFormatting>
  <conditionalFormatting sqref="N29:N30">
    <cfRule type="iconSet" priority="160">
      <iconSet iconSet="5Arrows" showValue="0">
        <cfvo type="percent" val="0"/>
        <cfvo type="num" val="0.6"/>
        <cfvo type="num" val="0.7"/>
        <cfvo type="num" val="0.8"/>
        <cfvo type="num" val="0.9"/>
      </iconSet>
    </cfRule>
  </conditionalFormatting>
  <conditionalFormatting sqref="L29:L30">
    <cfRule type="dataBar" priority="159">
      <dataBar>
        <cfvo type="num" val="0"/>
        <cfvo type="num" val="1.1000000000000001"/>
        <color rgb="FF63C384"/>
      </dataBar>
      <extLst>
        <ext xmlns:x14="http://schemas.microsoft.com/office/spreadsheetml/2009/9/main" uri="{B025F937-C7B1-47D3-B67F-A62EFF666E3E}">
          <x14:id>{6B92E8B8-823C-47D0-9ABB-833A982CA80A}</x14:id>
        </ext>
      </extLst>
    </cfRule>
  </conditionalFormatting>
  <conditionalFormatting sqref="G32">
    <cfRule type="iconSet" priority="158">
      <iconSet iconSet="3TrafficLights2" showValue="0">
        <cfvo type="percent" val="0"/>
        <cfvo type="num" val="0.6"/>
        <cfvo type="num" val="0.8"/>
      </iconSet>
    </cfRule>
  </conditionalFormatting>
  <conditionalFormatting sqref="H32">
    <cfRule type="iconSet" priority="157">
      <iconSet iconSet="5Arrows" showValue="0">
        <cfvo type="percent" val="0"/>
        <cfvo type="num" val="0.6"/>
        <cfvo type="num" val="0.7"/>
        <cfvo type="num" val="0.8"/>
        <cfvo type="num" val="0.9"/>
      </iconSet>
    </cfRule>
  </conditionalFormatting>
  <conditionalFormatting sqref="F32">
    <cfRule type="dataBar" priority="156">
      <dataBar>
        <cfvo type="num" val="0"/>
        <cfvo type="num" val="1.1000000000000001"/>
        <color rgb="FF63C384"/>
      </dataBar>
      <extLst>
        <ext xmlns:x14="http://schemas.microsoft.com/office/spreadsheetml/2009/9/main" uri="{B025F937-C7B1-47D3-B67F-A62EFF666E3E}">
          <x14:id>{E70AAA2E-8ED5-4028-8E2C-E553865E6C70}</x14:id>
        </ext>
      </extLst>
    </cfRule>
  </conditionalFormatting>
  <conditionalFormatting sqref="J32">
    <cfRule type="iconSet" priority="155">
      <iconSet iconSet="3TrafficLights2" showValue="0">
        <cfvo type="percent" val="0"/>
        <cfvo type="num" val="0.6"/>
        <cfvo type="num" val="0.8"/>
      </iconSet>
    </cfRule>
  </conditionalFormatting>
  <conditionalFormatting sqref="K32">
    <cfRule type="iconSet" priority="154">
      <iconSet iconSet="5Arrows" showValue="0">
        <cfvo type="percent" val="0"/>
        <cfvo type="num" val="0.6"/>
        <cfvo type="num" val="0.7"/>
        <cfvo type="num" val="0.8"/>
        <cfvo type="num" val="0.9"/>
      </iconSet>
    </cfRule>
  </conditionalFormatting>
  <conditionalFormatting sqref="I32">
    <cfRule type="dataBar" priority="153">
      <dataBar>
        <cfvo type="num" val="0"/>
        <cfvo type="num" val="1.1000000000000001"/>
        <color rgb="FF63C384"/>
      </dataBar>
      <extLst>
        <ext xmlns:x14="http://schemas.microsoft.com/office/spreadsheetml/2009/9/main" uri="{B025F937-C7B1-47D3-B67F-A62EFF666E3E}">
          <x14:id>{0F57053B-B5B2-4493-9833-92B8BA06DD07}</x14:id>
        </ext>
      </extLst>
    </cfRule>
  </conditionalFormatting>
  <conditionalFormatting sqref="M32">
    <cfRule type="iconSet" priority="152">
      <iconSet iconSet="3TrafficLights2" showValue="0">
        <cfvo type="percent" val="0"/>
        <cfvo type="num" val="0.6"/>
        <cfvo type="num" val="0.8"/>
      </iconSet>
    </cfRule>
  </conditionalFormatting>
  <conditionalFormatting sqref="N32">
    <cfRule type="iconSet" priority="151">
      <iconSet iconSet="5Arrows" showValue="0">
        <cfvo type="percent" val="0"/>
        <cfvo type="num" val="0.6"/>
        <cfvo type="num" val="0.7"/>
        <cfvo type="num" val="0.8"/>
        <cfvo type="num" val="0.9"/>
      </iconSet>
    </cfRule>
  </conditionalFormatting>
  <conditionalFormatting sqref="L32">
    <cfRule type="dataBar" priority="150">
      <dataBar>
        <cfvo type="num" val="0"/>
        <cfvo type="num" val="1.1000000000000001"/>
        <color rgb="FF63C384"/>
      </dataBar>
      <extLst>
        <ext xmlns:x14="http://schemas.microsoft.com/office/spreadsheetml/2009/9/main" uri="{B025F937-C7B1-47D3-B67F-A62EFF666E3E}">
          <x14:id>{E473708A-806F-4F59-AE75-DE500CDAAA2F}</x14:id>
        </ext>
      </extLst>
    </cfRule>
  </conditionalFormatting>
  <conditionalFormatting sqref="F34">
    <cfRule type="dataBar" priority="149">
      <dataBar>
        <cfvo type="num" val="0"/>
        <cfvo type="num" val="1.1000000000000001"/>
        <color rgb="FF63C384"/>
      </dataBar>
      <extLst>
        <ext xmlns:x14="http://schemas.microsoft.com/office/spreadsheetml/2009/9/main" uri="{B025F937-C7B1-47D3-B67F-A62EFF666E3E}">
          <x14:id>{B2CE2B16-62F5-41DD-8D18-6BF9874DC7E1}</x14:id>
        </ext>
      </extLst>
    </cfRule>
  </conditionalFormatting>
  <conditionalFormatting sqref="G34">
    <cfRule type="iconSet" priority="148">
      <iconSet iconSet="3TrafficLights2" showValue="0">
        <cfvo type="percent" val="0"/>
        <cfvo type="num" val="0.6"/>
        <cfvo type="num" val="0.8"/>
      </iconSet>
    </cfRule>
  </conditionalFormatting>
  <conditionalFormatting sqref="H34">
    <cfRule type="iconSet" priority="147">
      <iconSet iconSet="5Arrows" showValue="0">
        <cfvo type="percent" val="0"/>
        <cfvo type="num" val="0.6"/>
        <cfvo type="num" val="0.7"/>
        <cfvo type="num" val="0.8"/>
        <cfvo type="num" val="0.9"/>
      </iconSet>
    </cfRule>
  </conditionalFormatting>
  <conditionalFormatting sqref="J34">
    <cfRule type="iconSet" priority="146">
      <iconSet iconSet="3TrafficLights2" showValue="0">
        <cfvo type="percent" val="0"/>
        <cfvo type="num" val="0.6"/>
        <cfvo type="num" val="0.8"/>
      </iconSet>
    </cfRule>
  </conditionalFormatting>
  <conditionalFormatting sqref="K34">
    <cfRule type="iconSet" priority="145">
      <iconSet iconSet="5Arrows" showValue="0">
        <cfvo type="percent" val="0"/>
        <cfvo type="num" val="0.6"/>
        <cfvo type="num" val="0.7"/>
        <cfvo type="num" val="0.8"/>
        <cfvo type="num" val="0.9"/>
      </iconSet>
    </cfRule>
  </conditionalFormatting>
  <conditionalFormatting sqref="I34">
    <cfRule type="dataBar" priority="144">
      <dataBar>
        <cfvo type="num" val="0"/>
        <cfvo type="num" val="1.1000000000000001"/>
        <color rgb="FF63C384"/>
      </dataBar>
      <extLst>
        <ext xmlns:x14="http://schemas.microsoft.com/office/spreadsheetml/2009/9/main" uri="{B025F937-C7B1-47D3-B67F-A62EFF666E3E}">
          <x14:id>{409052F7-67B4-4BA4-9384-4E9501E78AC3}</x14:id>
        </ext>
      </extLst>
    </cfRule>
  </conditionalFormatting>
  <conditionalFormatting sqref="M34">
    <cfRule type="iconSet" priority="143">
      <iconSet iconSet="3TrafficLights2" showValue="0">
        <cfvo type="percent" val="0"/>
        <cfvo type="num" val="0.6"/>
        <cfvo type="num" val="0.8"/>
      </iconSet>
    </cfRule>
  </conditionalFormatting>
  <conditionalFormatting sqref="N34">
    <cfRule type="iconSet" priority="142">
      <iconSet iconSet="5Arrows" showValue="0">
        <cfvo type="percent" val="0"/>
        <cfvo type="num" val="0.6"/>
        <cfvo type="num" val="0.7"/>
        <cfvo type="num" val="0.8"/>
        <cfvo type="num" val="0.9"/>
      </iconSet>
    </cfRule>
  </conditionalFormatting>
  <conditionalFormatting sqref="L34">
    <cfRule type="dataBar" priority="141">
      <dataBar>
        <cfvo type="num" val="0"/>
        <cfvo type="num" val="1.1000000000000001"/>
        <color rgb="FF63C384"/>
      </dataBar>
      <extLst>
        <ext xmlns:x14="http://schemas.microsoft.com/office/spreadsheetml/2009/9/main" uri="{B025F937-C7B1-47D3-B67F-A62EFF666E3E}">
          <x14:id>{76C217DB-7BF5-4148-BE3A-CE58764B3945}</x14:id>
        </ext>
      </extLst>
    </cfRule>
  </conditionalFormatting>
  <conditionalFormatting sqref="F35">
    <cfRule type="dataBar" priority="140">
      <dataBar>
        <cfvo type="num" val="0"/>
        <cfvo type="num" val="1.1000000000000001"/>
        <color rgb="FF63C384"/>
      </dataBar>
      <extLst>
        <ext xmlns:x14="http://schemas.microsoft.com/office/spreadsheetml/2009/9/main" uri="{B025F937-C7B1-47D3-B67F-A62EFF666E3E}">
          <x14:id>{9F3E1FD9-8676-4A04-9509-02963451D131}</x14:id>
        </ext>
      </extLst>
    </cfRule>
  </conditionalFormatting>
  <conditionalFormatting sqref="G35">
    <cfRule type="iconSet" priority="139">
      <iconSet iconSet="3TrafficLights2" showValue="0">
        <cfvo type="percent" val="0"/>
        <cfvo type="num" val="0.6"/>
        <cfvo type="num" val="0.8"/>
      </iconSet>
    </cfRule>
  </conditionalFormatting>
  <conditionalFormatting sqref="H35">
    <cfRule type="iconSet" priority="138">
      <iconSet iconSet="5Arrows" showValue="0">
        <cfvo type="percent" val="0"/>
        <cfvo type="num" val="0.6"/>
        <cfvo type="num" val="0.7"/>
        <cfvo type="num" val="0.8"/>
        <cfvo type="num" val="0.9"/>
      </iconSet>
    </cfRule>
  </conditionalFormatting>
  <conditionalFormatting sqref="J35">
    <cfRule type="iconSet" priority="137">
      <iconSet iconSet="3TrafficLights2" showValue="0">
        <cfvo type="percent" val="0"/>
        <cfvo type="num" val="0.6"/>
        <cfvo type="num" val="0.8"/>
      </iconSet>
    </cfRule>
  </conditionalFormatting>
  <conditionalFormatting sqref="K35">
    <cfRule type="iconSet" priority="136">
      <iconSet iconSet="5Arrows" showValue="0">
        <cfvo type="percent" val="0"/>
        <cfvo type="num" val="0.6"/>
        <cfvo type="num" val="0.7"/>
        <cfvo type="num" val="0.8"/>
        <cfvo type="num" val="0.9"/>
      </iconSet>
    </cfRule>
  </conditionalFormatting>
  <conditionalFormatting sqref="I35">
    <cfRule type="dataBar" priority="135">
      <dataBar>
        <cfvo type="num" val="0"/>
        <cfvo type="num" val="1.1000000000000001"/>
        <color rgb="FF63C384"/>
      </dataBar>
      <extLst>
        <ext xmlns:x14="http://schemas.microsoft.com/office/spreadsheetml/2009/9/main" uri="{B025F937-C7B1-47D3-B67F-A62EFF666E3E}">
          <x14:id>{CF506E69-136B-45D8-8DE2-B01F70110566}</x14:id>
        </ext>
      </extLst>
    </cfRule>
  </conditionalFormatting>
  <conditionalFormatting sqref="M35">
    <cfRule type="iconSet" priority="134">
      <iconSet iconSet="3TrafficLights2" showValue="0">
        <cfvo type="percent" val="0"/>
        <cfvo type="num" val="0.6"/>
        <cfvo type="num" val="0.8"/>
      </iconSet>
    </cfRule>
  </conditionalFormatting>
  <conditionalFormatting sqref="N35">
    <cfRule type="iconSet" priority="133">
      <iconSet iconSet="5Arrows" showValue="0">
        <cfvo type="percent" val="0"/>
        <cfvo type="num" val="0.6"/>
        <cfvo type="num" val="0.7"/>
        <cfvo type="num" val="0.8"/>
        <cfvo type="num" val="0.9"/>
      </iconSet>
    </cfRule>
  </conditionalFormatting>
  <conditionalFormatting sqref="L35">
    <cfRule type="dataBar" priority="132">
      <dataBar>
        <cfvo type="num" val="0"/>
        <cfvo type="num" val="1.1000000000000001"/>
        <color rgb="FF63C384"/>
      </dataBar>
      <extLst>
        <ext xmlns:x14="http://schemas.microsoft.com/office/spreadsheetml/2009/9/main" uri="{B025F937-C7B1-47D3-B67F-A62EFF666E3E}">
          <x14:id>{01BBA2F7-21E5-406A-AC91-533B1D8B39FE}</x14:id>
        </ext>
      </extLst>
    </cfRule>
  </conditionalFormatting>
  <conditionalFormatting sqref="G39">
    <cfRule type="iconSet" priority="131">
      <iconSet iconSet="3TrafficLights2" showValue="0">
        <cfvo type="percent" val="0"/>
        <cfvo type="num" val="0.6"/>
        <cfvo type="num" val="0.8"/>
      </iconSet>
    </cfRule>
  </conditionalFormatting>
  <conditionalFormatting sqref="H39">
    <cfRule type="iconSet" priority="130">
      <iconSet iconSet="5Arrows" showValue="0">
        <cfvo type="percent" val="0"/>
        <cfvo type="num" val="0.6"/>
        <cfvo type="num" val="0.7"/>
        <cfvo type="num" val="0.8"/>
        <cfvo type="num" val="0.9"/>
      </iconSet>
    </cfRule>
  </conditionalFormatting>
  <conditionalFormatting sqref="F39">
    <cfRule type="dataBar" priority="129">
      <dataBar>
        <cfvo type="num" val="0"/>
        <cfvo type="num" val="1.1000000000000001"/>
        <color rgb="FF63C384"/>
      </dataBar>
      <extLst>
        <ext xmlns:x14="http://schemas.microsoft.com/office/spreadsheetml/2009/9/main" uri="{B025F937-C7B1-47D3-B67F-A62EFF666E3E}">
          <x14:id>{EE1B2F2B-E665-47AC-A4A2-CB5B56EDBD08}</x14:id>
        </ext>
      </extLst>
    </cfRule>
  </conditionalFormatting>
  <conditionalFormatting sqref="J39">
    <cfRule type="iconSet" priority="128">
      <iconSet iconSet="3TrafficLights2" showValue="0">
        <cfvo type="percent" val="0"/>
        <cfvo type="num" val="0.6"/>
        <cfvo type="num" val="0.8"/>
      </iconSet>
    </cfRule>
  </conditionalFormatting>
  <conditionalFormatting sqref="K39">
    <cfRule type="iconSet" priority="127">
      <iconSet iconSet="5Arrows" showValue="0">
        <cfvo type="percent" val="0"/>
        <cfvo type="num" val="0.6"/>
        <cfvo type="num" val="0.7"/>
        <cfvo type="num" val="0.8"/>
        <cfvo type="num" val="0.9"/>
      </iconSet>
    </cfRule>
  </conditionalFormatting>
  <conditionalFormatting sqref="I39">
    <cfRule type="dataBar" priority="126">
      <dataBar>
        <cfvo type="num" val="0"/>
        <cfvo type="num" val="1.1000000000000001"/>
        <color rgb="FF63C384"/>
      </dataBar>
      <extLst>
        <ext xmlns:x14="http://schemas.microsoft.com/office/spreadsheetml/2009/9/main" uri="{B025F937-C7B1-47D3-B67F-A62EFF666E3E}">
          <x14:id>{11A22472-45F6-452A-AF67-042C9E483842}</x14:id>
        </ext>
      </extLst>
    </cfRule>
  </conditionalFormatting>
  <conditionalFormatting sqref="M39">
    <cfRule type="iconSet" priority="125">
      <iconSet iconSet="3TrafficLights2" showValue="0">
        <cfvo type="percent" val="0"/>
        <cfvo type="num" val="0.6"/>
        <cfvo type="num" val="0.8"/>
      </iconSet>
    </cfRule>
  </conditionalFormatting>
  <conditionalFormatting sqref="N39">
    <cfRule type="iconSet" priority="124">
      <iconSet iconSet="5Arrows" showValue="0">
        <cfvo type="percent" val="0"/>
        <cfvo type="num" val="0.6"/>
        <cfvo type="num" val="0.7"/>
        <cfvo type="num" val="0.8"/>
        <cfvo type="num" val="0.9"/>
      </iconSet>
    </cfRule>
  </conditionalFormatting>
  <conditionalFormatting sqref="L39">
    <cfRule type="dataBar" priority="123">
      <dataBar>
        <cfvo type="num" val="0"/>
        <cfvo type="num" val="1.1000000000000001"/>
        <color rgb="FF63C384"/>
      </dataBar>
      <extLst>
        <ext xmlns:x14="http://schemas.microsoft.com/office/spreadsheetml/2009/9/main" uri="{B025F937-C7B1-47D3-B67F-A62EFF666E3E}">
          <x14:id>{AD5E5BFA-7145-4A88-A4D1-C6C600714199}</x14:id>
        </ext>
      </extLst>
    </cfRule>
  </conditionalFormatting>
  <conditionalFormatting sqref="G40">
    <cfRule type="iconSet" priority="122">
      <iconSet iconSet="3TrafficLights2" showValue="0">
        <cfvo type="percent" val="0"/>
        <cfvo type="num" val="0.6"/>
        <cfvo type="num" val="0.8"/>
      </iconSet>
    </cfRule>
  </conditionalFormatting>
  <conditionalFormatting sqref="H40">
    <cfRule type="iconSet" priority="121">
      <iconSet iconSet="5Arrows" showValue="0">
        <cfvo type="percent" val="0"/>
        <cfvo type="num" val="0.6"/>
        <cfvo type="num" val="0.7"/>
        <cfvo type="num" val="0.8"/>
        <cfvo type="num" val="0.9"/>
      </iconSet>
    </cfRule>
  </conditionalFormatting>
  <conditionalFormatting sqref="F40">
    <cfRule type="dataBar" priority="120">
      <dataBar>
        <cfvo type="num" val="0"/>
        <cfvo type="num" val="1.1000000000000001"/>
        <color rgb="FF63C384"/>
      </dataBar>
      <extLst>
        <ext xmlns:x14="http://schemas.microsoft.com/office/spreadsheetml/2009/9/main" uri="{B025F937-C7B1-47D3-B67F-A62EFF666E3E}">
          <x14:id>{E1020B43-B6B9-4B9C-8117-EAD14A2779C0}</x14:id>
        </ext>
      </extLst>
    </cfRule>
  </conditionalFormatting>
  <conditionalFormatting sqref="J40">
    <cfRule type="iconSet" priority="119">
      <iconSet iconSet="3TrafficLights2" showValue="0">
        <cfvo type="percent" val="0"/>
        <cfvo type="num" val="0.6"/>
        <cfvo type="num" val="0.8"/>
      </iconSet>
    </cfRule>
  </conditionalFormatting>
  <conditionalFormatting sqref="K40">
    <cfRule type="iconSet" priority="118">
      <iconSet iconSet="5Arrows" showValue="0">
        <cfvo type="percent" val="0"/>
        <cfvo type="num" val="0.6"/>
        <cfvo type="num" val="0.7"/>
        <cfvo type="num" val="0.8"/>
        <cfvo type="num" val="0.9"/>
      </iconSet>
    </cfRule>
  </conditionalFormatting>
  <conditionalFormatting sqref="I40">
    <cfRule type="dataBar" priority="117">
      <dataBar>
        <cfvo type="num" val="0"/>
        <cfvo type="num" val="1.1000000000000001"/>
        <color rgb="FF63C384"/>
      </dataBar>
      <extLst>
        <ext xmlns:x14="http://schemas.microsoft.com/office/spreadsheetml/2009/9/main" uri="{B025F937-C7B1-47D3-B67F-A62EFF666E3E}">
          <x14:id>{3512BFC9-6E72-4986-8799-0F894128E0C9}</x14:id>
        </ext>
      </extLst>
    </cfRule>
  </conditionalFormatting>
  <conditionalFormatting sqref="M40">
    <cfRule type="iconSet" priority="116">
      <iconSet iconSet="3TrafficLights2" showValue="0">
        <cfvo type="percent" val="0"/>
        <cfvo type="num" val="0.6"/>
        <cfvo type="num" val="0.8"/>
      </iconSet>
    </cfRule>
  </conditionalFormatting>
  <conditionalFormatting sqref="N40">
    <cfRule type="iconSet" priority="115">
      <iconSet iconSet="5Arrows" showValue="0">
        <cfvo type="percent" val="0"/>
        <cfvo type="num" val="0.6"/>
        <cfvo type="num" val="0.7"/>
        <cfvo type="num" val="0.8"/>
        <cfvo type="num" val="0.9"/>
      </iconSet>
    </cfRule>
  </conditionalFormatting>
  <conditionalFormatting sqref="L40">
    <cfRule type="dataBar" priority="114">
      <dataBar>
        <cfvo type="num" val="0"/>
        <cfvo type="num" val="1.1000000000000001"/>
        <color rgb="FF63C384"/>
      </dataBar>
      <extLst>
        <ext xmlns:x14="http://schemas.microsoft.com/office/spreadsheetml/2009/9/main" uri="{B025F937-C7B1-47D3-B67F-A62EFF666E3E}">
          <x14:id>{607965FC-A2C7-4811-9052-33605D931926}</x14:id>
        </ext>
      </extLst>
    </cfRule>
  </conditionalFormatting>
  <conditionalFormatting sqref="G41">
    <cfRule type="iconSet" priority="113">
      <iconSet iconSet="3TrafficLights2" showValue="0">
        <cfvo type="percent" val="0"/>
        <cfvo type="num" val="0.6"/>
        <cfvo type="num" val="0.8"/>
      </iconSet>
    </cfRule>
  </conditionalFormatting>
  <conditionalFormatting sqref="H41">
    <cfRule type="iconSet" priority="112">
      <iconSet iconSet="5Arrows" showValue="0">
        <cfvo type="percent" val="0"/>
        <cfvo type="num" val="0.6"/>
        <cfvo type="num" val="0.7"/>
        <cfvo type="num" val="0.8"/>
        <cfvo type="num" val="0.9"/>
      </iconSet>
    </cfRule>
  </conditionalFormatting>
  <conditionalFormatting sqref="F41">
    <cfRule type="dataBar" priority="111">
      <dataBar>
        <cfvo type="num" val="0"/>
        <cfvo type="num" val="1.1000000000000001"/>
        <color rgb="FF63C384"/>
      </dataBar>
      <extLst>
        <ext xmlns:x14="http://schemas.microsoft.com/office/spreadsheetml/2009/9/main" uri="{B025F937-C7B1-47D3-B67F-A62EFF666E3E}">
          <x14:id>{8D0CDCC8-6813-4E71-9B17-02940D9F17D7}</x14:id>
        </ext>
      </extLst>
    </cfRule>
  </conditionalFormatting>
  <conditionalFormatting sqref="J41">
    <cfRule type="iconSet" priority="110">
      <iconSet iconSet="3TrafficLights2" showValue="0">
        <cfvo type="percent" val="0"/>
        <cfvo type="num" val="0.6"/>
        <cfvo type="num" val="0.8"/>
      </iconSet>
    </cfRule>
  </conditionalFormatting>
  <conditionalFormatting sqref="K41">
    <cfRule type="iconSet" priority="109">
      <iconSet iconSet="5Arrows" showValue="0">
        <cfvo type="percent" val="0"/>
        <cfvo type="num" val="0.6"/>
        <cfvo type="num" val="0.7"/>
        <cfvo type="num" val="0.8"/>
        <cfvo type="num" val="0.9"/>
      </iconSet>
    </cfRule>
  </conditionalFormatting>
  <conditionalFormatting sqref="I41">
    <cfRule type="dataBar" priority="108">
      <dataBar>
        <cfvo type="num" val="0"/>
        <cfvo type="num" val="1.1000000000000001"/>
        <color rgb="FF63C384"/>
      </dataBar>
      <extLst>
        <ext xmlns:x14="http://schemas.microsoft.com/office/spreadsheetml/2009/9/main" uri="{B025F937-C7B1-47D3-B67F-A62EFF666E3E}">
          <x14:id>{A6C3883A-9C71-44F2-B6E2-BB7066CF0FDB}</x14:id>
        </ext>
      </extLst>
    </cfRule>
  </conditionalFormatting>
  <conditionalFormatting sqref="M41">
    <cfRule type="iconSet" priority="107">
      <iconSet iconSet="3TrafficLights2" showValue="0">
        <cfvo type="percent" val="0"/>
        <cfvo type="num" val="0.6"/>
        <cfvo type="num" val="0.8"/>
      </iconSet>
    </cfRule>
  </conditionalFormatting>
  <conditionalFormatting sqref="N41">
    <cfRule type="iconSet" priority="106">
      <iconSet iconSet="5Arrows" showValue="0">
        <cfvo type="percent" val="0"/>
        <cfvo type="num" val="0.6"/>
        <cfvo type="num" val="0.7"/>
        <cfvo type="num" val="0.8"/>
        <cfvo type="num" val="0.9"/>
      </iconSet>
    </cfRule>
  </conditionalFormatting>
  <conditionalFormatting sqref="L41">
    <cfRule type="dataBar" priority="105">
      <dataBar>
        <cfvo type="num" val="0"/>
        <cfvo type="num" val="1.1000000000000001"/>
        <color rgb="FF63C384"/>
      </dataBar>
      <extLst>
        <ext xmlns:x14="http://schemas.microsoft.com/office/spreadsheetml/2009/9/main" uri="{B025F937-C7B1-47D3-B67F-A62EFF666E3E}">
          <x14:id>{0AD62E18-2E77-4A77-8750-3729B832037E}</x14:id>
        </ext>
      </extLst>
    </cfRule>
  </conditionalFormatting>
  <conditionalFormatting sqref="G42">
    <cfRule type="iconSet" priority="104">
      <iconSet iconSet="3TrafficLights2" showValue="0">
        <cfvo type="percent" val="0"/>
        <cfvo type="num" val="0.6"/>
        <cfvo type="num" val="0.8"/>
      </iconSet>
    </cfRule>
  </conditionalFormatting>
  <conditionalFormatting sqref="H42">
    <cfRule type="iconSet" priority="103">
      <iconSet iconSet="5Arrows" showValue="0">
        <cfvo type="percent" val="0"/>
        <cfvo type="num" val="0.6"/>
        <cfvo type="num" val="0.7"/>
        <cfvo type="num" val="0.8"/>
        <cfvo type="num" val="0.9"/>
      </iconSet>
    </cfRule>
  </conditionalFormatting>
  <conditionalFormatting sqref="F42">
    <cfRule type="dataBar" priority="102">
      <dataBar>
        <cfvo type="num" val="0"/>
        <cfvo type="num" val="1.1000000000000001"/>
        <color rgb="FF63C384"/>
      </dataBar>
      <extLst>
        <ext xmlns:x14="http://schemas.microsoft.com/office/spreadsheetml/2009/9/main" uri="{B025F937-C7B1-47D3-B67F-A62EFF666E3E}">
          <x14:id>{F25011AB-9F5B-4F7E-BC17-4F8D9D8BFDDD}</x14:id>
        </ext>
      </extLst>
    </cfRule>
  </conditionalFormatting>
  <conditionalFormatting sqref="J42">
    <cfRule type="iconSet" priority="101">
      <iconSet iconSet="3TrafficLights2" showValue="0">
        <cfvo type="percent" val="0"/>
        <cfvo type="num" val="0.6"/>
        <cfvo type="num" val="0.8"/>
      </iconSet>
    </cfRule>
  </conditionalFormatting>
  <conditionalFormatting sqref="K42">
    <cfRule type="iconSet" priority="100">
      <iconSet iconSet="5Arrows" showValue="0">
        <cfvo type="percent" val="0"/>
        <cfvo type="num" val="0.6"/>
        <cfvo type="num" val="0.7"/>
        <cfvo type="num" val="0.8"/>
        <cfvo type="num" val="0.9"/>
      </iconSet>
    </cfRule>
  </conditionalFormatting>
  <conditionalFormatting sqref="I42">
    <cfRule type="dataBar" priority="99">
      <dataBar>
        <cfvo type="num" val="0"/>
        <cfvo type="num" val="1.1000000000000001"/>
        <color rgb="FF63C384"/>
      </dataBar>
      <extLst>
        <ext xmlns:x14="http://schemas.microsoft.com/office/spreadsheetml/2009/9/main" uri="{B025F937-C7B1-47D3-B67F-A62EFF666E3E}">
          <x14:id>{53BED112-C5F2-4C84-BDEC-197DBB812EA5}</x14:id>
        </ext>
      </extLst>
    </cfRule>
  </conditionalFormatting>
  <conditionalFormatting sqref="M42">
    <cfRule type="iconSet" priority="98">
      <iconSet iconSet="3TrafficLights2" showValue="0">
        <cfvo type="percent" val="0"/>
        <cfvo type="num" val="0.6"/>
        <cfvo type="num" val="0.8"/>
      </iconSet>
    </cfRule>
  </conditionalFormatting>
  <conditionalFormatting sqref="N42">
    <cfRule type="iconSet" priority="97">
      <iconSet iconSet="5Arrows" showValue="0">
        <cfvo type="percent" val="0"/>
        <cfvo type="num" val="0.6"/>
        <cfvo type="num" val="0.7"/>
        <cfvo type="num" val="0.8"/>
        <cfvo type="num" val="0.9"/>
      </iconSet>
    </cfRule>
  </conditionalFormatting>
  <conditionalFormatting sqref="L42">
    <cfRule type="dataBar" priority="96">
      <dataBar>
        <cfvo type="num" val="0"/>
        <cfvo type="num" val="1.1000000000000001"/>
        <color rgb="FF63C384"/>
      </dataBar>
      <extLst>
        <ext xmlns:x14="http://schemas.microsoft.com/office/spreadsheetml/2009/9/main" uri="{B025F937-C7B1-47D3-B67F-A62EFF666E3E}">
          <x14:id>{FD9E8FEA-D09A-4462-8A83-1C4125AFDEA8}</x14:id>
        </ext>
      </extLst>
    </cfRule>
  </conditionalFormatting>
  <conditionalFormatting sqref="F44">
    <cfRule type="dataBar" priority="95">
      <dataBar>
        <cfvo type="num" val="0"/>
        <cfvo type="num" val="1.1000000000000001"/>
        <color rgb="FF63C384"/>
      </dataBar>
      <extLst>
        <ext xmlns:x14="http://schemas.microsoft.com/office/spreadsheetml/2009/9/main" uri="{B025F937-C7B1-47D3-B67F-A62EFF666E3E}">
          <x14:id>{21B515C2-3FD7-4862-97DE-9B7B2B0F9675}</x14:id>
        </ext>
      </extLst>
    </cfRule>
  </conditionalFormatting>
  <conditionalFormatting sqref="G44">
    <cfRule type="iconSet" priority="94">
      <iconSet iconSet="3TrafficLights2" showValue="0">
        <cfvo type="percent" val="0"/>
        <cfvo type="num" val="0.6"/>
        <cfvo type="num" val="0.8"/>
      </iconSet>
    </cfRule>
  </conditionalFormatting>
  <conditionalFormatting sqref="H44">
    <cfRule type="iconSet" priority="93">
      <iconSet iconSet="5Arrows" showValue="0">
        <cfvo type="percent" val="0"/>
        <cfvo type="num" val="0.6"/>
        <cfvo type="num" val="0.7"/>
        <cfvo type="num" val="0.8"/>
        <cfvo type="num" val="0.9"/>
      </iconSet>
    </cfRule>
  </conditionalFormatting>
  <conditionalFormatting sqref="J44">
    <cfRule type="iconSet" priority="92">
      <iconSet iconSet="3TrafficLights2" showValue="0">
        <cfvo type="percent" val="0"/>
        <cfvo type="num" val="0.6"/>
        <cfvo type="num" val="0.8"/>
      </iconSet>
    </cfRule>
  </conditionalFormatting>
  <conditionalFormatting sqref="K44">
    <cfRule type="iconSet" priority="91">
      <iconSet iconSet="5Arrows" showValue="0">
        <cfvo type="percent" val="0"/>
        <cfvo type="num" val="0.6"/>
        <cfvo type="num" val="0.7"/>
        <cfvo type="num" val="0.8"/>
        <cfvo type="num" val="0.9"/>
      </iconSet>
    </cfRule>
  </conditionalFormatting>
  <conditionalFormatting sqref="I44">
    <cfRule type="dataBar" priority="90">
      <dataBar>
        <cfvo type="num" val="0"/>
        <cfvo type="num" val="1.1000000000000001"/>
        <color rgb="FF63C384"/>
      </dataBar>
      <extLst>
        <ext xmlns:x14="http://schemas.microsoft.com/office/spreadsheetml/2009/9/main" uri="{B025F937-C7B1-47D3-B67F-A62EFF666E3E}">
          <x14:id>{2859D417-D158-4D75-B4D7-A73E34B49DD8}</x14:id>
        </ext>
      </extLst>
    </cfRule>
  </conditionalFormatting>
  <conditionalFormatting sqref="M44">
    <cfRule type="iconSet" priority="89">
      <iconSet iconSet="3TrafficLights2" showValue="0">
        <cfvo type="percent" val="0"/>
        <cfvo type="num" val="0.6"/>
        <cfvo type="num" val="0.8"/>
      </iconSet>
    </cfRule>
  </conditionalFormatting>
  <conditionalFormatting sqref="N44">
    <cfRule type="iconSet" priority="88">
      <iconSet iconSet="5Arrows" showValue="0">
        <cfvo type="percent" val="0"/>
        <cfvo type="num" val="0.6"/>
        <cfvo type="num" val="0.7"/>
        <cfvo type="num" val="0.8"/>
        <cfvo type="num" val="0.9"/>
      </iconSet>
    </cfRule>
  </conditionalFormatting>
  <conditionalFormatting sqref="L44">
    <cfRule type="dataBar" priority="87">
      <dataBar>
        <cfvo type="num" val="0"/>
        <cfvo type="num" val="1.1000000000000001"/>
        <color rgb="FF63C384"/>
      </dataBar>
      <extLst>
        <ext xmlns:x14="http://schemas.microsoft.com/office/spreadsheetml/2009/9/main" uri="{B025F937-C7B1-47D3-B67F-A62EFF666E3E}">
          <x14:id>{8495654D-507E-42D7-BC7B-79F2F50C0C86}</x14:id>
        </ext>
      </extLst>
    </cfRule>
  </conditionalFormatting>
  <conditionalFormatting sqref="F45">
    <cfRule type="dataBar" priority="86">
      <dataBar>
        <cfvo type="num" val="0"/>
        <cfvo type="num" val="1.1000000000000001"/>
        <color rgb="FF63C384"/>
      </dataBar>
      <extLst>
        <ext xmlns:x14="http://schemas.microsoft.com/office/spreadsheetml/2009/9/main" uri="{B025F937-C7B1-47D3-B67F-A62EFF666E3E}">
          <x14:id>{4DFCE72C-9B7C-4482-8AE4-DF2F30F4C225}</x14:id>
        </ext>
      </extLst>
    </cfRule>
  </conditionalFormatting>
  <conditionalFormatting sqref="G45">
    <cfRule type="iconSet" priority="85">
      <iconSet iconSet="3TrafficLights2" showValue="0">
        <cfvo type="percent" val="0"/>
        <cfvo type="num" val="0.6"/>
        <cfvo type="num" val="0.8"/>
      </iconSet>
    </cfRule>
  </conditionalFormatting>
  <conditionalFormatting sqref="H45">
    <cfRule type="iconSet" priority="84">
      <iconSet iconSet="5Arrows" showValue="0">
        <cfvo type="percent" val="0"/>
        <cfvo type="num" val="0.6"/>
        <cfvo type="num" val="0.7"/>
        <cfvo type="num" val="0.8"/>
        <cfvo type="num" val="0.9"/>
      </iconSet>
    </cfRule>
  </conditionalFormatting>
  <conditionalFormatting sqref="J45">
    <cfRule type="iconSet" priority="83">
      <iconSet iconSet="3TrafficLights2" showValue="0">
        <cfvo type="percent" val="0"/>
        <cfvo type="num" val="0.6"/>
        <cfvo type="num" val="0.8"/>
      </iconSet>
    </cfRule>
  </conditionalFormatting>
  <conditionalFormatting sqref="K45">
    <cfRule type="iconSet" priority="82">
      <iconSet iconSet="5Arrows" showValue="0">
        <cfvo type="percent" val="0"/>
        <cfvo type="num" val="0.6"/>
        <cfvo type="num" val="0.7"/>
        <cfvo type="num" val="0.8"/>
        <cfvo type="num" val="0.9"/>
      </iconSet>
    </cfRule>
  </conditionalFormatting>
  <conditionalFormatting sqref="I45">
    <cfRule type="dataBar" priority="81">
      <dataBar>
        <cfvo type="num" val="0"/>
        <cfvo type="num" val="1.1000000000000001"/>
        <color rgb="FF63C384"/>
      </dataBar>
      <extLst>
        <ext xmlns:x14="http://schemas.microsoft.com/office/spreadsheetml/2009/9/main" uri="{B025F937-C7B1-47D3-B67F-A62EFF666E3E}">
          <x14:id>{BB6A3CB4-A28B-4326-9296-F6DDD1E9176A}</x14:id>
        </ext>
      </extLst>
    </cfRule>
  </conditionalFormatting>
  <conditionalFormatting sqref="M45">
    <cfRule type="iconSet" priority="80">
      <iconSet iconSet="3TrafficLights2" showValue="0">
        <cfvo type="percent" val="0"/>
        <cfvo type="num" val="0.6"/>
        <cfvo type="num" val="0.8"/>
      </iconSet>
    </cfRule>
  </conditionalFormatting>
  <conditionalFormatting sqref="N45">
    <cfRule type="iconSet" priority="79">
      <iconSet iconSet="5Arrows" showValue="0">
        <cfvo type="percent" val="0"/>
        <cfvo type="num" val="0.6"/>
        <cfvo type="num" val="0.7"/>
        <cfvo type="num" val="0.8"/>
        <cfvo type="num" val="0.9"/>
      </iconSet>
    </cfRule>
  </conditionalFormatting>
  <conditionalFormatting sqref="L45">
    <cfRule type="dataBar" priority="78">
      <dataBar>
        <cfvo type="num" val="0"/>
        <cfvo type="num" val="1.1000000000000001"/>
        <color rgb="FF63C384"/>
      </dataBar>
      <extLst>
        <ext xmlns:x14="http://schemas.microsoft.com/office/spreadsheetml/2009/9/main" uri="{B025F937-C7B1-47D3-B67F-A62EFF666E3E}">
          <x14:id>{6D897AAF-E258-45E5-9AFA-AD04AC88B52E}</x14:id>
        </ext>
      </extLst>
    </cfRule>
  </conditionalFormatting>
  <conditionalFormatting sqref="G71">
    <cfRule type="iconSet" priority="77">
      <iconSet iconSet="3TrafficLights2" showValue="0">
        <cfvo type="percent" val="0"/>
        <cfvo type="num" val="0.6"/>
        <cfvo type="num" val="0.8"/>
      </iconSet>
    </cfRule>
  </conditionalFormatting>
  <conditionalFormatting sqref="H71">
    <cfRule type="iconSet" priority="76">
      <iconSet iconSet="5Arrows" showValue="0">
        <cfvo type="percent" val="0"/>
        <cfvo type="num" val="0.6"/>
        <cfvo type="num" val="0.7"/>
        <cfvo type="num" val="0.8"/>
        <cfvo type="num" val="0.9"/>
      </iconSet>
    </cfRule>
  </conditionalFormatting>
  <conditionalFormatting sqref="F71">
    <cfRule type="dataBar" priority="75">
      <dataBar>
        <cfvo type="num" val="0"/>
        <cfvo type="num" val="1.1000000000000001"/>
        <color rgb="FF63C384"/>
      </dataBar>
      <extLst>
        <ext xmlns:x14="http://schemas.microsoft.com/office/spreadsheetml/2009/9/main" uri="{B025F937-C7B1-47D3-B67F-A62EFF666E3E}">
          <x14:id>{A1CCBB53-2813-44E9-B257-FA82F5F06B0A}</x14:id>
        </ext>
      </extLst>
    </cfRule>
  </conditionalFormatting>
  <conditionalFormatting sqref="J71">
    <cfRule type="iconSet" priority="74">
      <iconSet iconSet="3TrafficLights2" showValue="0">
        <cfvo type="percent" val="0"/>
        <cfvo type="num" val="0.6"/>
        <cfvo type="num" val="0.8"/>
      </iconSet>
    </cfRule>
  </conditionalFormatting>
  <conditionalFormatting sqref="K71">
    <cfRule type="iconSet" priority="73">
      <iconSet iconSet="5Arrows" showValue="0">
        <cfvo type="percent" val="0"/>
        <cfvo type="num" val="0.6"/>
        <cfvo type="num" val="0.7"/>
        <cfvo type="num" val="0.8"/>
        <cfvo type="num" val="0.9"/>
      </iconSet>
    </cfRule>
  </conditionalFormatting>
  <conditionalFormatting sqref="I71">
    <cfRule type="dataBar" priority="72">
      <dataBar>
        <cfvo type="num" val="0"/>
        <cfvo type="num" val="1.1000000000000001"/>
        <color rgb="FF63C384"/>
      </dataBar>
      <extLst>
        <ext xmlns:x14="http://schemas.microsoft.com/office/spreadsheetml/2009/9/main" uri="{B025F937-C7B1-47D3-B67F-A62EFF666E3E}">
          <x14:id>{5F7A5088-7DDE-4FCD-A03D-09336B780866}</x14:id>
        </ext>
      </extLst>
    </cfRule>
  </conditionalFormatting>
  <conditionalFormatting sqref="M71">
    <cfRule type="iconSet" priority="71">
      <iconSet iconSet="3TrafficLights2" showValue="0">
        <cfvo type="percent" val="0"/>
        <cfvo type="num" val="0.6"/>
        <cfvo type="num" val="0.8"/>
      </iconSet>
    </cfRule>
  </conditionalFormatting>
  <conditionalFormatting sqref="N71">
    <cfRule type="iconSet" priority="70">
      <iconSet iconSet="5Arrows" showValue="0">
        <cfvo type="percent" val="0"/>
        <cfvo type="num" val="0.6"/>
        <cfvo type="num" val="0.7"/>
        <cfvo type="num" val="0.8"/>
        <cfvo type="num" val="0.9"/>
      </iconSet>
    </cfRule>
  </conditionalFormatting>
  <conditionalFormatting sqref="L71">
    <cfRule type="dataBar" priority="69">
      <dataBar>
        <cfvo type="num" val="0"/>
        <cfvo type="num" val="1.1000000000000001"/>
        <color rgb="FF63C384"/>
      </dataBar>
      <extLst>
        <ext xmlns:x14="http://schemas.microsoft.com/office/spreadsheetml/2009/9/main" uri="{B025F937-C7B1-47D3-B67F-A62EFF666E3E}">
          <x14:id>{A634A167-6FA3-4E71-A364-378582B67152}</x14:id>
        </ext>
      </extLst>
    </cfRule>
  </conditionalFormatting>
  <conditionalFormatting sqref="G73">
    <cfRule type="iconSet" priority="68">
      <iconSet iconSet="3TrafficLights2" showValue="0">
        <cfvo type="percent" val="0"/>
        <cfvo type="num" val="0.6"/>
        <cfvo type="num" val="0.8"/>
      </iconSet>
    </cfRule>
  </conditionalFormatting>
  <conditionalFormatting sqref="H73">
    <cfRule type="iconSet" priority="67">
      <iconSet iconSet="5Arrows" showValue="0">
        <cfvo type="percent" val="0"/>
        <cfvo type="num" val="0.6"/>
        <cfvo type="num" val="0.7"/>
        <cfvo type="num" val="0.8"/>
        <cfvo type="num" val="0.9"/>
      </iconSet>
    </cfRule>
  </conditionalFormatting>
  <conditionalFormatting sqref="F73">
    <cfRule type="dataBar" priority="66">
      <dataBar>
        <cfvo type="num" val="0"/>
        <cfvo type="num" val="1.1000000000000001"/>
        <color rgb="FF63C384"/>
      </dataBar>
      <extLst>
        <ext xmlns:x14="http://schemas.microsoft.com/office/spreadsheetml/2009/9/main" uri="{B025F937-C7B1-47D3-B67F-A62EFF666E3E}">
          <x14:id>{C6876FEA-CACC-477D-B00B-F07990C2AAAE}</x14:id>
        </ext>
      </extLst>
    </cfRule>
  </conditionalFormatting>
  <conditionalFormatting sqref="J73">
    <cfRule type="iconSet" priority="65">
      <iconSet iconSet="3TrafficLights2" showValue="0">
        <cfvo type="percent" val="0"/>
        <cfvo type="num" val="0.6"/>
        <cfvo type="num" val="0.8"/>
      </iconSet>
    </cfRule>
  </conditionalFormatting>
  <conditionalFormatting sqref="K73">
    <cfRule type="iconSet" priority="64">
      <iconSet iconSet="5Arrows" showValue="0">
        <cfvo type="percent" val="0"/>
        <cfvo type="num" val="0.6"/>
        <cfvo type="num" val="0.7"/>
        <cfvo type="num" val="0.8"/>
        <cfvo type="num" val="0.9"/>
      </iconSet>
    </cfRule>
  </conditionalFormatting>
  <conditionalFormatting sqref="I73">
    <cfRule type="dataBar" priority="63">
      <dataBar>
        <cfvo type="num" val="0"/>
        <cfvo type="num" val="1.1000000000000001"/>
        <color rgb="FF63C384"/>
      </dataBar>
      <extLst>
        <ext xmlns:x14="http://schemas.microsoft.com/office/spreadsheetml/2009/9/main" uri="{B025F937-C7B1-47D3-B67F-A62EFF666E3E}">
          <x14:id>{FA30016C-1AF0-44F7-AA47-110DDBA6738C}</x14:id>
        </ext>
      </extLst>
    </cfRule>
  </conditionalFormatting>
  <conditionalFormatting sqref="M73">
    <cfRule type="iconSet" priority="62">
      <iconSet iconSet="3TrafficLights2" showValue="0">
        <cfvo type="percent" val="0"/>
        <cfvo type="num" val="0.6"/>
        <cfvo type="num" val="0.8"/>
      </iconSet>
    </cfRule>
  </conditionalFormatting>
  <conditionalFormatting sqref="N73">
    <cfRule type="iconSet" priority="61">
      <iconSet iconSet="5Arrows" showValue="0">
        <cfvo type="percent" val="0"/>
        <cfvo type="num" val="0.6"/>
        <cfvo type="num" val="0.7"/>
        <cfvo type="num" val="0.8"/>
        <cfvo type="num" val="0.9"/>
      </iconSet>
    </cfRule>
  </conditionalFormatting>
  <conditionalFormatting sqref="L73">
    <cfRule type="dataBar" priority="60">
      <dataBar>
        <cfvo type="num" val="0"/>
        <cfvo type="num" val="1.1000000000000001"/>
        <color rgb="FF63C384"/>
      </dataBar>
      <extLst>
        <ext xmlns:x14="http://schemas.microsoft.com/office/spreadsheetml/2009/9/main" uri="{B025F937-C7B1-47D3-B67F-A62EFF666E3E}">
          <x14:id>{08FFCBDB-FF12-4DAD-86E0-1D83DD28240B}</x14:id>
        </ext>
      </extLst>
    </cfRule>
  </conditionalFormatting>
  <conditionalFormatting sqref="D81:F86">
    <cfRule type="dataBar" priority="59">
      <dataBar>
        <cfvo type="num" val="0"/>
        <cfvo type="num" val="1.5"/>
        <color rgb="FF008AEF"/>
      </dataBar>
      <extLst>
        <ext xmlns:x14="http://schemas.microsoft.com/office/spreadsheetml/2009/9/main" uri="{B025F937-C7B1-47D3-B67F-A62EFF666E3E}">
          <x14:id>{31242221-ED71-4678-92EB-74AFCF2135F7}</x14:id>
        </ext>
      </extLst>
    </cfRule>
  </conditionalFormatting>
  <conditionalFormatting sqref="D92:F92">
    <cfRule type="dataBar" priority="56">
      <dataBar>
        <cfvo type="num" val="0"/>
        <cfvo type="num" val="1.5"/>
        <color rgb="FF008AEF"/>
      </dataBar>
      <extLst>
        <ext xmlns:x14="http://schemas.microsoft.com/office/spreadsheetml/2009/9/main" uri="{B025F937-C7B1-47D3-B67F-A62EFF666E3E}">
          <x14:id>{78C49190-8DE7-418F-B0DA-449E8CF8E82B}</x14:id>
        </ext>
      </extLst>
    </cfRule>
  </conditionalFormatting>
  <conditionalFormatting sqref="D93:F93">
    <cfRule type="dataBar" priority="55">
      <dataBar>
        <cfvo type="num" val="0"/>
        <cfvo type="num" val="1.5"/>
        <color rgb="FF008AEF"/>
      </dataBar>
      <extLst>
        <ext xmlns:x14="http://schemas.microsoft.com/office/spreadsheetml/2009/9/main" uri="{B025F937-C7B1-47D3-B67F-A62EFF666E3E}">
          <x14:id>{6118FB3D-EB57-4B7E-978A-57B099DF6ADF}</x14:id>
        </ext>
      </extLst>
    </cfRule>
  </conditionalFormatting>
  <conditionalFormatting sqref="D94:F95">
    <cfRule type="dataBar" priority="53">
      <dataBar>
        <cfvo type="num" val="0"/>
        <cfvo type="num" val="1.5"/>
        <color rgb="FF008AEF"/>
      </dataBar>
      <extLst>
        <ext xmlns:x14="http://schemas.microsoft.com/office/spreadsheetml/2009/9/main" uri="{B025F937-C7B1-47D3-B67F-A62EFF666E3E}">
          <x14:id>{A1974F2A-8DD0-4F85-B255-5C7992B9B262}</x14:id>
        </ext>
      </extLst>
    </cfRule>
  </conditionalFormatting>
  <conditionalFormatting sqref="D97:F97">
    <cfRule type="dataBar" priority="51">
      <dataBar>
        <cfvo type="num" val="0"/>
        <cfvo type="num" val="1.5"/>
        <color rgb="FF008AEF"/>
      </dataBar>
      <extLst>
        <ext xmlns:x14="http://schemas.microsoft.com/office/spreadsheetml/2009/9/main" uri="{B025F937-C7B1-47D3-B67F-A62EFF666E3E}">
          <x14:id>{E9F11B65-CE8C-41F1-9C4B-A2943F097ED4}</x14:id>
        </ext>
      </extLst>
    </cfRule>
  </conditionalFormatting>
  <conditionalFormatting sqref="J31">
    <cfRule type="iconSet" priority="49">
      <iconSet iconSet="3TrafficLights2" showValue="0">
        <cfvo type="percent" val="0"/>
        <cfvo type="num" val="0.6"/>
        <cfvo type="num" val="0.8"/>
      </iconSet>
    </cfRule>
  </conditionalFormatting>
  <conditionalFormatting sqref="K31">
    <cfRule type="iconSet" priority="48">
      <iconSet iconSet="5Arrows" showValue="0">
        <cfvo type="percent" val="0"/>
        <cfvo type="num" val="0.6"/>
        <cfvo type="num" val="0.7"/>
        <cfvo type="num" val="0.8"/>
        <cfvo type="num" val="0.9"/>
      </iconSet>
    </cfRule>
  </conditionalFormatting>
  <conditionalFormatting sqref="M31">
    <cfRule type="iconSet" priority="47">
      <iconSet iconSet="3TrafficLights2" showValue="0">
        <cfvo type="percent" val="0"/>
        <cfvo type="num" val="0.6"/>
        <cfvo type="num" val="0.8"/>
      </iconSet>
    </cfRule>
  </conditionalFormatting>
  <conditionalFormatting sqref="N31">
    <cfRule type="iconSet" priority="46">
      <iconSet iconSet="5Arrows" showValue="0">
        <cfvo type="percent" val="0"/>
        <cfvo type="num" val="0.6"/>
        <cfvo type="num" val="0.7"/>
        <cfvo type="num" val="0.8"/>
        <cfvo type="num" val="0.9"/>
      </iconSet>
    </cfRule>
  </conditionalFormatting>
  <conditionalFormatting sqref="L31">
    <cfRule type="dataBar" priority="45">
      <dataBar>
        <cfvo type="num" val="0"/>
        <cfvo type="num" val="1.1000000000000001"/>
        <color rgb="FF63C384"/>
      </dataBar>
      <extLst>
        <ext xmlns:x14="http://schemas.microsoft.com/office/spreadsheetml/2009/9/main" uri="{B025F937-C7B1-47D3-B67F-A62EFF666E3E}">
          <x14:id>{0F7EB60B-1695-4856-BE39-119CECAC744B}</x14:id>
        </ext>
      </extLst>
    </cfRule>
  </conditionalFormatting>
  <conditionalFormatting sqref="F54 L54 I54">
    <cfRule type="dataBar" priority="38">
      <dataBar>
        <cfvo type="num" val="0"/>
        <cfvo type="num" val="1.1000000000000001"/>
        <color rgb="FF63C384"/>
      </dataBar>
      <extLst>
        <ext xmlns:x14="http://schemas.microsoft.com/office/spreadsheetml/2009/9/main" uri="{B025F937-C7B1-47D3-B67F-A62EFF666E3E}">
          <x14:id>{64065697-1172-4537-9857-109A320711C3}</x14:id>
        </ext>
      </extLst>
    </cfRule>
  </conditionalFormatting>
  <conditionalFormatting sqref="G54">
    <cfRule type="iconSet" priority="39">
      <iconSet iconSet="3TrafficLights2" showValue="0">
        <cfvo type="percent" val="0"/>
        <cfvo type="num" val="0.6"/>
        <cfvo type="num" val="0.8"/>
      </iconSet>
    </cfRule>
  </conditionalFormatting>
  <conditionalFormatting sqref="H54">
    <cfRule type="iconSet" priority="40">
      <iconSet iconSet="5Arrows" showValue="0">
        <cfvo type="percent" val="0"/>
        <cfvo type="num" val="0.6"/>
        <cfvo type="num" val="0.7"/>
        <cfvo type="num" val="0.8"/>
        <cfvo type="num" val="0.9"/>
      </iconSet>
    </cfRule>
  </conditionalFormatting>
  <conditionalFormatting sqref="J54">
    <cfRule type="iconSet" priority="41">
      <iconSet iconSet="3TrafficLights2" showValue="0">
        <cfvo type="percent" val="0"/>
        <cfvo type="num" val="0.6"/>
        <cfvo type="num" val="0.8"/>
      </iconSet>
    </cfRule>
  </conditionalFormatting>
  <conditionalFormatting sqref="K54">
    <cfRule type="iconSet" priority="42">
      <iconSet iconSet="5Arrows" showValue="0">
        <cfvo type="percent" val="0"/>
        <cfvo type="num" val="0.6"/>
        <cfvo type="num" val="0.7"/>
        <cfvo type="num" val="0.8"/>
        <cfvo type="num" val="0.9"/>
      </iconSet>
    </cfRule>
  </conditionalFormatting>
  <conditionalFormatting sqref="M54">
    <cfRule type="iconSet" priority="43">
      <iconSet iconSet="3TrafficLights2" showValue="0">
        <cfvo type="percent" val="0"/>
        <cfvo type="num" val="0.6"/>
        <cfvo type="num" val="0.8"/>
      </iconSet>
    </cfRule>
  </conditionalFormatting>
  <conditionalFormatting sqref="N54">
    <cfRule type="iconSet" priority="44">
      <iconSet iconSet="5Arrows" showValue="0">
        <cfvo type="percent" val="0"/>
        <cfvo type="num" val="0.6"/>
        <cfvo type="num" val="0.7"/>
        <cfvo type="num" val="0.8"/>
        <cfvo type="num" val="0.9"/>
      </iconSet>
    </cfRule>
  </conditionalFormatting>
  <conditionalFormatting sqref="F60 L60 I60">
    <cfRule type="dataBar" priority="31">
      <dataBar>
        <cfvo type="num" val="0"/>
        <cfvo type="num" val="1.1000000000000001"/>
        <color rgb="FF63C384"/>
      </dataBar>
      <extLst>
        <ext xmlns:x14="http://schemas.microsoft.com/office/spreadsheetml/2009/9/main" uri="{B025F937-C7B1-47D3-B67F-A62EFF666E3E}">
          <x14:id>{093D3069-8A47-496F-8607-3E7A54833592}</x14:id>
        </ext>
      </extLst>
    </cfRule>
  </conditionalFormatting>
  <conditionalFormatting sqref="G60">
    <cfRule type="iconSet" priority="32">
      <iconSet iconSet="3TrafficLights2" showValue="0">
        <cfvo type="percent" val="0"/>
        <cfvo type="num" val="0.6"/>
        <cfvo type="num" val="0.8"/>
      </iconSet>
    </cfRule>
  </conditionalFormatting>
  <conditionalFormatting sqref="H60">
    <cfRule type="iconSet" priority="33">
      <iconSet iconSet="5Arrows" showValue="0">
        <cfvo type="percent" val="0"/>
        <cfvo type="num" val="0.6"/>
        <cfvo type="num" val="0.7"/>
        <cfvo type="num" val="0.8"/>
        <cfvo type="num" val="0.9"/>
      </iconSet>
    </cfRule>
  </conditionalFormatting>
  <conditionalFormatting sqref="J60">
    <cfRule type="iconSet" priority="34">
      <iconSet iconSet="3TrafficLights2" showValue="0">
        <cfvo type="percent" val="0"/>
        <cfvo type="num" val="0.6"/>
        <cfvo type="num" val="0.8"/>
      </iconSet>
    </cfRule>
  </conditionalFormatting>
  <conditionalFormatting sqref="K60">
    <cfRule type="iconSet" priority="35">
      <iconSet iconSet="5Arrows" showValue="0">
        <cfvo type="percent" val="0"/>
        <cfvo type="num" val="0.6"/>
        <cfvo type="num" val="0.7"/>
        <cfvo type="num" val="0.8"/>
        <cfvo type="num" val="0.9"/>
      </iconSet>
    </cfRule>
  </conditionalFormatting>
  <conditionalFormatting sqref="M60">
    <cfRule type="iconSet" priority="36">
      <iconSet iconSet="3TrafficLights2" showValue="0">
        <cfvo type="percent" val="0"/>
        <cfvo type="num" val="0.6"/>
        <cfvo type="num" val="0.8"/>
      </iconSet>
    </cfRule>
  </conditionalFormatting>
  <conditionalFormatting sqref="N60">
    <cfRule type="iconSet" priority="37">
      <iconSet iconSet="5Arrows" showValue="0">
        <cfvo type="percent" val="0"/>
        <cfvo type="num" val="0.6"/>
        <cfvo type="num" val="0.7"/>
        <cfvo type="num" val="0.8"/>
        <cfvo type="num" val="0.9"/>
      </iconSet>
    </cfRule>
  </conditionalFormatting>
  <conditionalFormatting sqref="I61:I64 L61:L64 F61:F64">
    <cfRule type="dataBar" priority="24">
      <dataBar>
        <cfvo type="num" val="0"/>
        <cfvo type="num" val="1.1000000000000001"/>
        <color rgb="FF63C384"/>
      </dataBar>
      <extLst>
        <ext xmlns:x14="http://schemas.microsoft.com/office/spreadsheetml/2009/9/main" uri="{B025F937-C7B1-47D3-B67F-A62EFF666E3E}">
          <x14:id>{CB792554-4B68-4EA7-A4AE-5EFCBBE288B0}</x14:id>
        </ext>
      </extLst>
    </cfRule>
  </conditionalFormatting>
  <conditionalFormatting sqref="G61:G64">
    <cfRule type="iconSet" priority="25">
      <iconSet iconSet="3TrafficLights2" showValue="0">
        <cfvo type="percent" val="0"/>
        <cfvo type="num" val="0.6"/>
        <cfvo type="num" val="0.8"/>
      </iconSet>
    </cfRule>
  </conditionalFormatting>
  <conditionalFormatting sqref="H61:H64">
    <cfRule type="iconSet" priority="26">
      <iconSet iconSet="5Arrows" showValue="0">
        <cfvo type="percent" val="0"/>
        <cfvo type="num" val="0.6"/>
        <cfvo type="num" val="0.7"/>
        <cfvo type="num" val="0.8"/>
        <cfvo type="num" val="0.9"/>
      </iconSet>
    </cfRule>
  </conditionalFormatting>
  <conditionalFormatting sqref="J61:J64">
    <cfRule type="iconSet" priority="27">
      <iconSet iconSet="3TrafficLights2" showValue="0">
        <cfvo type="percent" val="0"/>
        <cfvo type="num" val="0.6"/>
        <cfvo type="num" val="0.8"/>
      </iconSet>
    </cfRule>
  </conditionalFormatting>
  <conditionalFormatting sqref="K61:K64">
    <cfRule type="iconSet" priority="28">
      <iconSet iconSet="5Arrows" showValue="0">
        <cfvo type="percent" val="0"/>
        <cfvo type="num" val="0.6"/>
        <cfvo type="num" val="0.7"/>
        <cfvo type="num" val="0.8"/>
        <cfvo type="num" val="0.9"/>
      </iconSet>
    </cfRule>
  </conditionalFormatting>
  <conditionalFormatting sqref="M61:M64">
    <cfRule type="iconSet" priority="29">
      <iconSet iconSet="3TrafficLights2" showValue="0">
        <cfvo type="percent" val="0"/>
        <cfvo type="num" val="0.6"/>
        <cfvo type="num" val="0.8"/>
      </iconSet>
    </cfRule>
  </conditionalFormatting>
  <conditionalFormatting sqref="N61:N64">
    <cfRule type="iconSet" priority="30">
      <iconSet iconSet="5Arrows" showValue="0">
        <cfvo type="percent" val="0"/>
        <cfvo type="num" val="0.6"/>
        <cfvo type="num" val="0.7"/>
        <cfvo type="num" val="0.8"/>
        <cfvo type="num" val="0.9"/>
      </iconSet>
    </cfRule>
  </conditionalFormatting>
  <conditionalFormatting sqref="G65 G49:G53 G55:G59 G70 G67:G68">
    <cfRule type="iconSet" priority="300">
      <iconSet iconSet="3TrafficLights2" showValue="0">
        <cfvo type="percent" val="0"/>
        <cfvo type="num" val="0.6"/>
        <cfvo type="num" val="0.8"/>
      </iconSet>
    </cfRule>
  </conditionalFormatting>
  <conditionalFormatting sqref="H65 H49:H53 H55:H59 H70 H67:H68">
    <cfRule type="iconSet" priority="303">
      <iconSet iconSet="5Arrows" showValue="0">
        <cfvo type="percent" val="0"/>
        <cfvo type="num" val="0.6"/>
        <cfvo type="num" val="0.7"/>
        <cfvo type="num" val="0.8"/>
        <cfvo type="num" val="0.9"/>
      </iconSet>
    </cfRule>
  </conditionalFormatting>
  <conditionalFormatting sqref="J65 J49:J53 J55:J59 J70 J67:J68">
    <cfRule type="iconSet" priority="306">
      <iconSet iconSet="3TrafficLights2" showValue="0">
        <cfvo type="percent" val="0"/>
        <cfvo type="num" val="0.6"/>
        <cfvo type="num" val="0.8"/>
      </iconSet>
    </cfRule>
  </conditionalFormatting>
  <conditionalFormatting sqref="K65 K49:K53 K55:K59 K70 K67:K68">
    <cfRule type="iconSet" priority="309">
      <iconSet iconSet="5Arrows" showValue="0">
        <cfvo type="percent" val="0"/>
        <cfvo type="num" val="0.6"/>
        <cfvo type="num" val="0.7"/>
        <cfvo type="num" val="0.8"/>
        <cfvo type="num" val="0.9"/>
      </iconSet>
    </cfRule>
  </conditionalFormatting>
  <conditionalFormatting sqref="M65 M49:M53 M55:M59 M70 M67:M68">
    <cfRule type="iconSet" priority="312">
      <iconSet iconSet="3TrafficLights2" showValue="0">
        <cfvo type="percent" val="0"/>
        <cfvo type="num" val="0.6"/>
        <cfvo type="num" val="0.8"/>
      </iconSet>
    </cfRule>
  </conditionalFormatting>
  <conditionalFormatting sqref="N65 N49:N53 N55:N59 N70 N67:N68">
    <cfRule type="iconSet" priority="315">
      <iconSet iconSet="5Arrows" showValue="0">
        <cfvo type="percent" val="0"/>
        <cfvo type="num" val="0.6"/>
        <cfvo type="num" val="0.7"/>
        <cfvo type="num" val="0.8"/>
        <cfvo type="num" val="0.9"/>
      </iconSet>
    </cfRule>
  </conditionalFormatting>
  <conditionalFormatting sqref="I69 L69 F69">
    <cfRule type="dataBar" priority="17">
      <dataBar>
        <cfvo type="num" val="0"/>
        <cfvo type="num" val="1.1000000000000001"/>
        <color rgb="FF63C384"/>
      </dataBar>
      <extLst>
        <ext xmlns:x14="http://schemas.microsoft.com/office/spreadsheetml/2009/9/main" uri="{B025F937-C7B1-47D3-B67F-A62EFF666E3E}">
          <x14:id>{CE860472-634E-4FA5-9B05-35CC8D58F3CB}</x14:id>
        </ext>
      </extLst>
    </cfRule>
  </conditionalFormatting>
  <conditionalFormatting sqref="G69">
    <cfRule type="iconSet" priority="18">
      <iconSet iconSet="3TrafficLights2" showValue="0">
        <cfvo type="percent" val="0"/>
        <cfvo type="num" val="0.6"/>
        <cfvo type="num" val="0.8"/>
      </iconSet>
    </cfRule>
  </conditionalFormatting>
  <conditionalFormatting sqref="H69">
    <cfRule type="iconSet" priority="19">
      <iconSet iconSet="5Arrows" showValue="0">
        <cfvo type="percent" val="0"/>
        <cfvo type="num" val="0.6"/>
        <cfvo type="num" val="0.7"/>
        <cfvo type="num" val="0.8"/>
        <cfvo type="num" val="0.9"/>
      </iconSet>
    </cfRule>
  </conditionalFormatting>
  <conditionalFormatting sqref="J69">
    <cfRule type="iconSet" priority="20">
      <iconSet iconSet="3TrafficLights2" showValue="0">
        <cfvo type="percent" val="0"/>
        <cfvo type="num" val="0.6"/>
        <cfvo type="num" val="0.8"/>
      </iconSet>
    </cfRule>
  </conditionalFormatting>
  <conditionalFormatting sqref="K69">
    <cfRule type="iconSet" priority="21">
      <iconSet iconSet="5Arrows" showValue="0">
        <cfvo type="percent" val="0"/>
        <cfvo type="num" val="0.6"/>
        <cfvo type="num" val="0.7"/>
        <cfvo type="num" val="0.8"/>
        <cfvo type="num" val="0.9"/>
      </iconSet>
    </cfRule>
  </conditionalFormatting>
  <conditionalFormatting sqref="M69">
    <cfRule type="iconSet" priority="22">
      <iconSet iconSet="3TrafficLights2" showValue="0">
        <cfvo type="percent" val="0"/>
        <cfvo type="num" val="0.6"/>
        <cfvo type="num" val="0.8"/>
      </iconSet>
    </cfRule>
  </conditionalFormatting>
  <conditionalFormatting sqref="N69">
    <cfRule type="iconSet" priority="23">
      <iconSet iconSet="5Arrows" showValue="0">
        <cfvo type="percent" val="0"/>
        <cfvo type="num" val="0.6"/>
        <cfvo type="num" val="0.7"/>
        <cfvo type="num" val="0.8"/>
        <cfvo type="num" val="0.9"/>
      </iconSet>
    </cfRule>
  </conditionalFormatting>
  <conditionalFormatting sqref="F66 L66 I66">
    <cfRule type="dataBar" priority="3">
      <dataBar>
        <cfvo type="num" val="0"/>
        <cfvo type="num" val="1.1000000000000001"/>
        <color rgb="FF63C384"/>
      </dataBar>
      <extLst>
        <ext xmlns:x14="http://schemas.microsoft.com/office/spreadsheetml/2009/9/main" uri="{B025F937-C7B1-47D3-B67F-A62EFF666E3E}">
          <x14:id>{DC6F8BBF-60C1-48C9-8357-3867CF6404E2}</x14:id>
        </ext>
      </extLst>
    </cfRule>
  </conditionalFormatting>
  <conditionalFormatting sqref="G66">
    <cfRule type="iconSet" priority="4">
      <iconSet iconSet="3TrafficLights2" showValue="0">
        <cfvo type="percent" val="0"/>
        <cfvo type="num" val="0.6"/>
        <cfvo type="num" val="0.8"/>
      </iconSet>
    </cfRule>
  </conditionalFormatting>
  <conditionalFormatting sqref="H66">
    <cfRule type="iconSet" priority="5">
      <iconSet iconSet="5Arrows" showValue="0">
        <cfvo type="percent" val="0"/>
        <cfvo type="num" val="0.6"/>
        <cfvo type="num" val="0.7"/>
        <cfvo type="num" val="0.8"/>
        <cfvo type="num" val="0.9"/>
      </iconSet>
    </cfRule>
  </conditionalFormatting>
  <conditionalFormatting sqref="J66">
    <cfRule type="iconSet" priority="6">
      <iconSet iconSet="3TrafficLights2" showValue="0">
        <cfvo type="percent" val="0"/>
        <cfvo type="num" val="0.6"/>
        <cfvo type="num" val="0.8"/>
      </iconSet>
    </cfRule>
  </conditionalFormatting>
  <conditionalFormatting sqref="K66">
    <cfRule type="iconSet" priority="7">
      <iconSet iconSet="5Arrows" showValue="0">
        <cfvo type="percent" val="0"/>
        <cfvo type="num" val="0.6"/>
        <cfvo type="num" val="0.7"/>
        <cfvo type="num" val="0.8"/>
        <cfvo type="num" val="0.9"/>
      </iconSet>
    </cfRule>
  </conditionalFormatting>
  <conditionalFormatting sqref="M66">
    <cfRule type="iconSet" priority="8">
      <iconSet iconSet="3TrafficLights2" showValue="0">
        <cfvo type="percent" val="0"/>
        <cfvo type="num" val="0.6"/>
        <cfvo type="num" val="0.8"/>
      </iconSet>
    </cfRule>
  </conditionalFormatting>
  <conditionalFormatting sqref="N66">
    <cfRule type="iconSet" priority="9">
      <iconSet iconSet="5Arrows" showValue="0">
        <cfvo type="percent" val="0"/>
        <cfvo type="num" val="0.6"/>
        <cfvo type="num" val="0.7"/>
        <cfvo type="num" val="0.8"/>
        <cfvo type="num" val="0.9"/>
      </iconSet>
    </cfRule>
  </conditionalFormatting>
  <conditionalFormatting sqref="D100:F100">
    <cfRule type="dataBar" priority="2">
      <dataBar>
        <cfvo type="num" val="0"/>
        <cfvo type="num" val="1.5"/>
        <color rgb="FF008AEF"/>
      </dataBar>
      <extLst>
        <ext xmlns:x14="http://schemas.microsoft.com/office/spreadsheetml/2009/9/main" uri="{B025F937-C7B1-47D3-B67F-A62EFF666E3E}">
          <x14:id>{C4BDB4EF-07D8-4452-871E-6B0F429F22C0}</x14:id>
        </ext>
      </extLst>
    </cfRule>
  </conditionalFormatting>
  <conditionalFormatting sqref="D103:F103">
    <cfRule type="dataBar" priority="1">
      <dataBar>
        <cfvo type="num" val="0"/>
        <cfvo type="num" val="1.5"/>
        <color rgb="FF008AEF"/>
      </dataBar>
      <extLst>
        <ext xmlns:x14="http://schemas.microsoft.com/office/spreadsheetml/2009/9/main" uri="{B025F937-C7B1-47D3-B67F-A62EFF666E3E}">
          <x14:id>{D56E25AA-51BB-4DF0-A948-05A40BB8B030}</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E2447B98-D96C-4E51-8249-6DAFFA072E9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F49:F53 F6 L49:L53 I49:I53 I55:I59 L55:L59 F55:F59 I65 L65 F65 F70 L70 I70 F67:F68 L67:L68 I67:I68</xm:sqref>
        </x14:conditionalFormatting>
        <x14:conditionalFormatting xmlns:xm="http://schemas.microsoft.com/office/excel/2006/main">
          <x14:cfRule type="dataBar" id="{C2D532E5-1B7C-480C-922C-653A82A2DDF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xm:sqref>
        </x14:conditionalFormatting>
        <x14:conditionalFormatting xmlns:xm="http://schemas.microsoft.com/office/excel/2006/main">
          <x14:cfRule type="dataBar" id="{9A5EDCC3-08C0-4FA7-B8DE-5928750D729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L6</xm:sqref>
        </x14:conditionalFormatting>
        <x14:conditionalFormatting xmlns:xm="http://schemas.microsoft.com/office/excel/2006/main">
          <x14:cfRule type="dataBar" id="{A0239914-0CEE-4CCB-8399-5F6FE19EFC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0DFE4C40-C3FC-447C-86F9-479B60F27E9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xm:sqref>
        </x14:conditionalFormatting>
        <x14:conditionalFormatting xmlns:xm="http://schemas.microsoft.com/office/excel/2006/main">
          <x14:cfRule type="dataBar" id="{1F72F77C-72DD-4DC0-993A-4A62562778B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xm:sqref>
        </x14:conditionalFormatting>
        <x14:conditionalFormatting xmlns:xm="http://schemas.microsoft.com/office/excel/2006/main">
          <x14:cfRule type="dataBar" id="{13929A6E-DD03-4D35-A383-37858081BB3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ADCEFA98-11A3-4CF8-800F-04F593269AA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I8</xm:sqref>
        </x14:conditionalFormatting>
        <x14:conditionalFormatting xmlns:xm="http://schemas.microsoft.com/office/excel/2006/main">
          <x14:cfRule type="dataBar" id="{29C8DEB2-2279-4B4B-8012-95D88698D96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L8</xm:sqref>
        </x14:conditionalFormatting>
        <x14:conditionalFormatting xmlns:xm="http://schemas.microsoft.com/office/excel/2006/main">
          <x14:cfRule type="dataBar" id="{7B2A6733-42DB-44AD-8430-521F8F345BA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A3F17A18-4E05-438E-8EF4-50AAF9B580D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I9</xm:sqref>
        </x14:conditionalFormatting>
        <x14:conditionalFormatting xmlns:xm="http://schemas.microsoft.com/office/excel/2006/main">
          <x14:cfRule type="dataBar" id="{557B1B9F-9C4D-4319-97DA-3DF66C37348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L9</xm:sqref>
        </x14:conditionalFormatting>
        <x14:conditionalFormatting xmlns:xm="http://schemas.microsoft.com/office/excel/2006/main">
          <x14:cfRule type="dataBar" id="{BB8F1DA8-7544-4342-8388-49BBDB34CF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F11:F12</xm:sqref>
        </x14:conditionalFormatting>
        <x14:conditionalFormatting xmlns:xm="http://schemas.microsoft.com/office/excel/2006/main">
          <x14:cfRule type="dataBar" id="{A117401D-49CC-4479-8BA4-E600E570CC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I11:I12</xm:sqref>
        </x14:conditionalFormatting>
        <x14:conditionalFormatting xmlns:xm="http://schemas.microsoft.com/office/excel/2006/main">
          <x14:cfRule type="dataBar" id="{49C7012A-B31E-4ADF-A374-6EB241CE7B3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L11:L12</xm:sqref>
        </x14:conditionalFormatting>
        <x14:conditionalFormatting xmlns:xm="http://schemas.microsoft.com/office/excel/2006/main">
          <x14:cfRule type="dataBar" id="{5D445730-5BAE-4FF4-B27D-003A7E6923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22BCA6FB-9E3D-4931-BF3B-E25CAA97205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I16</xm:sqref>
        </x14:conditionalFormatting>
        <x14:conditionalFormatting xmlns:xm="http://schemas.microsoft.com/office/excel/2006/main">
          <x14:cfRule type="dataBar" id="{1F5A34CA-A96C-4E32-B605-0843192CB97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L16</xm:sqref>
        </x14:conditionalFormatting>
        <x14:conditionalFormatting xmlns:xm="http://schemas.microsoft.com/office/excel/2006/main">
          <x14:cfRule type="dataBar" id="{C015A28D-284E-406F-9744-D03494B2681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F17</xm:sqref>
        </x14:conditionalFormatting>
        <x14:conditionalFormatting xmlns:xm="http://schemas.microsoft.com/office/excel/2006/main">
          <x14:cfRule type="dataBar" id="{F9996B71-F08A-40BC-8D77-899BF90824E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I17</xm:sqref>
        </x14:conditionalFormatting>
        <x14:conditionalFormatting xmlns:xm="http://schemas.microsoft.com/office/excel/2006/main">
          <x14:cfRule type="dataBar" id="{8C85687A-4D22-4099-8DB2-88652B14912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L17</xm:sqref>
        </x14:conditionalFormatting>
        <x14:conditionalFormatting xmlns:xm="http://schemas.microsoft.com/office/excel/2006/main">
          <x14:cfRule type="dataBar" id="{C592FB22-FC49-4065-87E1-5E1C75E91DA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F18</xm:sqref>
        </x14:conditionalFormatting>
        <x14:conditionalFormatting xmlns:xm="http://schemas.microsoft.com/office/excel/2006/main">
          <x14:cfRule type="dataBar" id="{2925FAC5-3E9D-4292-9232-77D98F087C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I18</xm:sqref>
        </x14:conditionalFormatting>
        <x14:conditionalFormatting xmlns:xm="http://schemas.microsoft.com/office/excel/2006/main">
          <x14:cfRule type="dataBar" id="{9C64AF3F-84DB-4D7C-8F47-070144B41CA4}">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L18</xm:sqref>
        </x14:conditionalFormatting>
        <x14:conditionalFormatting xmlns:xm="http://schemas.microsoft.com/office/excel/2006/main">
          <x14:cfRule type="dataBar" id="{85B379C4-7010-4194-949E-8F54164F35E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F19</xm:sqref>
        </x14:conditionalFormatting>
        <x14:conditionalFormatting xmlns:xm="http://schemas.microsoft.com/office/excel/2006/main">
          <x14:cfRule type="dataBar" id="{9375FE6C-4B11-42F8-8624-9924B1C9E46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I19</xm:sqref>
        </x14:conditionalFormatting>
        <x14:conditionalFormatting xmlns:xm="http://schemas.microsoft.com/office/excel/2006/main">
          <x14:cfRule type="dataBar" id="{6B043F20-4D07-412E-9DC1-66E7C1D144F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L19</xm:sqref>
        </x14:conditionalFormatting>
        <x14:conditionalFormatting xmlns:xm="http://schemas.microsoft.com/office/excel/2006/main">
          <x14:cfRule type="dataBar" id="{9F289604-01B5-469F-98F1-645A4C7AE84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177B80C6-6660-472F-9C61-C70C78F191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I21</xm:sqref>
        </x14:conditionalFormatting>
        <x14:conditionalFormatting xmlns:xm="http://schemas.microsoft.com/office/excel/2006/main">
          <x14:cfRule type="dataBar" id="{6787DA30-3535-4DD5-ADA7-6A3B6D4B32C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L21</xm:sqref>
        </x14:conditionalFormatting>
        <x14:conditionalFormatting xmlns:xm="http://schemas.microsoft.com/office/excel/2006/main">
          <x14:cfRule type="dataBar" id="{15A17EF1-9D61-4408-B875-C16D335DEC2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F22</xm:sqref>
        </x14:conditionalFormatting>
        <x14:conditionalFormatting xmlns:xm="http://schemas.microsoft.com/office/excel/2006/main">
          <x14:cfRule type="dataBar" id="{16DA3FAB-72AE-40FD-AFE6-BE781D1D3F3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I22</xm:sqref>
        </x14:conditionalFormatting>
        <x14:conditionalFormatting xmlns:xm="http://schemas.microsoft.com/office/excel/2006/main">
          <x14:cfRule type="dataBar" id="{A85C0626-5644-4849-B1EA-0469B72E3D8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L22</xm:sqref>
        </x14:conditionalFormatting>
        <x14:conditionalFormatting xmlns:xm="http://schemas.microsoft.com/office/excel/2006/main">
          <x14:cfRule type="dataBar" id="{A8D53FD0-0688-4600-9B4F-B75735F443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F26</xm:sqref>
        </x14:conditionalFormatting>
        <x14:conditionalFormatting xmlns:xm="http://schemas.microsoft.com/office/excel/2006/main">
          <x14:cfRule type="dataBar" id="{B08F70F5-3D09-4FBC-AEA8-A9B5DB9E874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I26</xm:sqref>
        </x14:conditionalFormatting>
        <x14:conditionalFormatting xmlns:xm="http://schemas.microsoft.com/office/excel/2006/main">
          <x14:cfRule type="dataBar" id="{4E69ADCE-589B-4F23-B22C-55853965CC7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L26</xm:sqref>
        </x14:conditionalFormatting>
        <x14:conditionalFormatting xmlns:xm="http://schemas.microsoft.com/office/excel/2006/main">
          <x14:cfRule type="dataBar" id="{D890ACFE-49A1-4EB9-9A6E-7EABC9D13AE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F27</xm:sqref>
        </x14:conditionalFormatting>
        <x14:conditionalFormatting xmlns:xm="http://schemas.microsoft.com/office/excel/2006/main">
          <x14:cfRule type="dataBar" id="{027B8A89-0319-4F3E-ADFB-154A3A37134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I27</xm:sqref>
        </x14:conditionalFormatting>
        <x14:conditionalFormatting xmlns:xm="http://schemas.microsoft.com/office/excel/2006/main">
          <x14:cfRule type="dataBar" id="{5E2D8DC2-1D62-4A04-8688-050C3DF52C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L27</xm:sqref>
        </x14:conditionalFormatting>
        <x14:conditionalFormatting xmlns:xm="http://schemas.microsoft.com/office/excel/2006/main">
          <x14:cfRule type="dataBar" id="{F572B8B4-555C-4EF0-B770-B8EA057592D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F28</xm:sqref>
        </x14:conditionalFormatting>
        <x14:conditionalFormatting xmlns:xm="http://schemas.microsoft.com/office/excel/2006/main">
          <x14:cfRule type="dataBar" id="{2760E459-0F85-4ECB-90B9-B494B5DCAC1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I28</xm:sqref>
        </x14:conditionalFormatting>
        <x14:conditionalFormatting xmlns:xm="http://schemas.microsoft.com/office/excel/2006/main">
          <x14:cfRule type="dataBar" id="{0B6D7745-4EAF-4495-91B3-961758DF360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L28</xm:sqref>
        </x14:conditionalFormatting>
        <x14:conditionalFormatting xmlns:xm="http://schemas.microsoft.com/office/excel/2006/main">
          <x14:cfRule type="dataBar" id="{1430655F-C325-4DFB-8D0A-EAB138C219E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F29:F31</xm:sqref>
        </x14:conditionalFormatting>
        <x14:conditionalFormatting xmlns:xm="http://schemas.microsoft.com/office/excel/2006/main">
          <x14:cfRule type="dataBar" id="{E77A3214-B4FD-494D-8E2B-2286BAC61F5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I29:I31</xm:sqref>
        </x14:conditionalFormatting>
        <x14:conditionalFormatting xmlns:xm="http://schemas.microsoft.com/office/excel/2006/main">
          <x14:cfRule type="dataBar" id="{6B92E8B8-823C-47D0-9ABB-833A982CA8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L29:L30</xm:sqref>
        </x14:conditionalFormatting>
        <x14:conditionalFormatting xmlns:xm="http://schemas.microsoft.com/office/excel/2006/main">
          <x14:cfRule type="dataBar" id="{E70AAA2E-8ED5-4028-8E2C-E553865E6C7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F32</xm:sqref>
        </x14:conditionalFormatting>
        <x14:conditionalFormatting xmlns:xm="http://schemas.microsoft.com/office/excel/2006/main">
          <x14:cfRule type="dataBar" id="{0F57053B-B5B2-4493-9833-92B8BA06DD0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I32</xm:sqref>
        </x14:conditionalFormatting>
        <x14:conditionalFormatting xmlns:xm="http://schemas.microsoft.com/office/excel/2006/main">
          <x14:cfRule type="dataBar" id="{E473708A-806F-4F59-AE75-DE500CDAAA2F}">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L32</xm:sqref>
        </x14:conditionalFormatting>
        <x14:conditionalFormatting xmlns:xm="http://schemas.microsoft.com/office/excel/2006/main">
          <x14:cfRule type="dataBar" id="{B2CE2B16-62F5-41DD-8D18-6BF9874DC7E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F34</xm:sqref>
        </x14:conditionalFormatting>
        <x14:conditionalFormatting xmlns:xm="http://schemas.microsoft.com/office/excel/2006/main">
          <x14:cfRule type="dataBar" id="{409052F7-67B4-4BA4-9384-4E9501E78A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I34</xm:sqref>
        </x14:conditionalFormatting>
        <x14:conditionalFormatting xmlns:xm="http://schemas.microsoft.com/office/excel/2006/main">
          <x14:cfRule type="dataBar" id="{76C217DB-7BF5-4148-BE3A-CE58764B394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L34</xm:sqref>
        </x14:conditionalFormatting>
        <x14:conditionalFormatting xmlns:xm="http://schemas.microsoft.com/office/excel/2006/main">
          <x14:cfRule type="dataBar" id="{9F3E1FD9-8676-4A04-9509-02963451D131}">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F35</xm:sqref>
        </x14:conditionalFormatting>
        <x14:conditionalFormatting xmlns:xm="http://schemas.microsoft.com/office/excel/2006/main">
          <x14:cfRule type="dataBar" id="{CF506E69-136B-45D8-8DE2-B01F701105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I35</xm:sqref>
        </x14:conditionalFormatting>
        <x14:conditionalFormatting xmlns:xm="http://schemas.microsoft.com/office/excel/2006/main">
          <x14:cfRule type="dataBar" id="{01BBA2F7-21E5-406A-AC91-533B1D8B39F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L35</xm:sqref>
        </x14:conditionalFormatting>
        <x14:conditionalFormatting xmlns:xm="http://schemas.microsoft.com/office/excel/2006/main">
          <x14:cfRule type="dataBar" id="{EE1B2F2B-E665-47AC-A4A2-CB5B56EDBD0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F39</xm:sqref>
        </x14:conditionalFormatting>
        <x14:conditionalFormatting xmlns:xm="http://schemas.microsoft.com/office/excel/2006/main">
          <x14:cfRule type="dataBar" id="{11A22472-45F6-452A-AF67-042C9E48384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I39</xm:sqref>
        </x14:conditionalFormatting>
        <x14:conditionalFormatting xmlns:xm="http://schemas.microsoft.com/office/excel/2006/main">
          <x14:cfRule type="dataBar" id="{AD5E5BFA-7145-4A88-A4D1-C6C60071419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L39</xm:sqref>
        </x14:conditionalFormatting>
        <x14:conditionalFormatting xmlns:xm="http://schemas.microsoft.com/office/excel/2006/main">
          <x14:cfRule type="dataBar" id="{E1020B43-B6B9-4B9C-8117-EAD14A2779C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F40</xm:sqref>
        </x14:conditionalFormatting>
        <x14:conditionalFormatting xmlns:xm="http://schemas.microsoft.com/office/excel/2006/main">
          <x14:cfRule type="dataBar" id="{3512BFC9-6E72-4986-8799-0F894128E0C9}">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I40</xm:sqref>
        </x14:conditionalFormatting>
        <x14:conditionalFormatting xmlns:xm="http://schemas.microsoft.com/office/excel/2006/main">
          <x14:cfRule type="dataBar" id="{607965FC-A2C7-4811-9052-33605D93192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L40</xm:sqref>
        </x14:conditionalFormatting>
        <x14:conditionalFormatting xmlns:xm="http://schemas.microsoft.com/office/excel/2006/main">
          <x14:cfRule type="dataBar" id="{8D0CDCC8-6813-4E71-9B17-02940D9F17D7}">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F41</xm:sqref>
        </x14:conditionalFormatting>
        <x14:conditionalFormatting xmlns:xm="http://schemas.microsoft.com/office/excel/2006/main">
          <x14:cfRule type="dataBar" id="{A6C3883A-9C71-44F2-B6E2-BB7066CF0FD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I41</xm:sqref>
        </x14:conditionalFormatting>
        <x14:conditionalFormatting xmlns:xm="http://schemas.microsoft.com/office/excel/2006/main">
          <x14:cfRule type="dataBar" id="{0AD62E18-2E77-4A77-8750-3729B832037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L41</xm:sqref>
        </x14:conditionalFormatting>
        <x14:conditionalFormatting xmlns:xm="http://schemas.microsoft.com/office/excel/2006/main">
          <x14:cfRule type="dataBar" id="{F25011AB-9F5B-4F7E-BC17-4F8D9D8BFDDD}">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F42</xm:sqref>
        </x14:conditionalFormatting>
        <x14:conditionalFormatting xmlns:xm="http://schemas.microsoft.com/office/excel/2006/main">
          <x14:cfRule type="dataBar" id="{53BED112-C5F2-4C84-BDEC-197DBB812EA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I42</xm:sqref>
        </x14:conditionalFormatting>
        <x14:conditionalFormatting xmlns:xm="http://schemas.microsoft.com/office/excel/2006/main">
          <x14:cfRule type="dataBar" id="{FD9E8FEA-D09A-4462-8A83-1C4125AFDEA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L42</xm:sqref>
        </x14:conditionalFormatting>
        <x14:conditionalFormatting xmlns:xm="http://schemas.microsoft.com/office/excel/2006/main">
          <x14:cfRule type="dataBar" id="{21B515C2-3FD7-4862-97DE-9B7B2B0F967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F44</xm:sqref>
        </x14:conditionalFormatting>
        <x14:conditionalFormatting xmlns:xm="http://schemas.microsoft.com/office/excel/2006/main">
          <x14:cfRule type="dataBar" id="{2859D417-D158-4D75-B4D7-A73E34B49DD8}">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I44</xm:sqref>
        </x14:conditionalFormatting>
        <x14:conditionalFormatting xmlns:xm="http://schemas.microsoft.com/office/excel/2006/main">
          <x14:cfRule type="dataBar" id="{8495654D-507E-42D7-BC7B-79F2F50C0C8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L44</xm:sqref>
        </x14:conditionalFormatting>
        <x14:conditionalFormatting xmlns:xm="http://schemas.microsoft.com/office/excel/2006/main">
          <x14:cfRule type="dataBar" id="{4DFCE72C-9B7C-4482-8AE4-DF2F30F4C225}">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F45</xm:sqref>
        </x14:conditionalFormatting>
        <x14:conditionalFormatting xmlns:xm="http://schemas.microsoft.com/office/excel/2006/main">
          <x14:cfRule type="dataBar" id="{BB6A3CB4-A28B-4326-9296-F6DDD1E9176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I45</xm:sqref>
        </x14:conditionalFormatting>
        <x14:conditionalFormatting xmlns:xm="http://schemas.microsoft.com/office/excel/2006/main">
          <x14:cfRule type="dataBar" id="{6D897AAF-E258-45E5-9AFA-AD04AC88B52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L45</xm:sqref>
        </x14:conditionalFormatting>
        <x14:conditionalFormatting xmlns:xm="http://schemas.microsoft.com/office/excel/2006/main">
          <x14:cfRule type="dataBar" id="{A1CCBB53-2813-44E9-B257-FA82F5F06B0A}">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F71</xm:sqref>
        </x14:conditionalFormatting>
        <x14:conditionalFormatting xmlns:xm="http://schemas.microsoft.com/office/excel/2006/main">
          <x14:cfRule type="dataBar" id="{5F7A5088-7DDE-4FCD-A03D-09336B780866}">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I71</xm:sqref>
        </x14:conditionalFormatting>
        <x14:conditionalFormatting xmlns:xm="http://schemas.microsoft.com/office/excel/2006/main">
          <x14:cfRule type="dataBar" id="{A634A167-6FA3-4E71-A364-378582B6715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L71</xm:sqref>
        </x14:conditionalFormatting>
        <x14:conditionalFormatting xmlns:xm="http://schemas.microsoft.com/office/excel/2006/main">
          <x14:cfRule type="dataBar" id="{C6876FEA-CACC-477D-B00B-F07990C2AAAE}">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F73</xm:sqref>
        </x14:conditionalFormatting>
        <x14:conditionalFormatting xmlns:xm="http://schemas.microsoft.com/office/excel/2006/main">
          <x14:cfRule type="dataBar" id="{FA30016C-1AF0-44F7-AA47-110DDBA6738C}">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I73</xm:sqref>
        </x14:conditionalFormatting>
        <x14:conditionalFormatting xmlns:xm="http://schemas.microsoft.com/office/excel/2006/main">
          <x14:cfRule type="dataBar" id="{08FFCBDB-FF12-4DAD-86E0-1D83DD28240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L73</xm:sqref>
        </x14:conditionalFormatting>
        <x14:conditionalFormatting xmlns:xm="http://schemas.microsoft.com/office/excel/2006/main">
          <x14:cfRule type="dataBar" id="{31242221-ED71-4678-92EB-74AFCF2135F7}">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D81:F86</xm:sqref>
        </x14:conditionalFormatting>
        <x14:conditionalFormatting xmlns:xm="http://schemas.microsoft.com/office/excel/2006/main">
          <x14:cfRule type="dataBar" id="{78C49190-8DE7-418F-B0DA-449E8CF8E82B}">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D92:F92</xm:sqref>
        </x14:conditionalFormatting>
        <x14:conditionalFormatting xmlns:xm="http://schemas.microsoft.com/office/excel/2006/main">
          <x14:cfRule type="dataBar" id="{6118FB3D-EB57-4B7E-978A-57B099DF6ADF}">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D93:F93</xm:sqref>
        </x14:conditionalFormatting>
        <x14:conditionalFormatting xmlns:xm="http://schemas.microsoft.com/office/excel/2006/main">
          <x14:cfRule type="dataBar" id="{A1974F2A-8DD0-4F85-B255-5C7992B9B262}">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D94:F95</xm:sqref>
        </x14:conditionalFormatting>
        <x14:conditionalFormatting xmlns:xm="http://schemas.microsoft.com/office/excel/2006/main">
          <x14:cfRule type="dataBar" id="{E9F11B65-CE8C-41F1-9C4B-A2943F097ED4}">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D97:F97</xm:sqref>
        </x14:conditionalFormatting>
        <x14:conditionalFormatting xmlns:xm="http://schemas.microsoft.com/office/excel/2006/main">
          <x14:cfRule type="dataBar" id="{0F7EB60B-1695-4856-BE39-119CECAC744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L31</xm:sqref>
        </x14:conditionalFormatting>
        <x14:conditionalFormatting xmlns:xm="http://schemas.microsoft.com/office/excel/2006/main">
          <x14:cfRule type="dataBar" id="{64065697-1172-4537-9857-109A320711C3}">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F54 L54 I54</xm:sqref>
        </x14:conditionalFormatting>
        <x14:conditionalFormatting xmlns:xm="http://schemas.microsoft.com/office/excel/2006/main">
          <x14:cfRule type="dataBar" id="{093D3069-8A47-496F-8607-3E7A5483359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F60 L60 I60</xm:sqref>
        </x14:conditionalFormatting>
        <x14:conditionalFormatting xmlns:xm="http://schemas.microsoft.com/office/excel/2006/main">
          <x14:cfRule type="dataBar" id="{CB792554-4B68-4EA7-A4AE-5EFCBBE288B0}">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I61:I64 L61:L64 F61:F64</xm:sqref>
        </x14:conditionalFormatting>
        <x14:conditionalFormatting xmlns:xm="http://schemas.microsoft.com/office/excel/2006/main">
          <x14:cfRule type="dataBar" id="{CE860472-634E-4FA5-9B05-35CC8D58F3CB}">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I69 L69 F69</xm:sqref>
        </x14:conditionalFormatting>
        <x14:conditionalFormatting xmlns:xm="http://schemas.microsoft.com/office/excel/2006/main">
          <x14:cfRule type="dataBar" id="{DC6F8BBF-60C1-48C9-8357-3867CF6404E2}">
            <x14:dataBar minLength="0" maxLength="100" border="1" negativeBarBorderColorSameAsPositive="0">
              <x14:cfvo type="num">
                <xm:f>0</xm:f>
              </x14:cfvo>
              <x14:cfvo type="num">
                <xm:f>1.1000000000000001</xm:f>
              </x14:cfvo>
              <x14:borderColor rgb="FF63C384"/>
              <x14:negativeFillColor rgb="FFFF0000"/>
              <x14:negativeBorderColor rgb="FFFF0000"/>
              <x14:axisColor rgb="FF000000"/>
            </x14:dataBar>
          </x14:cfRule>
          <xm:sqref>F66 L66 I66</xm:sqref>
        </x14:conditionalFormatting>
        <x14:conditionalFormatting xmlns:xm="http://schemas.microsoft.com/office/excel/2006/main">
          <x14:cfRule type="dataBar" id="{C4BDB4EF-07D8-4452-871E-6B0F429F22C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D100:F100</xm:sqref>
        </x14:conditionalFormatting>
        <x14:conditionalFormatting xmlns:xm="http://schemas.microsoft.com/office/excel/2006/main">
          <x14:cfRule type="dataBar" id="{D56E25AA-51BB-4DF0-A948-05A40BB8B030}">
            <x14:dataBar minLength="0" maxLength="100" border="1" negativeBarBorderColorSameAsPositive="0">
              <x14:cfvo type="num">
                <xm:f>0</xm:f>
              </x14:cfvo>
              <x14:cfvo type="num">
                <xm:f>1.5</xm:f>
              </x14:cfvo>
              <x14:borderColor rgb="FF008AEF"/>
              <x14:negativeFillColor rgb="FFFF0000"/>
              <x14:negativeBorderColor rgb="FFFF0000"/>
              <x14:axisColor rgb="FF000000"/>
            </x14:dataBar>
          </x14:cfRule>
          <xm:sqref>D103:F103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1024</vt:lpstr>
      <vt:lpstr>1107</vt:lpstr>
      <vt:lpstr>1110</vt:lpstr>
      <vt:lpstr>1112</vt:lpstr>
      <vt:lpstr>1114</vt:lpstr>
      <vt:lpstr>TABLERO</vt:lpstr>
      <vt:lpstr>'1024'!Área_de_impresión</vt:lpstr>
      <vt:lpstr>'1107'!Área_de_impresión</vt:lpstr>
      <vt:lpstr>'1110'!Área_de_impresión</vt:lpstr>
      <vt:lpstr>'1112'!Área_de_impresión</vt:lpstr>
      <vt:lpstr>'1114'!Área_de_impresión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Nubia S Zubieta</cp:lastModifiedBy>
  <cp:lastPrinted>2018-11-07T17:07:49Z</cp:lastPrinted>
  <dcterms:created xsi:type="dcterms:W3CDTF">2018-05-03T21:24:38Z</dcterms:created>
  <dcterms:modified xsi:type="dcterms:W3CDTF">2019-04-29T13:43:28Z</dcterms:modified>
</cp:coreProperties>
</file>